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3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ФХД'!$Y$66</definedName>
    <definedName name="B_FHD_CHECK_INDEX_2">'Показатели ФХД'!$Y$68</definedName>
    <definedName name="B_FHD_COSTS_INDEX_1">'Показатели ФХД'!$H$65:$W$65</definedName>
    <definedName name="B_FHD_COSTS_INDEX_2">'Показатели ФХД'!$H$67:$W$67</definedName>
    <definedName name="B_FHD_DATA_TOP80_ACTIVITY">'Показатели ФХД'!$H$81:$W$81</definedName>
    <definedName name="B_FHD_diff_1">'Показатели ФХД'!$I$25:$I$27</definedName>
    <definedName name="B_FHD_FLAG_DIFFERENTIATION">'Показатели ФХД'!$H$24:$W$24</definedName>
    <definedName name="B_FHD_FLAG_INDEX_1">'Показатели ФХД'!$H$66:$W$66</definedName>
    <definedName name="B_FHD_FLAG_INDEX_2">'Показатели ФХД'!$H$68:$W$68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территорий'!$E$47:$I$47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Дифференциация!$I$12:$I$37</definedName>
    <definedName name="DIFFERENTIATION_AREA_ID">Дифференциация!$U$11:$U$38</definedName>
    <definedName name="DIFFERENTIATION_CheckC">Дифференциация!$D$12:$M$37</definedName>
    <definedName name="DIFFERENTIATION_fieldMarker">Дифференциация!$W$12:$W$37</definedName>
    <definedName name="DIFFERENTIATION_ID">TEHSHEET!$E$57</definedName>
    <definedName name="DIFFERENTIATION_ID_DIFF">Дифференциация!$O$12:$O$37</definedName>
    <definedName name="DIFFERENTIATION_SYSTEM">Дифференциация!$M$12:$M$37</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Дифференциация!$Q$12:$Q$37</definedName>
    <definedName name="DIFFERENTIATION_UNMERGE_SYSTEM">Дифференциация!$R$12:$R$37</definedName>
    <definedName name="DIFFERENTIATION_UNMERGE_VD">Дифференциация!$P$12:$P$37</definedName>
    <definedName name="DIFFERENTIATION_VD">Дифференциация!$E$12:$E$37</definedName>
    <definedName name="DIFFERENTIATION_VD_ID">Дифференциация!$V$11:$V$38</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Ограничения!$F$36:$AK$36</definedName>
    <definedName name="flag_Q_LIMIT_p4">Ограничения!$F$53:$AK$53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Комментарии!$C$11:$C$16</definedName>
    <definedName name="pDel_DIFFERENTIATION_AREA">Дифференциация!$G$12:$G$37</definedName>
    <definedName name="pDel_DIFFERENTIATION_SYSTEM">Дифференциация!$K$12:$K$37</definedName>
    <definedName name="pDel_DIFFERENTIATION_VD">Дифференциация!$C$12:$C$37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территорий'!$C$12:$C$47</definedName>
    <definedName name="pDel_LT_MO">'Список территорий'!$D$11:$D$47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ФХД'!$W$24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&gt;20%'!$D$140</definedName>
    <definedName name="pIns_B_KNE_DIFFERENTIATION">'Показатели КНЭ'!$AK$6</definedName>
    <definedName name="pIns_CHANGE_INFO">'Сведения об изменении'!$E$13</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Ограничения!$E$52</definedName>
    <definedName name="pIns_Q_LIMIT_4">Ограничения!$E$54</definedName>
    <definedName name="pIns_Q_LIMIT_DIFFERENTIATION">Ограничения!$AK$25</definedName>
    <definedName name="pIns_Q_PH_DIFFERENTIATION">'Потребительские характеристики'!$AK$8</definedName>
    <definedName name="pIns_Q_TP_1">ТП!$E$22</definedName>
    <definedName name="pIns_Q_TP_DIFFERENTIATION">ТП!$V$8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Ограничения!$AK$26</definedName>
    <definedName name="pNote_Q_PH">'Потребительские характеристики'!$AK$9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Ограничения!$E$32:$AK$54</definedName>
    <definedName name="Q_LIMIT_diff_1">Ограничения!$I$26:$J$28</definedName>
    <definedName name="Q_LIMIT_p3">Ограничения!$F$36:$AK$52</definedName>
    <definedName name="Q_LIMIT_p4">Ограничения!$F$53:$AK$54</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территорий'!$E$11:$I$47</definedName>
    <definedName name="TERRITORY_ID">TEHSHEET!$E$56</definedName>
    <definedName name="TERRITORY_LIST_ID">'Список территорий'!$F$11:$F$47</definedName>
    <definedName name="TERRITORY_MO_LIST">'Список территорий'!$H$11:$H$47</definedName>
    <definedName name="TERRITORY_MR_LIST">'Список территорий'!$G$11:$G$47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Дифференциация!$F$12:$F$37</definedName>
    <definedName name="Y_N_DIFFERENTIATION_SYSTEM">Дифференциация!$J$12:$J$37</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территорий'!$G$22:$I$23</definedName>
    <definedName name="ter_58">'Список территорий'!$G$26:$I$26</definedName>
    <definedName name="ter_59">'Список территорий'!$G$29:$I$32</definedName>
    <definedName name="ter_60">'Список территорий'!$G$35:$I$35</definedName>
    <definedName name="ter_61">'Список территорий'!$G$38:$I$41</definedName>
    <definedName name="ter_62">'Список территорий'!$G$44:$I$45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20_diff_78">'Показатели ФХД &gt;20%'!$H$131:$R$133</definedName>
    <definedName name="B_KNE_diff_78">'Показатели КНЭ'!$AI$7:$AJ$9</definedName>
    <definedName name="DESCRIPTION_TERRITORY">REESTR_DS!$B$2:$B$10</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<sst xmlns="http://schemas.openxmlformats.org/spreadsheetml/2006/main" count="18041" uniqueCount="4047">
  <si>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</si>
  <si>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</si>
  <si>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</si>
  <si>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</si>
  <si>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</si>
  <si>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</si>
  <si>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</si>
  <si>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</si>
  <si>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</si>
  <si>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</si>
  <si>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</si>
  <si>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</si>
  <si>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</si>
  <si>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</si>
  <si>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</si>
  <si>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</si>
  <si>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</si>
  <si>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</si>
  <si>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</si>
  <si>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</si>
  <si>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</si>
  <si>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</si>
  <si>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</si>
  <si>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</si>
  <si>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</si>
  <si>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</si>
  <si>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</si>
  <si>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</si>
  <si>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</si>
  <si>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</si>
  <si>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</si>
  <si>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</si>
  <si>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</si>
  <si>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</si>
  <si>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</si>
  <si>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</si>
  <si>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</si>
  <si>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</si>
  <si>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</si>
  <si>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</si>
  <si>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</si>
  <si>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</si>
  <si>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</si>
  <si>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</si>
  <si>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</si>
  <si>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</si>
  <si>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</si>
  <si>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</si>
  <si>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</si>
  <si>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</si>
  <si>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</si>
  <si>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</si>
  <si>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</si>
  <si>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</si>
  <si>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</si>
  <si>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</si>
  <si>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</si>
  <si>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</si>
  <si>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</si>
  <si>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</si>
  <si>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</si>
  <si>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</si>
  <si>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</si>
  <si>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</si>
  <si>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</si>
  <si>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</si>
  <si>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</si>
  <si>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</si>
  <si>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</si>
  <si>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</si>
  <si>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</si>
  <si>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</si>
  <si>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</si>
  <si>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</si>
  <si>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</si>
  <si>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</si>
  <si>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</si>
  <si>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</si>
  <si>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</si>
  <si>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</si>
  <si>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</si>
  <si>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</si>
  <si>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</si>
  <si>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</si>
  <si>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</si>
  <si>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</si>
  <si>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</si>
  <si>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</si>
  <si>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</si>
  <si>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</si>
  <si>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</si>
  <si>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</si>
  <si>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</si>
  <si>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</si>
  <si>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</si>
  <si>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</si>
  <si>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Амурский муниципальный район</t>
  </si>
  <si>
    <t>Город Амурск</t>
  </si>
  <si>
    <t>08603101</t>
  </si>
  <si>
    <t>Добавить МО</t>
  </si>
  <si>
    <t>2</t>
  </si>
  <si>
    <t>×</t>
  </si>
  <si>
    <t>ter_55</t>
  </si>
  <si>
    <t>113</t>
  </si>
  <si>
    <t>Николаевский муниципальный район</t>
  </si>
  <si>
    <t>Город Николаевск-на-Амуре</t>
  </si>
  <si>
    <t>08631101</t>
  </si>
  <si>
    <t>ter_56</t>
  </si>
  <si>
    <t>74</t>
  </si>
  <si>
    <t>Город Комсомольск-на-Амуре</t>
  </si>
  <si>
    <t>08709000</t>
  </si>
  <si>
    <t>ter_57</t>
  </si>
  <si>
    <t>140</t>
  </si>
  <si>
    <t>Советско-Гаванский муниципальный район</t>
  </si>
  <si>
    <t>Город Советская Гавань</t>
  </si>
  <si>
    <t>08642101</t>
  </si>
  <si>
    <t>144</t>
  </si>
  <si>
    <t>Поселок Майский</t>
  </si>
  <si>
    <t>08642165</t>
  </si>
  <si>
    <t>5</t>
  </si>
  <si>
    <t>ter_58</t>
  </si>
  <si>
    <t>45</t>
  </si>
  <si>
    <t>Верхнебуреинский муниципальный район</t>
  </si>
  <si>
    <t>Поселок Чегдомын</t>
  </si>
  <si>
    <t>08614151</t>
  </si>
  <si>
    <t>ter_59</t>
  </si>
  <si>
    <t>75</t>
  </si>
  <si>
    <t>Город Хабаровск</t>
  </si>
  <si>
    <t>08701000</t>
  </si>
  <si>
    <t>191</t>
  </si>
  <si>
    <t>Хабаровский муниципальный район</t>
  </si>
  <si>
    <t>Ильинское</t>
  </si>
  <si>
    <t>08655419</t>
  </si>
  <si>
    <t>205</t>
  </si>
  <si>
    <t>Поселок Корфовский</t>
  </si>
  <si>
    <t>08655155</t>
  </si>
  <si>
    <t>206</t>
  </si>
  <si>
    <t>Ракитненское</t>
  </si>
  <si>
    <t>08655459</t>
  </si>
  <si>
    <t>ter_60</t>
  </si>
  <si>
    <t>8</t>
  </si>
  <si>
    <t>ter_61</t>
  </si>
  <si>
    <t>187</t>
  </si>
  <si>
    <t>Восточное</t>
  </si>
  <si>
    <t>08655476</t>
  </si>
  <si>
    <t>197</t>
  </si>
  <si>
    <t>Мирненское</t>
  </si>
  <si>
    <t>08655440</t>
  </si>
  <si>
    <t>209</t>
  </si>
  <si>
    <t>Тополевское</t>
  </si>
  <si>
    <t>08655465</t>
  </si>
  <si>
    <t>9</t>
  </si>
  <si>
    <t>ter_62</t>
  </si>
  <si>
    <t>189</t>
  </si>
  <si>
    <t>Дружбинское</t>
  </si>
  <si>
    <t>08655415</t>
  </si>
  <si>
    <t>200</t>
  </si>
  <si>
    <t>Некрасовское</t>
  </si>
  <si>
    <t>08655448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</si>
  <si>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</si>
  <si>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</si>
  <si>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</si>
  <si>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</si>
  <si>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</si>
  <si>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</si>
  <si>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</si>
  <si>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</si>
  <si>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</si>
  <si>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</si>
  <si>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</si>
  <si>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Амурская ТЭЦ-1 (г. Амурск)</t>
  </si>
  <si>
    <t>diff_1</t>
  </si>
  <si>
    <t>4190068; 4190069; 4190070; 4190071; 4190072</t>
  </si>
  <si>
    <t>a</t>
  </si>
  <si>
    <t>Добавить централизованную систему</t>
  </si>
  <si>
    <t>Николаевская ТЭЦ (г. Николаевск)</t>
  </si>
  <si>
    <t>diff_66</t>
  </si>
  <si>
    <t>Комсомольская ТЭЦ-1 (г. Комсомольск)</t>
  </si>
  <si>
    <t>diff_67</t>
  </si>
  <si>
    <t>Комсомольская ТЭЦ-2 (г. Комсомольск)</t>
  </si>
  <si>
    <t>diff_68</t>
  </si>
  <si>
    <t>Комсомольская ТЭЦ-3 (г. Комсомольск)</t>
  </si>
  <si>
    <t>diff_69</t>
  </si>
  <si>
    <t>ВК "Дземги" (г. Комсомольск)</t>
  </si>
  <si>
    <t>diff_70</t>
  </si>
  <si>
    <t>ТЭЦ в г. Советская Гавань (г. Советская Гавань)</t>
  </si>
  <si>
    <t>diff_71</t>
  </si>
  <si>
    <t xml:space="preserve">Майская котельная </t>
  </si>
  <si>
    <t>diff_72</t>
  </si>
  <si>
    <t>Ургальская котельная (п. Чегдомын)</t>
  </si>
  <si>
    <t>diff_73</t>
  </si>
  <si>
    <t>Хабаровская ТЭЦ-1 (г. Хабаровск, с. Ильинское, п. Корфовский, с. Ракитненское)</t>
  </si>
  <si>
    <t>diff_74</t>
  </si>
  <si>
    <t>Хабаровская ТЭЦ-2 (г. Хабаровск)</t>
  </si>
  <si>
    <t>diff_75</t>
  </si>
  <si>
    <t>Котельная в Волочаевском городке</t>
  </si>
  <si>
    <t>diff_76</t>
  </si>
  <si>
    <t>Хабаровская ТЭЦ-3 (г. Хабаровск, с. Восточное, с. Мирненское, с. Тополевское)</t>
  </si>
  <si>
    <t>diff_77</t>
  </si>
  <si>
    <t xml:space="preserve">Котельная в с. Некрасовка (с. Дружбинское, с. Некрасовское) </t>
  </si>
  <si>
    <t>diff_78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</si>
  <si>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</si>
  <si>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</si>
  <si>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</si>
  <si>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</si>
  <si>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</si>
  <si>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</si>
  <si>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</si>
  <si>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</si>
  <si>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</si>
  <si>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</si>
  <si>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</si>
  <si>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</si>
  <si>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</si>
  <si>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</si>
  <si>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</si>
  <si>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</si>
  <si>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</si>
  <si>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</si>
  <si>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</si>
  <si>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</si>
  <si>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</si>
  <si>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</si>
  <si>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</si>
  <si>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</si>
  <si>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</si>
  <si>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</si>
  <si>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</si>
  <si>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</si>
  <si>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</si>
  <si>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</si>
  <si>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</si>
  <si>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</si>
  <si>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</si>
  <si>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</si>
  <si>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</si>
  <si>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</si>
  <si>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</si>
  <si>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</si>
  <si>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</si>
  <si>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</si>
  <si>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</si>
  <si>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</si>
  <si>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</si>
  <si>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</si>
  <si>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</si>
  <si>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</si>
  <si>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</si>
  <si>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</si>
  <si>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</si>
  <si>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</si>
  <si>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</si>
  <si>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</si>
  <si>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</si>
  <si>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</si>
  <si>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</si>
  <si>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</si>
  <si>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</si>
  <si>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</si>
  <si>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</si>
  <si>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</si>
  <si>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</si>
  <si>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</si>
  <si>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</si>
  <si>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</si>
  <si>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</si>
  <si>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</si>
  <si>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</si>
  <si>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</si>
  <si>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</si>
  <si>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</si>
  <si>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</si>
  <si>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</si>
  <si>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</si>
  <si>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</si>
  <si>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</si>
  <si>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</si>
  <si>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</si>
  <si>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</si>
  <si>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</si>
  <si>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</si>
  <si>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</si>
  <si>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</si>
  <si>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</si>
  <si>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</si>
  <si>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</si>
  <si>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</si>
  <si>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</si>
  <si>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</si>
  <si>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</si>
  <si>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</si>
  <si>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</si>
  <si>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</si>
  <si>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</si>
  <si>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</si>
  <si>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</si>
  <si>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</si>
  <si>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</si>
  <si>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</si>
  <si>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</si>
  <si>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</si>
  <si>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</si>
  <si>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</si>
  <si>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</si>
  <si>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</si>
  <si>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</si>
  <si>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</si>
  <si>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</si>
  <si>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</si>
  <si>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</si>
  <si>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</si>
  <si>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</si>
  <si>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</si>
  <si>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</si>
  <si>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</si>
  <si>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</si>
  <si>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</si>
  <si>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</si>
  <si>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</si>
  <si>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</si>
  <si>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</si>
  <si>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</si>
  <si>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</si>
  <si>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</si>
  <si>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</si>
  <si>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</si>
  <si>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</si>
  <si>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</si>
  <si>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</si>
  <si>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</si>
  <si>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</si>
  <si>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</si>
  <si>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</si>
  <si>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</si>
  <si>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</si>
  <si>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</si>
  <si>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</si>
  <si>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</si>
  <si>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</si>
  <si>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</si>
  <si>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</si>
  <si>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</si>
  <si>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</si>
  <si>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</si>
  <si>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</si>
  <si>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</si>
  <si>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</si>
  <si>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</si>
  <si>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</si>
  <si>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</si>
  <si>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</si>
  <si>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</si>
  <si>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</si>
  <si>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</si>
  <si>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</si>
  <si>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</si>
  <si>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</si>
  <si>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</si>
  <si>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</si>
  <si>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</si>
  <si>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</si>
  <si>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</si>
  <si>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</si>
  <si>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</si>
  <si>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</si>
  <si>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</si>
  <si>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</si>
  <si>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</si>
  <si>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</si>
  <si>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</si>
  <si>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</si>
  <si>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</si>
  <si>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</si>
  <si>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</si>
  <si>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</si>
  <si>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</si>
  <si>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</si>
  <si>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</si>
  <si>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</si>
  <si>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</si>
  <si>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</si>
  <si>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</si>
  <si>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</si>
  <si>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</si>
  <si>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</si>
  <si>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</si>
  <si>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</si>
  <si>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</si>
  <si>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</si>
  <si>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</si>
  <si>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</si>
  <si>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</si>
  <si>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</si>
  <si>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</si>
  <si>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</si>
  <si>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</si>
  <si>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</si>
  <si>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</si>
  <si>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</si>
  <si>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</si>
  <si>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</si>
  <si>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</si>
  <si>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</si>
  <si>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</si>
  <si>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</si>
  <si>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</si>
  <si>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</si>
  <si>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</si>
  <si>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</si>
  <si>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</si>
  <si>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</si>
  <si>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</si>
  <si>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</si>
  <si>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</si>
  <si>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</si>
  <si>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</si>
  <si>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</si>
  <si>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</si>
  <si>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</si>
  <si>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</si>
  <si>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</si>
  <si>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</si>
  <si>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</si>
  <si>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</si>
  <si>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</si>
  <si>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</si>
  <si>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</si>
  <si>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</si>
  <si>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</si>
  <si>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</si>
  <si>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</si>
  <si>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</si>
  <si>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</si>
  <si>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</si>
  <si>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</si>
  <si>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</si>
  <si>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</si>
  <si>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</si>
  <si>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</si>
  <si>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</si>
  <si>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</si>
  <si>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</si>
  <si>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</si>
  <si>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</si>
  <si>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</si>
  <si>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</si>
  <si>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</si>
  <si>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</si>
  <si>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</si>
  <si>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</si>
  <si>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</si>
  <si>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</si>
  <si>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</si>
  <si>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</si>
  <si>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</si>
  <si>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</si>
  <si>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</si>
  <si>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</si>
  <si>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</si>
  <si>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</si>
  <si>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</si>
  <si>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</si>
  <si>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</si>
  <si>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</si>
  <si>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</si>
  <si>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</si>
  <si>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</si>
  <si>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</si>
  <si>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</si>
  <si>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</si>
  <si>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</si>
  <si>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</si>
  <si>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</si>
  <si>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</si>
  <si>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</si>
  <si>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</si>
  <si>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</si>
  <si>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</si>
  <si>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</si>
  <si>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</si>
  <si>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</si>
  <si>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</si>
  <si>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</si>
  <si>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</si>
  <si>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</si>
  <si>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</si>
  <si>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</si>
  <si>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</si>
  <si>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</si>
  <si>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</si>
  <si>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</si>
  <si>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</si>
  <si>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</si>
  <si>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</si>
  <si>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</si>
  <si>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</si>
  <si>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</si>
  <si>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</si>
  <si>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</si>
  <si>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</si>
  <si>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</si>
  <si>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</si>
  <si>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</si>
  <si>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</si>
  <si>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</si>
  <si>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</si>
  <si>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</si>
  <si>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</si>
  <si>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</si>
  <si>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</si>
  <si>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</si>
  <si>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</si>
  <si>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</si>
  <si>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</si>
  <si>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</si>
  <si>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</si>
  <si>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</si>
  <si>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</si>
  <si>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</si>
  <si>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</si>
  <si>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</si>
  <si>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</si>
  <si>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</si>
  <si>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</si>
  <si>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</si>
  <si>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</si>
  <si>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</si>
  <si>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</si>
  <si>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</si>
  <si>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</si>
  <si>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</si>
  <si>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</si>
  <si>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</si>
  <si>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</si>
  <si>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</si>
  <si>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</si>
  <si>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</si>
  <si>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</si>
  <si>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</si>
  <si>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</si>
  <si>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</si>
  <si>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</si>
  <si>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</si>
  <si>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</si>
  <si>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</si>
  <si>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</si>
  <si>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</si>
  <si>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</si>
  <si>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</si>
  <si>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</si>
  <si>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</si>
  <si>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</si>
  <si>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</si>
  <si>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</si>
  <si>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</si>
  <si>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</si>
  <si>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</si>
  <si>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</si>
  <si>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</si>
  <si>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</si>
  <si>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</si>
  <si>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</si>
  <si>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</si>
  <si>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</si>
  <si>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</si>
  <si>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</si>
  <si>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</si>
  <si>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</si>
  <si>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</si>
  <si>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</si>
  <si>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</si>
  <si>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</si>
  <si>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</si>
  <si>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</si>
  <si>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</si>
  <si>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</si>
  <si>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</si>
  <si>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</si>
  <si>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</si>
  <si>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</si>
  <si>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</si>
  <si>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</si>
  <si>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</si>
  <si>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</si>
  <si>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</si>
  <si>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</si>
  <si>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</si>
  <si>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</si>
  <si>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</si>
  <si>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</si>
  <si>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</si>
  <si>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</si>
  <si>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</si>
  <si>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</si>
  <si>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</si>
  <si>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</si>
  <si>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</si>
  <si>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</si>
  <si>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</si>
  <si>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</si>
  <si>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</si>
  <si>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</si>
  <si>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</si>
  <si>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</si>
  <si>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</si>
  <si>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</si>
  <si>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</si>
  <si>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</si>
  <si>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</si>
  <si>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</si>
  <si>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</si>
  <si>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</si>
  <si>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</si>
  <si>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</si>
  <si>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</si>
  <si>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</si>
  <si>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</si>
  <si>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</si>
  <si>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</si>
  <si>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</si>
  <si>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</si>
  <si>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</si>
  <si>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</si>
  <si>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</si>
  <si>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</si>
  <si>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</si>
  <si>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</si>
  <si>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</si>
  <si>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</si>
  <si>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</si>
  <si>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</si>
  <si>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</si>
  <si>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</si>
  <si>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</si>
  <si>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</si>
  <si>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</si>
  <si>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</si>
  <si>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</si>
  <si>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</si>
  <si>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</si>
  <si>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</si>
  <si>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</si>
  <si>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</si>
  <si>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</si>
  <si>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</si>
  <si>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</si>
  <si>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</si>
  <si>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</si>
  <si>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</si>
  <si>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</si>
  <si>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</si>
  <si>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</si>
  <si>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</si>
  <si>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</si>
  <si>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</si>
  <si>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</si>
  <si>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</si>
  <si>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</si>
  <si>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</si>
  <si>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</si>
  <si>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</si>
  <si>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</si>
  <si>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</si>
  <si>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</si>
  <si>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</si>
  <si>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</si>
  <si>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</si>
  <si>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</si>
  <si>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</si>
  <si>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</si>
  <si>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</si>
  <si>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</si>
  <si>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</si>
  <si>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</si>
  <si>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</si>
  <si>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</si>
  <si>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</si>
  <si>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</si>
  <si>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</si>
  <si>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</si>
  <si>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</si>
  <si>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</si>
  <si>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</si>
  <si>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</si>
  <si>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</si>
  <si>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</si>
  <si>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</si>
  <si>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</si>
  <si>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</si>
  <si>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</si>
  <si>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</si>
  <si>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</si>
  <si>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</si>
  <si>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</si>
  <si>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</si>
  <si>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</si>
  <si>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</si>
  <si>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</si>
  <si>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</si>
  <si>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</si>
  <si>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</si>
  <si>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</si>
  <si>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</si>
  <si>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</si>
  <si>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</si>
  <si>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</si>
  <si>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</si>
  <si>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</si>
  <si>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</si>
  <si>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</si>
  <si>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</si>
  <si>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</si>
  <si>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</si>
  <si>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</si>
  <si>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</si>
  <si>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</si>
  <si>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</si>
  <si>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</si>
  <si>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</si>
  <si>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</si>
  <si>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</si>
  <si>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</si>
  <si>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</si>
  <si>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</si>
  <si>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</si>
  <si>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</si>
  <si>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</si>
  <si>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</si>
  <si>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</si>
  <si>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</si>
  <si>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</si>
  <si>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</si>
  <si>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</si>
  <si>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</si>
  <si>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</si>
  <si>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</si>
  <si>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</si>
  <si>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</si>
  <si>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</si>
  <si>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</si>
  <si>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</si>
  <si>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</si>
  <si>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</si>
  <si>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</si>
  <si>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</si>
  <si>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</si>
  <si>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</si>
  <si>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</si>
  <si>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</si>
  <si>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</si>
  <si>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</si>
  <si>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</si>
  <si>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</si>
  <si>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</si>
  <si>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</si>
  <si>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</si>
  <si>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</si>
  <si>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</si>
  <si>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</si>
  <si>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</si>
  <si>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</si>
  <si>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</si>
  <si>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</si>
  <si>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</si>
  <si>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</si>
  <si>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</si>
  <si>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</si>
  <si>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</si>
  <si>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</si>
  <si>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</si>
  <si>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</si>
  <si>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</si>
  <si>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</si>
  <si>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</si>
  <si>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</si>
  <si>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</si>
  <si>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</si>
  <si>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</si>
  <si>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</si>
  <si>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</si>
  <si>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</si>
  <si>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</si>
  <si>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</si>
  <si>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</si>
  <si>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</si>
  <si>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</si>
  <si>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</si>
  <si>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</si>
  <si>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</si>
  <si>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</si>
  <si>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</si>
  <si>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</si>
  <si>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</si>
  <si>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</si>
  <si>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</si>
  <si>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</si>
  <si>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</si>
  <si>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</si>
  <si>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</si>
  <si>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</si>
  <si>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</si>
  <si>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</si>
  <si>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</si>
  <si>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</si>
  <si>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</si>
  <si>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</si>
  <si>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</si>
  <si>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</si>
  <si>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</si>
  <si>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</si>
  <si>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</si>
  <si>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</si>
  <si>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</si>
  <si>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</si>
  <si>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</si>
  <si>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</si>
  <si>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</si>
  <si>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</si>
  <si>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</si>
  <si>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</si>
  <si>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</si>
  <si>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</si>
  <si>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</si>
  <si>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</si>
  <si>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</si>
  <si>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</si>
  <si>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</si>
  <si>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</si>
  <si>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</si>
  <si>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</si>
  <si>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</si>
  <si>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</si>
  <si>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</si>
  <si>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</si>
  <si>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</si>
  <si>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</si>
  <si>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</si>
  <si>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</si>
  <si>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</si>
  <si>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</si>
  <si>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</si>
  <si>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</si>
  <si>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</si>
  <si>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</si>
  <si>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</si>
  <si>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</si>
  <si>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</si>
  <si>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</si>
  <si>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</si>
  <si>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</si>
  <si>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</si>
  <si>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</si>
  <si>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</si>
  <si>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</si>
  <si>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</si>
  <si>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</si>
  <si>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</si>
  <si>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</si>
  <si>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</si>
  <si>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</si>
  <si>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</si>
  <si>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</si>
  <si>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</si>
  <si>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</si>
  <si>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</si>
  <si>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</si>
  <si>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</si>
  <si>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</si>
  <si>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</si>
  <si>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</si>
  <si>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</si>
  <si>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</si>
  <si>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</si>
  <si>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</si>
  <si>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</si>
  <si>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</si>
  <si>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</si>
  <si>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</si>
  <si>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</si>
  <si>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</si>
  <si>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</si>
  <si>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</si>
  <si>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</si>
  <si>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</si>
  <si>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</si>
  <si>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</si>
  <si>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</si>
  <si>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</si>
  <si>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</si>
  <si>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</si>
  <si>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</si>
  <si>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</si>
  <si>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</si>
  <si>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</si>
  <si>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</si>
  <si>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</si>
  <si>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</si>
  <si>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</si>
  <si>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</si>
  <si>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</si>
  <si>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</si>
  <si>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</si>
  <si>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</si>
  <si>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</si>
  <si>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</si>
  <si>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</si>
  <si>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</si>
  <si>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</si>
  <si>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</si>
  <si>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</si>
  <si>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</si>
  <si>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</si>
  <si>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</si>
  <si>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</si>
  <si>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</si>
  <si>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</si>
  <si>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</si>
  <si>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</si>
  <si>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</si>
  <si>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</si>
  <si>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</si>
  <si>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</si>
  <si>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</si>
  <si>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</si>
  <si>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</si>
  <si>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</si>
  <si>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</si>
  <si>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</si>
  <si>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</si>
  <si>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</si>
  <si>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</si>
  <si>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</si>
  <si>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</si>
  <si>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</si>
  <si>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</si>
  <si>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</si>
  <si>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</si>
  <si>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</si>
  <si>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</si>
  <si>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</si>
  <si>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</si>
  <si>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</si>
  <si>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</si>
  <si>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</si>
  <si>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</si>
  <si>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</si>
  <si>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</si>
  <si>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</si>
  <si>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</si>
  <si>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</si>
  <si>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</si>
  <si>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</si>
  <si>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</si>
  <si>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</si>
  <si>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</si>
  <si>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</si>
  <si>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</si>
  <si>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</si>
  <si>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</si>
  <si>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</si>
  <si>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</si>
  <si>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</si>
  <si>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</si>
  <si>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</si>
  <si>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</si>
  <si>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</si>
  <si>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</si>
  <si>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</si>
  <si>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</si>
  <si>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</si>
  <si>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ограничение отопления за задолженность</t>
  </si>
  <si>
    <t>ограничение ГВС за задолженность</t>
  </si>
  <si>
    <t>отключение при аварийной ситуации в зоне ТЭЦ</t>
  </si>
  <si>
    <t>прекращение ГВС по заявке</t>
  </si>
  <si>
    <t>отключение при аварийной ситуации-повреждение по прямому трубопроводу в зоне ТЭЦ</t>
  </si>
  <si>
    <t>отключение при аварийной ситуации- повреждение по обратному трубопроводу в зоне ТЭЦ</t>
  </si>
  <si>
    <t>самоограничение ГВС за задолженность</t>
  </si>
  <si>
    <t>прекращение ГВС за задолженность</t>
  </si>
  <si>
    <t>самоограничение отопления за задолженность</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</si>
  <si>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</si>
  <si>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</si>
  <si>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</si>
  <si>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</si>
  <si>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</si>
  <si>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</si>
  <si>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</si>
  <si>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</si>
  <si>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</si>
  <si>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</si>
  <si>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</si>
  <si>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</si>
  <si>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</si>
  <si>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</si>
  <si>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</si>
  <si>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</si>
  <si>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</si>
  <si>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</si>
  <si>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</si>
  <si>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</si>
  <si>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</si>
  <si>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</si>
  <si>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</si>
  <si>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</si>
  <si>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</si>
  <si>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</si>
  <si>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</si>
  <si>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</si>
  <si>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</si>
  <si>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</si>
  <si>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</si>
  <si>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</si>
  <si>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</si>
  <si>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</si>
  <si>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</si>
  <si>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</si>
  <si>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</si>
  <si>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</si>
  <si>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</si>
  <si>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</si>
  <si>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</si>
  <si>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</si>
  <si>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</si>
  <si>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</si>
  <si>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</si>
  <si>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</si>
  <si>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</si>
  <si>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</si>
  <si>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</si>
  <si>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</si>
  <si>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</si>
  <si>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</si>
  <si>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</si>
  <si>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</si>
  <si>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</si>
  <si>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</si>
  <si>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</si>
  <si>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</si>
  <si>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</si>
  <si>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</si>
  <si>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</si>
  <si>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</si>
  <si>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</si>
  <si>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</si>
  <si>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</si>
  <si>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</si>
  <si>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</si>
  <si>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</si>
  <si>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</si>
  <si>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</si>
  <si>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</si>
  <si>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</si>
  <si>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</si>
  <si>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</si>
  <si>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</si>
  <si>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</si>
  <si>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</si>
  <si>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</si>
  <si>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</si>
  <si>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</si>
  <si>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</si>
  <si>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</si>
  <si>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</si>
  <si>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</si>
  <si>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</si>
  <si>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</si>
  <si>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</si>
  <si>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</si>
  <si>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</si>
  <si>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</si>
  <si>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</si>
  <si>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</si>
  <si>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</si>
  <si>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</si>
  <si>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</si>
  <si>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</si>
  <si>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</si>
  <si>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</si>
  <si>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</si>
  <si>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</si>
  <si>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</si>
  <si>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</si>
  <si>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</si>
  <si>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</si>
  <si>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</si>
  <si>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</si>
  <si>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</si>
  <si>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</si>
  <si>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</si>
  <si>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</si>
  <si>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</si>
  <si>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</si>
  <si>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</si>
  <si>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</si>
  <si>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</si>
  <si>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</si>
  <si>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</si>
  <si>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</si>
  <si>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</si>
  <si>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</si>
  <si>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</si>
  <si>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</si>
  <si>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</si>
  <si>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</si>
  <si>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</si>
  <si>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</si>
  <si>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</si>
  <si>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</si>
  <si>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</si>
  <si>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</si>
  <si>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</si>
  <si>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</si>
  <si>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</si>
  <si>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</si>
  <si>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</si>
  <si>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</si>
  <si>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</si>
  <si>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</si>
  <si>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</si>
  <si>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</si>
  <si>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</si>
  <si>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</si>
  <si>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</si>
  <si>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</si>
  <si>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</si>
  <si>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</si>
  <si>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</si>
  <si>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</si>
  <si>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</si>
  <si>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</si>
  <si>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</si>
  <si>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</si>
  <si>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</si>
  <si>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</si>
  <si>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</si>
  <si>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</si>
  <si>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</si>
  <si>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расположен вне зоны эксплуатационной ответственности АО "ДГК"</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</si>
  <si>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</si>
  <si>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</si>
  <si>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</si>
  <si>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</si>
  <si>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</si>
  <si>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</si>
  <si>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</si>
  <si>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</si>
  <si>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</si>
  <si>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</si>
  <si>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</si>
  <si>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</si>
  <si>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</si>
  <si>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</si>
  <si>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</si>
  <si>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</si>
  <si>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</si>
  <si>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</si>
  <si>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</si>
  <si>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</si>
  <si>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</si>
  <si>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</si>
  <si>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</si>
  <si>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</si>
  <si>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</si>
  <si>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</si>
  <si>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</si>
  <si>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</si>
  <si>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</si>
  <si>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</si>
  <si>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</si>
  <si>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</si>
  <si>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</si>
  <si>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</si>
  <si>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</si>
  <si>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</si>
  <si>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</si>
  <si>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</si>
  <si>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</si>
  <si>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</si>
  <si>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</si>
  <si>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</si>
  <si>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</si>
  <si>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</si>
  <si>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</si>
  <si>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</si>
  <si>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</si>
  <si>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</si>
  <si>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</si>
  <si>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</si>
  <si>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</si>
  <si>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</si>
  <si>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</si>
  <si>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</si>
  <si>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</si>
  <si>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</si>
  <si>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</si>
  <si>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</si>
  <si>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</si>
  <si>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</si>
  <si>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</si>
  <si>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</si>
  <si>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</si>
  <si>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</si>
  <si>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</si>
  <si>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</si>
  <si>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</si>
  <si>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</si>
  <si>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</si>
  <si>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</si>
  <si>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</si>
  <si>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</si>
  <si>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</si>
  <si>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</si>
  <si>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</si>
  <si>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</si>
  <si>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</si>
  <si>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</si>
  <si>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</si>
  <si>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</si>
  <si>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</si>
  <si>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</si>
  <si>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</si>
  <si>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</si>
  <si>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</si>
  <si>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</si>
  <si>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</si>
  <si>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</si>
  <si>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</si>
  <si>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</si>
  <si>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</si>
  <si>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</si>
  <si>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</si>
  <si>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</si>
  <si>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</si>
  <si>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</si>
  <si>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</si>
  <si>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</si>
  <si>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</si>
  <si>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</si>
  <si>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</si>
  <si>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</si>
  <si>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</si>
  <si>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</si>
  <si>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</si>
  <si>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</si>
  <si>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</si>
  <si>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</si>
  <si>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</si>
  <si>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</si>
  <si>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</si>
  <si>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</si>
  <si>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</si>
  <si>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</si>
  <si>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</si>
  <si>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</si>
  <si>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</si>
  <si>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</si>
  <si>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</si>
  <si>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</si>
  <si>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</si>
  <si>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</si>
  <si>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</si>
  <si>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</si>
  <si>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</si>
  <si>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</si>
  <si>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</si>
  <si>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</si>
  <si>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</si>
  <si>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</si>
  <si>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</si>
  <si>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</si>
  <si>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</si>
  <si>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</si>
  <si>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</si>
  <si>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</si>
  <si>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</si>
  <si>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</si>
  <si>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</si>
  <si>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</si>
  <si>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</si>
  <si>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</si>
  <si>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</si>
  <si>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</si>
  <si>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</si>
  <si>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</si>
  <si>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</si>
  <si>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</si>
  <si>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</si>
  <si>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</si>
  <si>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</si>
  <si>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</si>
  <si>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</si>
  <si>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</si>
  <si>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</si>
  <si>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</si>
  <si>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</si>
  <si>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</si>
  <si>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</si>
  <si>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</si>
  <si>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</si>
  <si>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</si>
  <si>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</si>
  <si>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</si>
  <si>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</si>
  <si>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</si>
  <si>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</si>
  <si>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</si>
  <si>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</si>
  <si>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</si>
  <si>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</si>
  <si>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</si>
  <si>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</si>
  <si>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</si>
  <si>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</si>
  <si>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</si>
  <si>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</si>
  <si>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</si>
  <si>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</si>
  <si>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</si>
  <si>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</si>
  <si>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</si>
  <si>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</si>
  <si>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</si>
  <si>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</si>
  <si>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</si>
  <si>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</si>
  <si>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</si>
  <si>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</si>
  <si>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</si>
  <si>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</si>
  <si>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</si>
  <si>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</si>
  <si>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</si>
  <si>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</si>
  <si>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</si>
  <si>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</si>
  <si>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</si>
  <si>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</si>
  <si>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</si>
  <si>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</si>
  <si>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</si>
  <si>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</si>
  <si>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</si>
  <si>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</si>
  <si>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</si>
  <si>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</si>
  <si>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</si>
  <si>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</si>
  <si>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</si>
  <si>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</si>
  <si>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</si>
  <si>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</si>
  <si>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</si>
  <si>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</si>
  <si>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</si>
  <si>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</si>
  <si>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</si>
  <si>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</si>
  <si>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</si>
  <si>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</si>
  <si>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</si>
  <si>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</si>
  <si>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</si>
  <si>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</si>
  <si>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</si>
  <si>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</si>
  <si>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</si>
  <si>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</si>
  <si>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</si>
  <si>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</si>
  <si>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</si>
  <si>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</si>
  <si>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</si>
  <si>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</si>
  <si>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</si>
  <si>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</si>
  <si>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</si>
  <si>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</si>
  <si>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</si>
  <si>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</si>
  <si>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</si>
  <si>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</si>
  <si>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</si>
  <si>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</si>
  <si>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</si>
  <si>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</si>
  <si>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</si>
  <si>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</si>
  <si>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</si>
  <si>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</si>
  <si>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</si>
  <si>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</si>
  <si>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</si>
  <si>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</si>
  <si>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</si>
  <si>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</si>
  <si>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</si>
  <si>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</si>
  <si>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</si>
  <si>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</si>
  <si>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</si>
  <si>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</si>
  <si>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</si>
  <si>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</si>
  <si>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</si>
  <si>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</si>
  <si>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</si>
  <si>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</si>
  <si>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</si>
  <si>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</si>
  <si>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</si>
  <si>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</si>
  <si>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</si>
  <si>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</si>
  <si>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</si>
  <si>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</si>
  <si>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</si>
  <si>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</si>
  <si>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</si>
  <si>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</si>
  <si>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</si>
  <si>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</si>
  <si>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</si>
  <si>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</si>
  <si>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</si>
  <si>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</si>
  <si>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</si>
  <si>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</si>
  <si>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</si>
  <si>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</si>
  <si>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</si>
  <si>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</si>
  <si>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</si>
  <si>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</si>
  <si>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</si>
  <si>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</si>
  <si>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</si>
  <si>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</si>
  <si>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</si>
  <si>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</si>
  <si>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</si>
  <si>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</si>
  <si>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</si>
  <si>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</si>
  <si>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</si>
  <si>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</si>
  <si>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</si>
  <si>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</si>
  <si>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</si>
  <si>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</si>
  <si>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</si>
  <si>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</si>
  <si>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</si>
  <si>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</si>
  <si>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</si>
  <si>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</si>
  <si>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</si>
  <si>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</si>
  <si>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</si>
  <si>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</si>
  <si>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</si>
  <si>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</si>
  <si>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</si>
  <si>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</si>
  <si>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</si>
  <si>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</si>
  <si>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</si>
  <si>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</si>
  <si>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</si>
  <si>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</si>
  <si>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</si>
  <si>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</si>
  <si>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</si>
  <si>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</si>
  <si>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</si>
  <si>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</si>
  <si>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</si>
  <si>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</si>
  <si>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</si>
  <si>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</si>
  <si>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</si>
  <si>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</si>
  <si>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</si>
  <si>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</si>
  <si>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</si>
  <si>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</si>
  <si>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</si>
  <si>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</si>
  <si>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</si>
  <si>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</si>
  <si>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</si>
  <si>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</si>
  <si>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</si>
  <si>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</si>
  <si>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</si>
  <si>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</si>
  <si>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</si>
  <si>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</si>
  <si>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</si>
  <si>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</si>
  <si>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</si>
  <si>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</si>
  <si>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</si>
  <si>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</si>
  <si>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</si>
  <si>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</si>
  <si>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</si>
  <si>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</si>
  <si>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</si>
  <si>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</si>
  <si>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</si>
  <si>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</si>
  <si>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</si>
  <si>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</si>
  <si>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</si>
  <si>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</si>
  <si>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</si>
  <si>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</si>
  <si>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</si>
  <si>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</si>
  <si>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</si>
  <si>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</si>
  <si>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</si>
  <si>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</si>
  <si>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</si>
  <si>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</si>
  <si>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</si>
  <si>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</si>
  <si>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</si>
  <si>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</si>
  <si>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</si>
  <si>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</si>
  <si>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</si>
  <si>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</si>
  <si>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</si>
  <si>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</si>
  <si>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</si>
  <si>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</si>
  <si>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</si>
  <si>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</si>
  <si>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</si>
  <si>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</si>
  <si>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</si>
  <si>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</si>
  <si>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</si>
  <si>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</si>
  <si>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</si>
  <si>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</si>
  <si>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</si>
  <si>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</si>
  <si>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</si>
  <si>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</si>
  <si>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</si>
  <si>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</si>
  <si>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</si>
  <si>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</si>
  <si>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</si>
  <si>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</si>
  <si>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</si>
  <si>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</si>
  <si>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</si>
  <si>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</si>
  <si>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</si>
  <si>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</si>
  <si>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</si>
  <si>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</si>
  <si>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</si>
  <si>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</si>
  <si>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</si>
  <si>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</si>
  <si>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</si>
  <si>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</si>
  <si>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</si>
  <si>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</si>
  <si>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</si>
  <si>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</si>
  <si>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</si>
  <si>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</si>
  <si>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</si>
  <si>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</si>
  <si>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</si>
  <si>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</si>
  <si>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</si>
  <si>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</si>
  <si>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</si>
  <si>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</si>
  <si>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</si>
  <si>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</si>
  <si>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</si>
  <si>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</si>
  <si>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</si>
  <si>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</si>
  <si>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</si>
  <si>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</si>
  <si>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</si>
  <si>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</si>
  <si>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</si>
  <si>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</si>
  <si>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</si>
  <si>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</si>
  <si>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</si>
  <si>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</si>
  <si>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</si>
  <si>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</si>
  <si>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</si>
  <si>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</si>
  <si>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</si>
  <si>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</si>
  <si>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</si>
  <si>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</si>
  <si>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</si>
  <si>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</si>
  <si>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</si>
  <si>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</si>
  <si>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</si>
  <si>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</si>
  <si>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</si>
  <si>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</si>
  <si>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</si>
  <si>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</si>
  <si>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</si>
  <si>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</si>
  <si>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</si>
  <si>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</si>
  <si>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</si>
  <si>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</si>
  <si>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</si>
  <si>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</si>
  <si>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</si>
  <si>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</si>
  <si>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</si>
  <si>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</si>
  <si>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</si>
  <si>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</si>
  <si>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</si>
  <si>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</si>
  <si>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</si>
  <si>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</si>
  <si>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</si>
  <si>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</si>
  <si>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</si>
  <si>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</si>
  <si>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</si>
  <si>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</si>
  <si>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</si>
  <si>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</si>
  <si>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</si>
  <si>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</si>
  <si>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</si>
  <si>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</si>
  <si>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</si>
  <si>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</si>
  <si>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</si>
  <si>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</si>
  <si>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</si>
  <si>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</si>
  <si>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</si>
  <si>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</si>
  <si>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</si>
  <si>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</si>
  <si>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</si>
  <si>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</si>
  <si>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</si>
  <si>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</si>
  <si>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</si>
  <si>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</si>
  <si>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</si>
  <si>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</si>
  <si>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</si>
  <si>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</si>
  <si>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</si>
  <si>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</si>
  <si>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</si>
  <si>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</si>
  <si>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</si>
  <si>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</si>
  <si>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</si>
  <si>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</si>
  <si>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</si>
  <si>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</si>
  <si>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</si>
  <si>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</si>
  <si>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</si>
  <si>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</si>
  <si>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</si>
  <si>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</si>
  <si>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</si>
  <si>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</si>
  <si>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</si>
  <si>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</si>
  <si>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</si>
  <si>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</si>
  <si>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</si>
  <si>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</si>
  <si>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</si>
  <si>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</si>
  <si>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</si>
  <si>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</si>
  <si>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</si>
  <si>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</si>
  <si>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</si>
  <si>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</si>
  <si>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</si>
  <si>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</si>
  <si>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</si>
  <si>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</si>
  <si>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</si>
  <si>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</si>
  <si>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</si>
  <si>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</si>
  <si>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</si>
  <si>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</si>
  <si>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</si>
  <si>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</si>
  <si>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</si>
  <si>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</si>
  <si>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</si>
  <si>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</si>
  <si>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</si>
  <si>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</si>
  <si>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</si>
  <si>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</si>
  <si>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</si>
  <si>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</si>
  <si>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</si>
  <si>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</si>
  <si>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</si>
  <si>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</si>
  <si>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</si>
  <si>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</si>
  <si>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</si>
  <si>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</si>
  <si>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</si>
  <si>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</si>
  <si>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</si>
  <si>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</si>
  <si>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</si>
  <si>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</si>
  <si>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</si>
  <si>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</si>
  <si>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</si>
  <si>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</si>
  <si>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</si>
  <si>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</si>
  <si>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</si>
  <si>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</si>
  <si>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</si>
  <si>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</si>
  <si>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</si>
  <si>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</si>
  <si>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</si>
  <si>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</si>
  <si>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</si>
  <si>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</si>
  <si>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</si>
  <si>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</si>
  <si>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</si>
  <si>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</si>
  <si>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</si>
  <si>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</si>
  <si>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</si>
  <si>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</si>
  <si>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</si>
  <si>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</si>
  <si>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</si>
  <si>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</si>
  <si>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</si>
  <si>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</si>
  <si>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</si>
  <si>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</si>
  <si>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</si>
  <si>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</si>
  <si>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</si>
  <si>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</si>
  <si>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</si>
  <si>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</si>
  <si>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</si>
  <si>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</si>
  <si>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</si>
  <si>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</si>
  <si>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</si>
  <si>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</si>
  <si>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</si>
  <si>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</si>
  <si>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</si>
  <si>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</si>
  <si>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</si>
  <si>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</si>
  <si>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</si>
  <si>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</si>
  <si>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</si>
  <si>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</si>
  <si>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</si>
  <si>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</si>
  <si>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</si>
  <si>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</si>
  <si>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</si>
  <si>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</si>
  <si>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</si>
  <si>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</si>
  <si>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</si>
  <si>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</si>
  <si>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</si>
  <si>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</si>
  <si>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</si>
  <si>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</si>
  <si>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</si>
  <si>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</si>
  <si>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</si>
  <si>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</si>
  <si>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</si>
  <si>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</si>
  <si>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</si>
  <si>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</si>
  <si>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</si>
  <si>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</si>
  <si>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</si>
  <si>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</si>
  <si>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</si>
  <si>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</si>
  <si>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</si>
  <si>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</si>
  <si>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</si>
  <si>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</si>
  <si>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</si>
  <si>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</si>
  <si>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</si>
  <si>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</si>
  <si>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</si>
  <si>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</si>
  <si>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</si>
  <si>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</si>
  <si>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</si>
  <si>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</si>
  <si>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</si>
  <si>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</si>
  <si>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</si>
  <si>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</si>
  <si>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</si>
  <si>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</si>
  <si>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</si>
  <si>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</si>
  <si>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</si>
  <si>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</si>
  <si>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</si>
  <si>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</si>
  <si>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</si>
  <si>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</si>
  <si>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</si>
  <si>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</si>
  <si>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</si>
  <si>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</si>
  <si>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</si>
  <si>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</si>
  <si>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</si>
  <si>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</si>
  <si>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</si>
  <si>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</si>
  <si>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</si>
  <si>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</si>
  <si>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</si>
  <si>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</si>
  <si>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</si>
  <si>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</si>
  <si>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</si>
  <si>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</si>
  <si>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</si>
  <si>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</si>
  <si>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</si>
  <si>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</si>
  <si>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</si>
  <si>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</si>
  <si>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</si>
  <si>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</si>
  <si>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</si>
  <si>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</si>
  <si>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</si>
  <si>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</si>
  <si>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</si>
  <si>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</si>
  <si>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</si>
  <si>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</si>
  <si>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</si>
  <si>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</si>
  <si>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</si>
  <si>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</si>
  <si>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</si>
  <si>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</si>
  <si>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</si>
  <si>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</si>
  <si>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</si>
  <si>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</si>
  <si>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</si>
  <si>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</si>
  <si>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</si>
  <si>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</si>
  <si>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</si>
  <si>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</si>
  <si>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</si>
  <si>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</si>
  <si>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</si>
  <si>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</si>
  <si>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</si>
  <si>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</si>
  <si>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</si>
  <si>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</si>
  <si>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</si>
  <si>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</si>
  <si>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</si>
  <si>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</si>
  <si>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</si>
  <si>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</si>
  <si>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</si>
  <si>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</si>
  <si>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</si>
  <si>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</si>
  <si>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</si>
  <si>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</si>
  <si>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</si>
  <si>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</si>
  <si>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Хабаровская ТЭЦ-1 дефицит мощности составляет -56,9 Гкал/час</t>
  </si>
  <si>
    <t>Хабаровская ТЭЦ-2 дефицит мощности составляет -129,1 Гкал/час</t>
  </si>
  <si>
    <t>Хабаровская ТЭЦ-3 дефицит мощности составляет -225,8 Гкал/час</t>
  </si>
  <si>
    <t>Котельная в с.Некрасовка дефицит мощности составляет -5,5 Гкал/час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</si>
  <si>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</si>
  <si>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</si>
  <si>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</si>
  <si>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</si>
  <si>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</si>
  <si>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</si>
  <si>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</si>
  <si>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</si>
  <si>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</si>
  <si>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</si>
  <si>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</si>
  <si>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</si>
  <si>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</si>
  <si>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</si>
  <si>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</si>
  <si>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</si>
  <si>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</si>
  <si>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</si>
  <si>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</si>
  <si>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</si>
  <si>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</si>
  <si>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</si>
  <si>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</si>
  <si>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</si>
  <si>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</si>
  <si>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</si>
  <si>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</si>
  <si>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</si>
  <si>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</si>
  <si>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</si>
  <si>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</si>
  <si>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</si>
  <si>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</si>
  <si>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</si>
  <si>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</si>
  <si>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</si>
  <si>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</si>
  <si>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</si>
  <si>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</si>
  <si>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</si>
  <si>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</si>
  <si>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</si>
  <si>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</si>
  <si>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</si>
  <si>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</si>
  <si>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</si>
  <si>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</si>
  <si>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</si>
  <si>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</si>
  <si>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</si>
  <si>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</si>
  <si>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</si>
  <si>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</si>
  <si>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</si>
  <si>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</si>
  <si>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</si>
  <si>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</si>
  <si>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</si>
  <si>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</si>
  <si>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</si>
  <si>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</si>
  <si>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</si>
  <si>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</si>
  <si>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</si>
  <si>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</si>
  <si>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</si>
  <si>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</si>
  <si>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</si>
  <si>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</si>
  <si>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</si>
  <si>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</si>
  <si>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</si>
  <si>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</si>
  <si>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</si>
  <si>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</si>
  <si>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</si>
  <si>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</si>
  <si>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</si>
  <si>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</si>
  <si>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</si>
  <si>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</si>
  <si>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</si>
  <si>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</si>
  <si>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</si>
  <si>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</si>
  <si>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</si>
  <si>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</si>
  <si>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</si>
  <si>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</si>
  <si>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</si>
  <si>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</si>
  <si>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</si>
  <si>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</si>
  <si>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</si>
  <si>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</si>
  <si>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</si>
  <si>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</si>
  <si>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</si>
  <si>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</si>
  <si>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</si>
  <si>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</si>
  <si>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</si>
  <si>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</si>
  <si>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</si>
  <si>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</si>
  <si>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</si>
  <si>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</si>
  <si>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</si>
  <si>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</si>
  <si>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</si>
  <si>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</si>
  <si>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</si>
  <si>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</si>
  <si>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</si>
  <si>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</si>
  <si>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</si>
  <si>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</si>
  <si>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</si>
  <si>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</si>
  <si>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</si>
  <si>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</si>
  <si>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</si>
  <si>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</si>
  <si>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</si>
  <si>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</si>
  <si>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</si>
  <si>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</si>
  <si>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</si>
  <si>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</si>
  <si>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</si>
  <si>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</si>
  <si>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</si>
  <si>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</si>
  <si>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</si>
  <si>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</si>
  <si>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</si>
  <si>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</si>
  <si>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</si>
  <si>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</si>
  <si>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</si>
  <si>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</si>
  <si>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</si>
  <si>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</si>
  <si>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</si>
  <si>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</si>
  <si>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</si>
  <si>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</si>
  <si>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</si>
  <si>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</si>
  <si>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</si>
  <si>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</si>
  <si>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</si>
  <si>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</si>
  <si>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</si>
  <si>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</si>
  <si>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</si>
  <si>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</si>
  <si>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</si>
  <si>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</si>
  <si>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</si>
  <si>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</si>
  <si>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</si>
  <si>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</si>
  <si>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</si>
  <si>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</si>
  <si>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</si>
  <si>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</si>
  <si>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</si>
  <si>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</si>
  <si>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</si>
  <si>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</si>
  <si>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</si>
  <si>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</si>
  <si>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</si>
  <si>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</si>
  <si>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</si>
  <si>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</si>
  <si>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</si>
  <si>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</si>
  <si>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</si>
  <si>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</si>
  <si>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</si>
  <si>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</si>
  <si>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</si>
  <si>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</si>
  <si>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</si>
  <si>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</si>
  <si>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</si>
  <si>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</si>
  <si>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</si>
  <si>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</si>
  <si>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</si>
  <si>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</si>
  <si>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</si>
  <si>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</si>
  <si>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</si>
  <si>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</si>
  <si>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</si>
  <si>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</si>
  <si>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</si>
  <si>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</si>
  <si>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</si>
  <si>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</si>
  <si>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</si>
  <si>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</si>
  <si>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</si>
  <si>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</si>
  <si>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</si>
  <si>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</si>
  <si>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</si>
  <si>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</si>
  <si>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</si>
  <si>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</si>
  <si>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</si>
  <si>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</si>
  <si>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</si>
  <si>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</si>
  <si>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</si>
  <si>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</si>
  <si>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</si>
  <si>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</si>
  <si>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</si>
  <si>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</si>
  <si>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</si>
  <si>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</si>
  <si>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</si>
  <si>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</si>
  <si>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</si>
  <si>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</si>
  <si>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</si>
  <si>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</si>
  <si>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</si>
  <si>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</si>
  <si>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</si>
  <si>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</si>
  <si>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</si>
  <si>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</si>
  <si>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</si>
  <si>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</si>
  <si>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</si>
  <si>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</si>
  <si>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</si>
  <si>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</si>
  <si>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</si>
  <si>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</si>
  <si>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</si>
  <si>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</si>
  <si>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</si>
  <si>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</si>
  <si>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</si>
  <si>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</si>
  <si>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</si>
  <si>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</si>
  <si>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</si>
  <si>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</si>
  <si>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</si>
  <si>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</si>
  <si>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</si>
  <si>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</si>
  <si>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</si>
  <si>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</si>
  <si>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</si>
  <si>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</si>
  <si>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</si>
  <si>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</si>
  <si>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</si>
  <si>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</si>
  <si>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</si>
  <si>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</si>
  <si>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</si>
  <si>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</si>
  <si>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</si>
  <si>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</si>
  <si>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</si>
  <si>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</si>
  <si>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</si>
  <si>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</si>
  <si>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</si>
  <si>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</si>
  <si>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</si>
  <si>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</si>
  <si>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</si>
  <si>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</si>
  <si>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</si>
  <si>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</si>
  <si>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</si>
  <si>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</si>
  <si>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</si>
  <si>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</si>
  <si>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</si>
  <si>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</si>
  <si>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</si>
  <si>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</si>
  <si>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</si>
  <si>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</si>
  <si>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</si>
  <si>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</si>
  <si>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</si>
  <si>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</si>
  <si>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</si>
  <si>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</si>
  <si>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</si>
  <si>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</si>
  <si>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</si>
  <si>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</si>
  <si>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</si>
  <si>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</si>
  <si>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</si>
  <si>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</si>
  <si>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</si>
  <si>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</si>
  <si>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</si>
  <si>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</si>
  <si>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</si>
  <si>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</si>
  <si>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</si>
  <si>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</si>
  <si>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</si>
  <si>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</si>
  <si>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</si>
  <si>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</si>
  <si>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</si>
  <si>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</si>
  <si>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</si>
  <si>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</si>
  <si>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</si>
  <si>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</si>
  <si>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</si>
  <si>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</si>
  <si>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</si>
  <si>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</si>
  <si>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</si>
  <si>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</si>
  <si>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</si>
  <si>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</si>
  <si>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</si>
  <si>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</si>
  <si>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</si>
  <si>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</si>
  <si>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</si>
  <si>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</si>
  <si>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</si>
  <si>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</si>
  <si>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</si>
  <si>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</si>
  <si>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</si>
  <si>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</si>
  <si>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</si>
  <si>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</si>
  <si>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</si>
  <si>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</si>
  <si>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</si>
  <si>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</si>
  <si>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</si>
  <si>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</si>
  <si>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</si>
  <si>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</si>
  <si>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</si>
  <si>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</si>
  <si>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</si>
  <si>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</si>
  <si>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</si>
  <si>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</si>
  <si>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</si>
  <si>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</si>
  <si>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</si>
  <si>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</si>
  <si>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</si>
  <si>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</si>
  <si>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</si>
  <si>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</si>
  <si>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</si>
  <si>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</si>
  <si>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</si>
  <si>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</si>
  <si>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</si>
  <si>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</si>
  <si>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</si>
  <si>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</si>
  <si>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</si>
  <si>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</si>
  <si>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</si>
  <si>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</si>
  <si>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</si>
  <si>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</si>
  <si>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</si>
  <si>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</si>
  <si>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</si>
  <si>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</si>
  <si>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</si>
  <si>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</si>
  <si>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</si>
  <si>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</si>
  <si>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</si>
  <si>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</si>
  <si>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</si>
  <si>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</si>
  <si>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</si>
  <si>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</si>
  <si>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</si>
  <si>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</si>
  <si>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</si>
  <si>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</si>
  <si>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</si>
  <si>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</si>
  <si>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</si>
  <si>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</si>
  <si>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</si>
  <si>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</si>
  <si>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</si>
  <si>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</si>
  <si>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</si>
  <si>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</si>
  <si>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</si>
  <si>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</si>
  <si>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</si>
  <si>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</si>
  <si>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</si>
  <si>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</si>
  <si>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</si>
  <si>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</si>
  <si>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</si>
  <si>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</si>
  <si>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</si>
  <si>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</si>
  <si>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</si>
  <si>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</si>
  <si>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</si>
  <si>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</si>
  <si>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</si>
  <si>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</si>
  <si>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</si>
  <si>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</si>
  <si>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</si>
  <si>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</si>
  <si>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</si>
  <si>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</si>
  <si>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</si>
  <si>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</si>
  <si>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</si>
  <si>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</si>
  <si>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</si>
  <si>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</si>
  <si>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</si>
  <si>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</si>
  <si>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</si>
  <si>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</si>
  <si>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</si>
  <si>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</si>
  <si>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</si>
  <si>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</si>
  <si>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</si>
  <si>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</si>
  <si>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</si>
  <si>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</si>
  <si>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</si>
  <si>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</si>
  <si>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</si>
  <si>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</si>
  <si>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</si>
  <si>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</si>
  <si>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</si>
  <si>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</si>
  <si>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</si>
  <si>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</si>
  <si>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</si>
  <si>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</si>
  <si>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</si>
  <si>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</si>
  <si>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</si>
  <si>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</si>
  <si>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</si>
  <si>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</si>
  <si>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</si>
  <si>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</si>
  <si>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</si>
  <si>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</si>
  <si>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</si>
  <si>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</si>
  <si>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</si>
  <si>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</si>
  <si>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</si>
  <si>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</si>
  <si>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</si>
  <si>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</si>
  <si>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</si>
  <si>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</si>
  <si>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</si>
  <si>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</si>
  <si>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</si>
  <si>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</si>
  <si>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</si>
  <si>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</si>
  <si>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</si>
  <si>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</si>
  <si>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</si>
  <si>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</si>
  <si>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</si>
  <si>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</si>
  <si>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</si>
  <si>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</si>
  <si>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</si>
  <si>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</si>
  <si>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</si>
  <si>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</si>
  <si>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</si>
  <si>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</si>
  <si>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</si>
  <si>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</si>
  <si>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</si>
  <si>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</si>
  <si>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</si>
  <si>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</si>
  <si>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</si>
  <si>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</si>
  <si>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</si>
  <si>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</si>
  <si>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</si>
  <si>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</si>
  <si>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</si>
  <si>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</si>
  <si>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</si>
  <si>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</si>
  <si>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</si>
  <si>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</si>
  <si>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</si>
  <si>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</si>
  <si>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</si>
  <si>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</si>
  <si>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</si>
  <si>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</si>
  <si>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</si>
  <si>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</si>
  <si>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</si>
  <si>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</si>
  <si>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</si>
  <si>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</si>
  <si>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</si>
  <si>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</si>
  <si>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</si>
  <si>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</si>
  <si>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</si>
  <si>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</si>
  <si>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</si>
  <si>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</si>
  <si>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</si>
  <si>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</si>
  <si>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</si>
  <si>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</si>
  <si>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</si>
  <si>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</si>
  <si>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</si>
  <si>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</si>
  <si>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</si>
  <si>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</si>
  <si>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</si>
  <si>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</si>
  <si>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</si>
  <si>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</si>
  <si>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</si>
  <si>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</si>
  <si>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</si>
  <si>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</si>
  <si>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</si>
  <si>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</si>
  <si>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</si>
  <si>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</si>
  <si>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</si>
  <si>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</si>
  <si>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</si>
  <si>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</si>
  <si>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</si>
  <si>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</si>
  <si>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</si>
  <si>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</si>
  <si>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</si>
  <si>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</si>
  <si>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</si>
  <si>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</si>
  <si>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</si>
  <si>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</si>
  <si>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</si>
  <si>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</si>
  <si>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</si>
  <si>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</si>
  <si>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</si>
  <si>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</si>
  <si>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</si>
  <si>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</si>
  <si>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</si>
  <si>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</si>
  <si>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</si>
  <si>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</si>
  <si>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</si>
  <si>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</si>
  <si>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</si>
  <si>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</si>
  <si>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</si>
  <si>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</si>
  <si>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</si>
  <si>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</si>
  <si>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</si>
  <si>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</si>
  <si>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</si>
  <si>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</si>
  <si>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</si>
  <si>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</si>
  <si>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</si>
  <si>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</si>
  <si>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</si>
  <si>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</si>
  <si>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</si>
  <si>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</si>
  <si>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</si>
  <si>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</si>
  <si>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</si>
  <si>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</si>
  <si>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</si>
  <si>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</si>
  <si>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</si>
  <si>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</si>
  <si>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</si>
  <si>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</si>
  <si>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</si>
  <si>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</si>
  <si>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</si>
  <si>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</si>
  <si>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</si>
  <si>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</si>
  <si>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</si>
  <si>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</si>
  <si>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</si>
  <si>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</si>
  <si>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</si>
  <si>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</si>
  <si>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</si>
  <si>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</si>
  <si>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</si>
  <si>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</si>
  <si>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</si>
  <si>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</si>
  <si>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</si>
  <si>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</si>
  <si>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</si>
  <si>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</si>
  <si>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</si>
  <si>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</si>
  <si>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</si>
  <si>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</si>
  <si>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</si>
  <si>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</si>
  <si>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</si>
  <si>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</si>
  <si>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</si>
  <si>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</si>
  <si>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</si>
  <si>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</si>
  <si>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</si>
  <si>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</si>
  <si>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</si>
  <si>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</si>
  <si>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</si>
  <si>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</si>
  <si>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</si>
  <si>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</si>
  <si>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</si>
  <si>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</si>
  <si>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</si>
  <si>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</si>
  <si>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</si>
  <si>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</si>
  <si>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</si>
  <si>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</si>
  <si>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</si>
  <si>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</si>
  <si>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</si>
  <si>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</si>
  <si>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</si>
  <si>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</si>
  <si>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</si>
  <si>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</si>
  <si>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</si>
  <si>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</si>
  <si>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</si>
  <si>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</si>
  <si>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</si>
  <si>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</si>
  <si>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</si>
  <si>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</si>
  <si>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</si>
  <si>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</si>
  <si>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</si>
  <si>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</si>
  <si>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</si>
  <si>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</si>
  <si>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</si>
  <si>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</si>
  <si>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</si>
  <si>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</si>
  <si>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</si>
  <si>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</si>
  <si>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</si>
  <si>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</si>
  <si>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</si>
  <si>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</si>
  <si>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</si>
  <si>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</si>
  <si>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</si>
  <si>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</si>
  <si>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</si>
  <si>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</si>
  <si>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</si>
  <si>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</si>
  <si>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</si>
  <si>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</si>
  <si>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</si>
  <si>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</si>
  <si>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</si>
  <si>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</si>
  <si>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</si>
  <si>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</si>
  <si>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</si>
  <si>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</si>
  <si>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</si>
  <si>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</si>
  <si>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</si>
  <si>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</si>
  <si>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</si>
  <si>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</si>
  <si>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</si>
  <si>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</si>
  <si>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</si>
  <si>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</si>
  <si>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</si>
  <si>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</si>
  <si>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</si>
  <si>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</si>
  <si>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</si>
  <si>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</si>
  <si>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</si>
  <si>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</si>
  <si>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</si>
  <si>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</si>
  <si>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</si>
  <si>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</si>
  <si>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</si>
  <si>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</si>
  <si>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</si>
  <si>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</si>
  <si>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</si>
  <si>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</si>
  <si>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</si>
  <si>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</si>
  <si>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</si>
  <si>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</si>
  <si>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</si>
  <si>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</si>
  <si>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</si>
  <si>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</si>
  <si>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</si>
  <si>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</si>
  <si>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</si>
  <si>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</si>
  <si>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</si>
  <si>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</si>
  <si>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</si>
  <si>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</si>
  <si>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</si>
  <si>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</si>
  <si>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</si>
  <si>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</si>
  <si>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</si>
  <si>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</si>
  <si>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</si>
  <si>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</si>
  <si>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</si>
  <si>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</si>
  <si>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</si>
  <si>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</si>
  <si>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</si>
  <si>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</si>
  <si>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</si>
  <si>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</si>
  <si>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</si>
  <si>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</si>
  <si>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</si>
  <si>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</si>
  <si>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</si>
  <si>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</si>
  <si>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</si>
  <si>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</si>
  <si>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</si>
  <si>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</si>
  <si>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</si>
  <si>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</si>
  <si>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</si>
  <si>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</si>
  <si>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</si>
  <si>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</si>
  <si>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</si>
  <si>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</si>
  <si>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</si>
  <si>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</si>
  <si>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</si>
  <si>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</si>
  <si>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</si>
  <si>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</si>
  <si>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</si>
  <si>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</si>
  <si>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</si>
  <si>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</si>
  <si>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</si>
  <si>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</si>
  <si>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</si>
  <si>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</si>
  <si>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</si>
  <si>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</si>
  <si>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</si>
  <si>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</si>
  <si>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</si>
  <si>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</si>
  <si>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</si>
  <si>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</si>
  <si>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</si>
  <si>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</si>
  <si>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</si>
  <si>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</si>
  <si>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</si>
  <si>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</si>
  <si>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</si>
  <si>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</si>
  <si>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</si>
  <si>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</si>
  <si>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</si>
  <si>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</si>
  <si>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</si>
  <si>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</si>
  <si>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</si>
  <si>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</si>
  <si>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</si>
  <si>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</si>
  <si>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</si>
  <si>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</si>
  <si>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</si>
  <si>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</si>
  <si>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</si>
  <si>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</si>
  <si>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</si>
  <si>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</si>
  <si>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</si>
  <si>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</si>
  <si>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</si>
  <si>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</si>
  <si>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</si>
  <si>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</si>
  <si>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</si>
  <si>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</si>
  <si>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</si>
  <si>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</si>
  <si>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</si>
  <si>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</si>
  <si>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</si>
  <si>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</si>
  <si>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</si>
  <si>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</si>
  <si>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</si>
  <si>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</si>
  <si>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</si>
  <si>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</si>
  <si>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</si>
  <si>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</si>
  <si>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</si>
  <si>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</si>
  <si>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</si>
  <si>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</si>
  <si>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</si>
  <si>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</si>
  <si>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</si>
  <si>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</si>
  <si>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</si>
  <si>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</si>
  <si>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</si>
  <si>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</si>
  <si>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</si>
  <si>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</si>
  <si>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</si>
  <si>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</si>
  <si>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</si>
  <si>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</si>
  <si>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</si>
  <si>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</si>
  <si>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</si>
  <si>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</si>
  <si>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</si>
  <si>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</si>
  <si>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</si>
  <si>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</si>
  <si>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</si>
  <si>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</si>
  <si>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</si>
  <si>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</si>
  <si>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</si>
  <si>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</si>
  <si>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</si>
  <si>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</si>
  <si>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</si>
  <si>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</si>
  <si>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</si>
  <si>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</si>
  <si>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</si>
  <si>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</si>
  <si>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</si>
  <si>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</si>
  <si>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</si>
  <si>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</si>
  <si>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</si>
  <si>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</si>
  <si>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</si>
  <si>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</si>
  <si>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</si>
  <si>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</si>
  <si>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</si>
  <si>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</si>
  <si>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</si>
  <si>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</si>
  <si>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</si>
  <si>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</si>
  <si>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</si>
  <si>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</si>
  <si>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</si>
  <si>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</si>
  <si>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</si>
  <si>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</si>
  <si>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</si>
  <si>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</si>
  <si>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</si>
  <si>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</si>
  <si>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</si>
  <si>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</si>
  <si>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</si>
  <si>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</si>
  <si>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</si>
  <si>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</si>
  <si>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</si>
  <si>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</si>
  <si>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</si>
  <si>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</si>
  <si>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</si>
  <si>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</si>
  <si>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</si>
  <si>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</si>
  <si>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</si>
  <si>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</si>
  <si>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</si>
  <si>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</si>
  <si>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</si>
  <si>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</si>
  <si>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</si>
  <si>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</si>
  <si>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</si>
  <si>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</si>
  <si>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</si>
  <si>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</si>
  <si>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</si>
  <si>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</si>
  <si>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</si>
  <si>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</si>
  <si>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</si>
  <si>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</si>
  <si>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</si>
  <si>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</si>
  <si>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</si>
  <si>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</si>
  <si>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</si>
  <si>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</si>
  <si>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</si>
  <si>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</si>
  <si>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</si>
  <si>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</si>
  <si>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</si>
  <si>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</si>
  <si>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</si>
  <si>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</si>
  <si>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</si>
  <si>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</si>
  <si>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</si>
  <si>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</si>
  <si>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</si>
  <si>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</si>
  <si>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</si>
  <si>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</si>
  <si>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</si>
  <si>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</si>
  <si>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</si>
  <si>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</si>
  <si>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</si>
  <si>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</si>
  <si>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</si>
  <si>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</si>
  <si>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</si>
  <si>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</si>
  <si>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</si>
  <si>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</si>
  <si>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</si>
  <si>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</si>
  <si>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</si>
  <si>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</si>
  <si>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</si>
  <si>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</si>
  <si>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</si>
  <si>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</si>
  <si>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</si>
  <si>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</si>
  <si>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</si>
  <si>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</si>
  <si>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</si>
  <si>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</si>
  <si>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</si>
  <si>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</si>
  <si>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</si>
  <si>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</si>
  <si>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</si>
  <si>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</si>
  <si>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</si>
  <si>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</si>
  <si>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</si>
  <si>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</si>
  <si>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</si>
  <si>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</si>
  <si>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</si>
  <si>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</si>
  <si>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</si>
  <si>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</si>
  <si>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</si>
  <si>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</si>
  <si>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</si>
  <si>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</si>
  <si>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</si>
  <si>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</si>
  <si>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</si>
  <si>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</si>
  <si>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</si>
  <si>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</si>
  <si>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</si>
  <si>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</si>
  <si>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</si>
  <si>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</si>
  <si>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</si>
  <si>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</si>
  <si>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</si>
  <si>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</si>
  <si>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</si>
  <si>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</si>
  <si>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</si>
  <si>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</si>
  <si>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</si>
  <si>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</si>
  <si>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</si>
  <si>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</si>
  <si>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</si>
  <si>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</si>
  <si>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</si>
  <si>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</si>
  <si>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</si>
  <si>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</si>
  <si>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</si>
  <si>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</si>
  <si>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</si>
  <si>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</si>
  <si>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</si>
  <si>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</si>
  <si>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</si>
  <si>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</si>
  <si>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</si>
  <si>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</si>
  <si>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</si>
  <si>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</si>
  <si>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</si>
  <si>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</si>
  <si>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</si>
  <si>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</si>
  <si>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</si>
  <si>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</si>
  <si>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</si>
  <si>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</si>
  <si>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</si>
  <si>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</si>
  <si>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</si>
  <si>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</si>
  <si>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</si>
  <si>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</si>
  <si>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</si>
  <si>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</si>
  <si>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</si>
  <si>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</si>
  <si>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</si>
  <si>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</si>
  <si>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</si>
  <si>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</si>
  <si>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</si>
  <si>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</si>
  <si>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</si>
  <si>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</si>
  <si>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</si>
  <si>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</si>
  <si>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</si>
  <si>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</si>
  <si>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</si>
  <si>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</si>
  <si>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</si>
  <si>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</si>
  <si>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</si>
  <si>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</si>
  <si>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</si>
  <si>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</si>
  <si>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</si>
  <si>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</si>
  <si>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</si>
  <si>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</si>
  <si>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</si>
  <si>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</si>
  <si>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</si>
  <si>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</si>
  <si>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</si>
  <si>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</si>
  <si>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</si>
  <si>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</si>
  <si>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</si>
  <si>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</si>
  <si>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</si>
  <si>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</si>
  <si>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</si>
  <si>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</si>
  <si>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</si>
  <si>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</si>
  <si>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</si>
  <si>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</si>
  <si>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</si>
  <si>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</si>
  <si>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</si>
  <si>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</si>
  <si>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</si>
  <si>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</si>
  <si>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</si>
  <si>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</si>
  <si>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</si>
  <si>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</si>
  <si>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</si>
  <si>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</si>
  <si>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</si>
  <si>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</si>
  <si>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</si>
  <si>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</si>
  <si>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</si>
  <si>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</si>
  <si>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</si>
  <si>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</si>
  <si>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</si>
  <si>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</si>
  <si>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</si>
  <si>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</si>
  <si>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</si>
  <si>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</si>
  <si>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</si>
  <si>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</si>
  <si>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</si>
  <si>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</si>
  <si>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</si>
  <si>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</si>
  <si>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</si>
  <si>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</si>
  <si>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</si>
  <si>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</si>
  <si>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</si>
  <si>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</si>
  <si>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</si>
  <si>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</si>
  <si>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</si>
  <si>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</si>
  <si>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</si>
  <si>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</si>
  <si>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</si>
  <si>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</si>
  <si>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</si>
  <si>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</si>
  <si>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</si>
  <si>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</si>
  <si>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</si>
  <si>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</si>
  <si>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</si>
  <si>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</si>
  <si>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</si>
  <si>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</si>
  <si>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</si>
  <si>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</si>
  <si>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</si>
  <si>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</si>
  <si>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</si>
  <si>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</si>
  <si>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</si>
  <si>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</si>
  <si>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</si>
  <si>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</si>
  <si>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</si>
  <si>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</si>
  <si>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</si>
  <si>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</si>
  <si>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</si>
  <si>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</si>
  <si>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</si>
  <si>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</si>
  <si>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</si>
  <si>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</si>
  <si>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</si>
  <si>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</si>
  <si>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</si>
  <si>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</si>
  <si>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</si>
  <si>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</si>
  <si>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</si>
  <si>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</si>
  <si>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</si>
  <si>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</si>
  <si>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</si>
  <si>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</si>
  <si>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</si>
  <si>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</si>
  <si>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</si>
  <si>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</si>
  <si>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</si>
  <si>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</si>
  <si>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</si>
  <si>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</si>
  <si>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</si>
  <si>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</si>
  <si>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</si>
  <si>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</si>
  <si>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</si>
  <si>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</si>
  <si>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</si>
  <si>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</si>
  <si>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</si>
  <si>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</si>
  <si>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</si>
  <si>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</si>
  <si>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</si>
  <si>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</si>
  <si>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</si>
  <si>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</si>
  <si>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</si>
  <si>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</si>
  <si>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</si>
  <si>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</si>
  <si>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</si>
  <si>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</si>
  <si>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</si>
  <si>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</si>
  <si>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</si>
  <si>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</si>
  <si>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</si>
  <si>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</si>
  <si>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</si>
  <si>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</si>
  <si>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</si>
  <si>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</si>
  <si>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</si>
  <si>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</si>
  <si>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</si>
  <si>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</si>
  <si>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</si>
  <si>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</si>
  <si>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</si>
  <si>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</si>
  <si>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</si>
  <si>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</si>
  <si>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</si>
  <si>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</si>
  <si>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</si>
  <si>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</si>
  <si>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</si>
  <si>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</si>
  <si>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</si>
  <si>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</si>
  <si>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</si>
  <si>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</si>
  <si>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</si>
  <si>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</si>
  <si>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</si>
  <si>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</si>
  <si>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</si>
  <si>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</si>
  <si>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</si>
  <si>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</si>
  <si>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</si>
  <si>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</si>
  <si>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</si>
  <si>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</si>
  <si>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</si>
  <si>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</si>
  <si>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</si>
  <si>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</si>
  <si>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</si>
  <si>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</si>
  <si>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</si>
  <si>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</si>
  <si>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</si>
  <si>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</si>
  <si>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</si>
  <si>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</si>
  <si>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</si>
  <si>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</si>
  <si>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</si>
  <si>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</si>
  <si>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</si>
  <si>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</si>
  <si>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</si>
  <si>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</si>
  <si>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</si>
  <si>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</si>
  <si>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</si>
  <si>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</si>
  <si>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</si>
  <si>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</si>
  <si>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</si>
  <si>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</si>
  <si>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</si>
  <si>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</si>
  <si>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</si>
  <si>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</si>
  <si>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</si>
  <si>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</si>
  <si>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</si>
  <si>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</si>
  <si>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</si>
  <si>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</si>
  <si>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</si>
  <si>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</si>
  <si>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</si>
  <si>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</si>
  <si>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</si>
  <si>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</si>
  <si>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</si>
  <si>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</si>
  <si>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</si>
  <si>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</si>
  <si>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</si>
  <si>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</si>
  <si>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</si>
  <si>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</si>
  <si>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</si>
  <si>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</si>
  <si>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</si>
  <si>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</si>
  <si>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</si>
  <si>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</si>
  <si>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</si>
  <si>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</si>
  <si>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</si>
  <si>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</si>
  <si>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</si>
  <si>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</si>
  <si>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</si>
  <si>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</si>
  <si>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</si>
  <si>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</si>
  <si>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</si>
  <si>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</si>
  <si>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</si>
  <si>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</si>
  <si>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</si>
  <si>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</si>
  <si>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</si>
  <si>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</si>
  <si>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</si>
  <si>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</si>
  <si>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</si>
  <si>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</si>
  <si>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</si>
  <si>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</si>
  <si>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</si>
  <si>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</si>
  <si>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</si>
  <si>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</si>
  <si>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</si>
  <si>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</si>
  <si>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</si>
  <si>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</si>
  <si>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</si>
  <si>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</si>
  <si>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</si>
  <si>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</si>
  <si>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</si>
  <si>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</si>
  <si>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</si>
  <si>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</si>
  <si>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</si>
  <si>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</si>
  <si>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</si>
  <si>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</si>
  <si>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</si>
  <si>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</si>
  <si>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</si>
  <si>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</si>
  <si>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</si>
  <si>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</si>
  <si>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</si>
  <si>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</si>
  <si>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</si>
  <si>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</si>
  <si>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</si>
  <si>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</si>
  <si>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</si>
  <si>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</si>
  <si>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</si>
  <si>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</si>
  <si>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</si>
  <si>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</si>
  <si>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</si>
  <si>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</si>
  <si>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</si>
  <si>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</si>
  <si>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</si>
  <si>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</si>
  <si>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</si>
  <si>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</si>
  <si>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</si>
  <si>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</si>
  <si>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</si>
  <si>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</si>
  <si>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</si>
  <si>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</si>
  <si>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</si>
  <si>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</si>
  <si>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</si>
  <si>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</si>
  <si>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</si>
  <si>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</si>
  <si>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</si>
  <si>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</si>
  <si>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</si>
  <si>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</si>
  <si>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</si>
  <si>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</si>
  <si>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</si>
  <si>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</si>
  <si>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</si>
  <si>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</si>
  <si>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</si>
  <si>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</si>
  <si>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</si>
  <si>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</si>
  <si>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</si>
  <si>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</si>
  <si>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</si>
  <si>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</si>
  <si>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</si>
  <si>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</si>
  <si>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</si>
  <si>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</si>
  <si>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</si>
  <si>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</si>
  <si>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</si>
  <si>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</si>
  <si>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</si>
  <si>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</si>
  <si>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</si>
  <si>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</si>
  <si>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</si>
  <si>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</si>
  <si>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</si>
  <si>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</si>
  <si>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</si>
  <si>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</si>
  <si>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</si>
  <si>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</si>
  <si>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</si>
  <si>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</si>
  <si>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</si>
  <si>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</si>
  <si>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</si>
  <si>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</si>
  <si>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</si>
  <si>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</si>
  <si>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</si>
  <si>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</si>
  <si>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</si>
  <si>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</si>
  <si>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</si>
  <si>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</si>
  <si>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</si>
  <si>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</si>
  <si>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</si>
  <si>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</si>
  <si>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</si>
  <si>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</si>
  <si>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</si>
  <si>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</si>
  <si>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</si>
  <si>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</si>
  <si>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</si>
  <si>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</si>
  <si>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</si>
  <si>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</si>
  <si>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</si>
  <si>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</si>
  <si>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</si>
  <si>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</si>
  <si>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</si>
  <si>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</si>
  <si>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</si>
  <si>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</si>
  <si>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</si>
  <si>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</si>
  <si>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</si>
  <si>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</si>
  <si>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</si>
  <si>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</si>
  <si>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</si>
  <si>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</si>
  <si>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</si>
  <si>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</si>
  <si>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</si>
  <si>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</si>
  <si>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</si>
  <si>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</si>
  <si>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</si>
  <si>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</si>
  <si>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</si>
  <si>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</si>
  <si>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</si>
  <si>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</si>
  <si>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</si>
  <si>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</si>
  <si>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</si>
  <si>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</si>
  <si>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</si>
  <si>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</si>
  <si>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</si>
  <si>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</si>
  <si>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</si>
  <si>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</si>
  <si>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</si>
  <si>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</si>
  <si>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</si>
  <si>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</si>
  <si>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</si>
  <si>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</si>
  <si>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</si>
  <si>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</si>
  <si>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</si>
  <si>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</si>
  <si>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</si>
  <si>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</si>
  <si>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</si>
  <si>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</si>
  <si>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</si>
  <si>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</si>
  <si>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</si>
  <si>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</si>
  <si>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</si>
  <si>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</si>
  <si>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</si>
  <si>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</si>
  <si>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</si>
  <si>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</si>
  <si>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</si>
  <si>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</si>
  <si>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</si>
  <si>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</si>
  <si>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</si>
  <si>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</si>
  <si>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</si>
  <si>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</si>
  <si>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</si>
  <si>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</si>
  <si>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</si>
  <si>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</si>
  <si>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</si>
  <si>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</si>
  <si>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</si>
  <si>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</si>
  <si>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</si>
  <si>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</si>
  <si>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</si>
  <si>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</si>
  <si>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</si>
  <si>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</si>
  <si>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</si>
  <si>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</si>
  <si>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</si>
  <si>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</si>
  <si>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</si>
  <si>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</si>
  <si>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</si>
  <si>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</si>
  <si>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</si>
  <si>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</si>
  <si>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</si>
  <si>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</si>
  <si>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</si>
  <si>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</si>
  <si>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</si>
  <si>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</si>
  <si>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</si>
  <si>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</si>
  <si>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</si>
  <si>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</si>
  <si>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</si>
  <si>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</si>
  <si>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</si>
  <si>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</si>
  <si>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</si>
  <si>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</si>
  <si>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</si>
  <si>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</si>
  <si>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</si>
  <si>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</si>
  <si>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</si>
  <si>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</si>
  <si>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</si>
  <si>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</si>
  <si>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</si>
  <si>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</si>
  <si>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</si>
  <si>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</si>
  <si>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</si>
  <si>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</si>
  <si>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</si>
  <si>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</si>
  <si>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</si>
  <si>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</si>
  <si>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</si>
  <si>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</si>
  <si>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</si>
  <si>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</si>
  <si>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</si>
  <si>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</si>
  <si>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</si>
  <si>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</si>
  <si>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08655000</t>
  </si>
  <si>
    <t>Анастасьевское</t>
  </si>
  <si>
    <t>08655402</t>
  </si>
  <si>
    <t>185</t>
  </si>
  <si>
    <t>Бычихинское</t>
  </si>
  <si>
    <t>08655407</t>
  </si>
  <si>
    <t>186</t>
  </si>
  <si>
    <t>Галкинское</t>
  </si>
  <si>
    <t>08655412</t>
  </si>
  <si>
    <t>188</t>
  </si>
  <si>
    <t>Елабужское</t>
  </si>
  <si>
    <t>08655416</t>
  </si>
  <si>
    <t>190</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</si>
  <si>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</si>
  <si>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</si>
  <si>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</si>
  <si>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</si>
  <si>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</si>
  <si>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</si>
  <si>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</si>
  <si>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</si>
  <si>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</si>
  <si>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</si>
  <si>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</si>
  <si>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</si>
  <si>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</si>
  <si>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</si>
  <si>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</si>
  <si>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Мичуринское</t>
  </si>
  <si>
    <t>08655443</t>
  </si>
  <si>
    <t>198</t>
  </si>
  <si>
    <t>Наумовское</t>
  </si>
  <si>
    <t>08655445</t>
  </si>
  <si>
    <t>199</t>
  </si>
  <si>
    <t>Новокуровское</t>
  </si>
  <si>
    <t>08655452</t>
  </si>
  <si>
    <t>201</t>
  </si>
  <si>
    <t>Осиновореченское</t>
  </si>
  <si>
    <t>08655453</t>
  </si>
  <si>
    <t>202</t>
  </si>
  <si>
    <t>Петропавловское</t>
  </si>
  <si>
    <t>08655455</t>
  </si>
  <si>
    <t>203</t>
  </si>
  <si>
    <t>Побединское</t>
  </si>
  <si>
    <t>08655458</t>
  </si>
  <si>
    <t>204</t>
  </si>
  <si>
    <t>Сергеевское</t>
  </si>
  <si>
    <t>08655460</t>
  </si>
  <si>
    <t>207</t>
  </si>
  <si>
    <t>Сикачи-Алянское</t>
  </si>
  <si>
    <t>08655462</t>
  </si>
  <si>
    <t>208</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</si>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</sst>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36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0" fontId="20" fillId="0" borderId="0" xfId="0" applyFont="1" applyNumberFormat="1"/>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0" fontId="20" fillId="0" borderId="0" xfId="0" applyFont="1" applyNumberFormat="1"/>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38"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0" fontId="20" fillId="0" borderId="0" xfId="0" applyFont="1" applyNumberFormat="1"/>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B1296-855F-2349-F04C-19F6F606D19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34" width="5.421875" customWidth="1"/>
    <col min="2" max="2" style="10834" width="9.140625" customWidth="1"/>
    <col min="3" max="3" style="10834" width="16.421875" customWidth="1"/>
    <col min="4" max="25" style="10834" width="6.28125" customWidth="1"/>
    <col min="26" max="28" style="10834"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D0E92C-3874-6686-2DC2-A8C8C5A02E5A}" mc:Ignorable="x14ac xr xr2 xr3">
  <sheetPr>
    <tabColor rgb="FFCCCCFF"/>
  </sheetPr>
  <dimension ref="A1:Q78"/>
  <sheetViews>
    <sheetView topLeftCell="C1" showGridLines="0" zoomScale="90" workbookViewId="0">
      <selection activeCell="F75" sqref="F75"/>
    </sheetView>
  </sheetViews>
  <sheetFormatPr defaultColWidth="9.140625" customHeight="1" defaultRowHeight="11.25"/>
  <cols>
    <col min="1" max="1" style="10944" width="10.7109375" hidden="1" customWidth="1"/>
    <col min="2" max="2" style="10945" width="10.7109375" hidden="1" customWidth="1"/>
    <col min="3" max="3" style="10946" width="3.7109375" customWidth="1"/>
    <col min="4" max="4" style="10947" width="1.7109375" customWidth="1"/>
    <col min="5" max="5" style="10947" width="55.28125" customWidth="1"/>
    <col min="6" max="6" style="10947" width="55.00390625" customWidth="1"/>
    <col min="7" max="7" style="10948" width="1.7109375" customWidth="1"/>
    <col min="8" max="8" style="10876" width="18.00390625" hidden="1" customWidth="1"/>
    <col min="9" max="9" style="10949" width="59.7109375" customWidth="1"/>
    <col min="10" max="10" style="10950" width="52.140625" hidden="1" customWidth="1"/>
    <col min="11" max="11" style="10947" width="9.140625"/>
    <col min="12" max="12" style="10947" width="78.00390625" customWidth="1"/>
    <col min="13" max="16" style="10947" width="9.140625"/>
  </cols>
  <sheetData>
    <row s="10835" customFormat="1" customHeight="1" ht="3">
      <c r="A1" s="913"/>
      <c r="B1" s="371"/>
      <c r="F1" s="372">
        <v>26354809</v>
      </c>
      <c r="G1" s="541"/>
      <c r="H1" s="200"/>
      <c r="I1" s="541"/>
      <c r="J1" s="1001"/>
    </row>
    <row s="10842" customFormat="1" customHeight="1" ht="14.25">
      <c r="A2" s="913"/>
      <c r="B2" s="228"/>
      <c r="E2" s="1877" t="str">
        <f>code</f>
        <v>Код отчёта: PP110.OPEN.INFO.QUARTER.HEAT.EIAS</v>
      </c>
      <c r="F2" s="399"/>
      <c r="G2" s="375"/>
      <c r="H2" s="375"/>
      <c r="I2" s="375"/>
      <c r="J2" s="1002"/>
      <c r="K2" s="375"/>
    </row>
    <row customHeight="1" ht="14.25">
      <c r="E3" s="376" t="str">
        <f>version</f>
        <v>Версия отчёта: 1.0.6</v>
      </c>
      <c r="F3" s="399"/>
      <c r="G3" s="900"/>
      <c r="H3" s="900"/>
      <c r="I3" s="900"/>
      <c r="J3" s="1003"/>
      <c r="K3" s="217"/>
    </row>
    <row s="10852"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36"/>
      <c r="G5" s="902"/>
      <c r="J5" s="1005"/>
    </row>
    <row s="10852" customFormat="1" customHeight="1" ht="6">
      <c r="A6" s="914"/>
      <c r="B6" s="362"/>
      <c r="C6" s="363"/>
      <c r="D6" s="364"/>
      <c r="E6" s="367"/>
      <c r="F6" s="368"/>
      <c r="G6" s="902"/>
      <c r="H6" s="539"/>
      <c r="I6" s="541"/>
      <c r="J6" s="1004"/>
    </row>
    <row customHeight="1" ht="19.5">
      <c r="D7" s="204"/>
      <c r="E7" s="521" t="s">
        <v>13</v>
      </c>
      <c r="F7" s="345" t="s">
        <v>14</v>
      </c>
      <c r="G7" s="902"/>
    </row>
    <row s="10852" customFormat="1" customHeight="1" ht="6">
      <c r="A8" s="915"/>
      <c r="B8" s="362"/>
      <c r="C8" s="363"/>
      <c r="D8" s="369"/>
      <c r="E8" s="367"/>
      <c r="F8" s="370"/>
      <c r="G8" s="206"/>
      <c r="H8" s="539"/>
      <c r="I8" s="541"/>
      <c r="J8" s="1007"/>
    </row>
    <row s="10876"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883"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876" customFormat="1" customHeight="1" ht="22.5" hidden="1">
      <c r="A13" s="918" t="s">
        <v>23</v>
      </c>
      <c r="B13" s="228"/>
      <c r="C13" s="538"/>
      <c r="D13" s="540"/>
      <c r="E13" s="1913" t="s">
        <v>24</v>
      </c>
      <c r="F13" s="1869" t="s">
        <v>18</v>
      </c>
      <c r="G13" s="206"/>
      <c r="H13" s="900"/>
      <c r="I13" s="541"/>
      <c r="J13" s="1914" t="s">
        <v>25</v>
      </c>
    </row>
    <row s="10876" customFormat="1" customHeight="1" ht="27">
      <c r="A14" s="918" t="s">
        <v>26</v>
      </c>
      <c r="B14" s="228"/>
      <c r="C14" s="538"/>
      <c r="D14" s="540"/>
      <c r="E14" s="1297" t="s">
        <v>27</v>
      </c>
      <c r="F14" s="5182">
        <v>2023</v>
      </c>
      <c r="G14" s="206"/>
      <c r="H14" s="900"/>
      <c r="I14" s="541"/>
      <c r="J14" s="1006" t="s">
        <v>28</v>
      </c>
    </row>
    <row s="10876" customFormat="1" customHeight="1" ht="19.5">
      <c r="A15" s="918" t="s">
        <v>29</v>
      </c>
      <c r="B15" s="228"/>
      <c r="C15" s="538"/>
      <c r="D15" s="540"/>
      <c r="E15" s="1297" t="s">
        <v>30</v>
      </c>
      <c r="F15" s="5182" t="s">
        <v>31</v>
      </c>
      <c r="G15" s="206"/>
      <c r="H15" s="900"/>
      <c r="I15" s="541"/>
      <c r="J15" s="1006" t="s">
        <v>32</v>
      </c>
    </row>
    <row s="10852" customFormat="1" customHeight="1" ht="6">
      <c r="A16" s="915"/>
      <c r="B16" s="362"/>
      <c r="C16" s="363"/>
      <c r="D16" s="369"/>
      <c r="E16" s="367"/>
      <c r="F16" s="370"/>
      <c r="G16" s="206"/>
      <c r="H16" s="539"/>
      <c r="I16" s="541"/>
      <c r="J16" s="1004"/>
    </row>
    <row customHeight="1" ht="19.5">
      <c r="D17" s="204"/>
      <c r="E17" s="521" t="s">
        <v>33</v>
      </c>
      <c r="F17" s="346"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852"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852" customFormat="1" customHeight="1" ht="11.25">
      <c r="A35" s="915"/>
      <c r="B35" s="362"/>
      <c r="C35" s="363"/>
      <c r="D35" s="369"/>
      <c r="E35" s="367"/>
      <c r="F35" s="370"/>
      <c r="G35" s="206"/>
      <c r="H35" s="539"/>
      <c r="I35" s="541"/>
      <c r="J35" s="1004"/>
    </row>
    <row customHeight="1" ht="19.5">
      <c r="A36" s="1009"/>
      <c r="D36" s="208"/>
      <c r="E36" s="521" t="s">
        <v>49</v>
      </c>
      <c r="F36" s="5200" t="s">
        <v>50</v>
      </c>
      <c r="G36" s="206"/>
    </row>
    <row customHeight="1" ht="19.5">
      <c r="A37" s="1009"/>
      <c r="D37" s="208"/>
      <c r="E37" s="521" t="s">
        <v>51</v>
      </c>
      <c r="F37" s="5200" t="s">
        <v>52</v>
      </c>
      <c r="G37" s="206"/>
    </row>
    <row s="10852" customFormat="1" customHeight="1" ht="6">
      <c r="A38" s="915"/>
      <c r="B38" s="362"/>
      <c r="C38" s="363"/>
      <c r="D38" s="364"/>
      <c r="E38" s="365"/>
      <c r="F38" s="1184"/>
      <c r="G38" s="202"/>
      <c r="H38" s="539"/>
      <c r="I38" s="541"/>
      <c r="J38" s="1006"/>
    </row>
    <row customHeight="1" ht="22.5">
      <c r="A39" s="915"/>
      <c r="D39" s="204"/>
      <c r="E39" s="521" t="s">
        <v>53</v>
      </c>
      <c r="F39" s="840" t="s">
        <v>54</v>
      </c>
      <c r="G39" s="202"/>
      <c r="H39" s="903" t="s">
        <v>19</v>
      </c>
    </row>
    <row s="10883" customFormat="1" customHeight="1" ht="6" hidden="1">
      <c r="A40" s="914"/>
      <c r="B40" s="556"/>
      <c r="C40" s="557"/>
      <c r="D40" s="558"/>
      <c r="E40" s="559"/>
      <c r="F40" s="1184"/>
      <c r="G40" s="202"/>
      <c r="H40" s="539"/>
      <c r="I40" s="541"/>
      <c r="J40" s="1006"/>
    </row>
    <row s="10876"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40" t="s">
        <v>54</v>
      </c>
      <c r="G41" s="202"/>
      <c r="I41" s="541"/>
      <c r="J41" s="1006"/>
    </row>
    <row s="10883" customFormat="1" customHeight="1" ht="6" hidden="1">
      <c r="A42" s="914"/>
      <c r="B42" s="556"/>
      <c r="C42" s="557"/>
      <c r="D42" s="558"/>
      <c r="E42" s="559"/>
      <c r="F42" s="1184"/>
      <c r="G42" s="202"/>
      <c r="H42" s="539"/>
      <c r="I42" s="541"/>
      <c r="J42" s="1004"/>
    </row>
    <row s="10876" customFormat="1" customHeight="1" ht="22.5" hidden="1">
      <c r="A43" s="914"/>
      <c r="B43" s="543"/>
      <c r="C43" s="538"/>
      <c r="D43" s="540"/>
      <c r="E43" s="521" t="s">
        <v>55</v>
      </c>
      <c r="F43" s="840" t="s">
        <v>54</v>
      </c>
      <c r="G43" s="202"/>
      <c r="I43" s="541"/>
      <c r="J43" s="1006"/>
    </row>
    <row s="10876" customFormat="1" customHeight="1" ht="22.5" hidden="1">
      <c r="A44" s="914"/>
      <c r="B44" s="543"/>
      <c r="C44" s="538"/>
      <c r="D44" s="540"/>
      <c r="E44" s="1297" t="s">
        <v>56</v>
      </c>
      <c r="F44" s="2027"/>
      <c r="G44" s="202"/>
      <c r="I44" s="541"/>
      <c r="J44" s="1006"/>
    </row>
    <row s="10883" customFormat="1" customHeight="1" ht="6" hidden="1">
      <c r="A45" s="914"/>
      <c r="B45" s="556"/>
      <c r="C45" s="557"/>
      <c r="D45" s="558"/>
      <c r="E45" s="559"/>
      <c r="F45" s="1184"/>
      <c r="G45" s="202"/>
      <c r="H45" s="539"/>
      <c r="I45" s="541"/>
      <c r="J45" s="1006"/>
    </row>
    <row s="10883" customFormat="1" customHeight="1" ht="22.5" hidden="1">
      <c r="A46" s="914"/>
      <c r="B46" s="556"/>
      <c r="C46" s="557"/>
      <c r="D46" s="558"/>
      <c r="E46" s="1297" t="s">
        <v>57</v>
      </c>
      <c r="F46" s="840" t="s">
        <v>54</v>
      </c>
      <c r="G46" s="202"/>
      <c r="H46" s="539"/>
      <c r="I46" s="541"/>
      <c r="J46" s="1006"/>
    </row>
    <row s="10876" customFormat="1" customHeight="1" ht="22.5" hidden="1">
      <c r="A47" s="914"/>
      <c r="B47" s="543"/>
      <c r="C47" s="538"/>
      <c r="D47" s="540"/>
      <c r="E47" s="1297" t="s">
        <v>58</v>
      </c>
      <c r="F47" s="840" t="s">
        <v>54</v>
      </c>
      <c r="G47" s="202"/>
      <c r="I47" s="541"/>
      <c r="J47" s="1006"/>
    </row>
    <row s="10852"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40"/>
      <c r="G49" s="202"/>
    </row>
    <row s="10883" customFormat="1" customHeight="1" ht="6" hidden="1">
      <c r="A50" s="915"/>
      <c r="B50" s="556"/>
      <c r="C50" s="557"/>
      <c r="D50" s="369"/>
      <c r="E50" s="367"/>
      <c r="F50" s="370"/>
      <c r="G50" s="206"/>
      <c r="H50" s="539"/>
      <c r="I50" s="541"/>
      <c r="J50" s="1006"/>
    </row>
    <row s="10920" customFormat="1" customHeight="1" ht="22.5" hidden="1">
      <c r="A51" s="916"/>
      <c r="B51" s="543"/>
      <c r="C51" s="660"/>
      <c r="D51" s="661"/>
      <c r="E51" s="521" t="s">
        <v>59</v>
      </c>
      <c r="F51" s="840" t="s">
        <v>54</v>
      </c>
      <c r="G51" s="662"/>
      <c r="I51" s="664"/>
      <c r="J51" s="1008"/>
      <c r="P51" s="665"/>
    </row>
    <row s="10883" customFormat="1" customHeight="1" ht="6" hidden="1">
      <c r="A52" s="915"/>
      <c r="B52" s="556"/>
      <c r="C52" s="557"/>
      <c r="D52" s="369"/>
      <c r="E52" s="367"/>
      <c r="F52" s="370"/>
      <c r="G52" s="206"/>
      <c r="H52" s="539"/>
      <c r="I52" s="541"/>
      <c r="J52" s="1004"/>
    </row>
    <row s="10920" customFormat="1" customHeight="1" ht="22.5" hidden="1">
      <c r="A53" s="916"/>
      <c r="B53" s="543"/>
      <c r="C53" s="660"/>
      <c r="D53" s="661"/>
      <c r="E53" s="521" t="s">
        <v>60</v>
      </c>
      <c r="F53" s="1179" t="s">
        <v>54</v>
      </c>
      <c r="G53" s="662"/>
      <c r="I53" s="664"/>
      <c r="J53" s="1008"/>
      <c r="P53" s="665"/>
    </row>
    <row s="10920" customFormat="1" customHeight="1" ht="22.5" hidden="1">
      <c r="A54" s="916"/>
      <c r="B54" s="543"/>
      <c r="C54" s="660"/>
      <c r="D54" s="661"/>
      <c r="E54" s="521" t="s">
        <v>61</v>
      </c>
      <c r="F54" s="1912"/>
      <c r="G54" s="662"/>
      <c r="I54" s="664"/>
      <c r="J54" s="1008"/>
      <c r="P54" s="665"/>
    </row>
    <row s="10883" customFormat="1" customHeight="1" ht="6" hidden="1">
      <c r="A55" s="915"/>
      <c r="B55" s="556"/>
      <c r="C55" s="557"/>
      <c r="D55" s="369"/>
      <c r="E55" s="367"/>
      <c r="F55" s="370"/>
      <c r="G55" s="206"/>
      <c r="H55" s="539"/>
      <c r="I55" s="541"/>
      <c r="J55" s="1004"/>
    </row>
    <row s="10920" customFormat="1" customHeight="1" ht="22.5" hidden="1">
      <c r="A56" s="916"/>
      <c r="B56" s="543"/>
      <c r="C56" s="660"/>
      <c r="D56" s="661"/>
      <c r="E56" s="521" t="s">
        <v>62</v>
      </c>
      <c r="F56" s="1179" t="s">
        <v>54</v>
      </c>
      <c r="G56" s="662"/>
      <c r="I56" s="664"/>
      <c r="J56" s="1008"/>
      <c r="P56" s="665"/>
    </row>
    <row s="10883" customFormat="1" customHeight="1" ht="6" hidden="1">
      <c r="A57" s="915"/>
      <c r="B57" s="556"/>
      <c r="C57" s="557"/>
      <c r="D57" s="369"/>
      <c r="E57" s="367"/>
      <c r="F57" s="370"/>
      <c r="G57" s="206"/>
      <c r="H57" s="539"/>
      <c r="I57" s="541"/>
      <c r="J57" s="1004"/>
    </row>
    <row s="10920" customFormat="1" customHeight="1" ht="15" hidden="1">
      <c r="A58" s="916"/>
      <c r="B58" s="543"/>
      <c r="C58" s="660"/>
      <c r="D58" s="661"/>
      <c r="E58" s="521" t="s">
        <v>63</v>
      </c>
      <c r="F58" s="1179" t="s">
        <v>64</v>
      </c>
      <c r="G58" s="662"/>
      <c r="I58" s="664"/>
      <c r="J58" s="1008"/>
      <c r="P58" s="665"/>
    </row>
    <row s="10920"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23"/>
      <c r="G59" s="662"/>
      <c r="I59" s="664"/>
      <c r="J59" s="1008"/>
      <c r="P59" s="665"/>
    </row>
    <row s="10920" customFormat="1" customHeight="1" ht="15" hidden="1">
      <c r="A60" s="916"/>
      <c r="B60" s="543"/>
      <c r="C60" s="660"/>
      <c r="D60" s="661"/>
      <c r="E60" s="1297" t="s">
        <v>65</v>
      </c>
      <c r="F60" s="1283"/>
      <c r="G60" s="662"/>
      <c r="I60" s="664"/>
      <c r="J60" s="1008"/>
      <c r="P60" s="665"/>
    </row>
    <row s="10883" customFormat="1" customHeight="1" ht="6" hidden="1">
      <c r="A61" s="915"/>
      <c r="B61" s="556"/>
      <c r="C61" s="557"/>
      <c r="D61" s="558"/>
      <c r="E61" s="559"/>
      <c r="F61" s="1184"/>
      <c r="G61" s="202"/>
      <c r="H61" s="539"/>
      <c r="I61" s="541"/>
      <c r="J61" s="1006"/>
    </row>
    <row s="10876" customFormat="1" customHeight="1" ht="33.75" hidden="1">
      <c r="A62" s="915"/>
      <c r="B62" s="228"/>
      <c r="C62" s="538"/>
      <c r="D62" s="540"/>
      <c r="E62" s="1297" t="s">
        <v>66</v>
      </c>
      <c r="F62" s="1808" t="s">
        <v>64</v>
      </c>
      <c r="G62" s="202"/>
      <c r="H62" s="903" t="s">
        <v>19</v>
      </c>
      <c r="I62" s="541"/>
      <c r="J62" s="1006"/>
    </row>
    <row s="10852" customFormat="1" customHeight="1" ht="6">
      <c r="A63" s="915"/>
      <c r="B63" s="362"/>
      <c r="C63" s="363"/>
      <c r="D63" s="369"/>
      <c r="E63" s="367"/>
      <c r="F63" s="370"/>
      <c r="G63" s="206"/>
      <c r="H63" s="539"/>
      <c r="I63" s="541"/>
      <c r="J63" s="1004"/>
    </row>
    <row customHeight="1" ht="19.5">
      <c r="A64" s="917"/>
      <c r="B64" s="229"/>
      <c r="D64" s="211"/>
      <c r="E64" s="521" t="s">
        <v>67</v>
      </c>
      <c r="F64" s="346" t="s">
        <v>68</v>
      </c>
      <c r="G64" s="206"/>
    </row>
    <row customHeight="1" ht="19.5">
      <c r="A65" s="917"/>
      <c r="B65" s="229"/>
      <c r="D65" s="211"/>
      <c r="E65" s="521" t="s">
        <v>69</v>
      </c>
      <c r="F65" s="346" t="s">
        <v>70</v>
      </c>
      <c r="G65" s="206"/>
    </row>
    <row customHeight="1" ht="35.25">
      <c r="D66" s="204"/>
      <c r="E66" s="523" t="s">
        <v>71</v>
      </c>
      <c r="F66" s="1185"/>
      <c r="G66" s="202"/>
    </row>
    <row customHeight="1" ht="19.5">
      <c r="A67" s="917"/>
      <c r="D67" s="540"/>
      <c r="E67" s="521" t="s">
        <v>72</v>
      </c>
      <c r="F67" s="401" t="s">
        <v>73</v>
      </c>
      <c r="G67" s="206"/>
    </row>
    <row customHeight="1" ht="19.5">
      <c r="A68" s="917"/>
      <c r="B68" s="229"/>
      <c r="D68" s="211"/>
      <c r="E68" s="521" t="s">
        <v>74</v>
      </c>
      <c r="F68" s="401" t="s">
        <v>75</v>
      </c>
      <c r="G68" s="206"/>
    </row>
    <row customHeight="1" ht="19.5">
      <c r="A69" s="917"/>
      <c r="B69" s="229"/>
      <c r="D69" s="211"/>
      <c r="E69" s="521" t="s">
        <v>76</v>
      </c>
      <c r="F69" s="401" t="s">
        <v>77</v>
      </c>
      <c r="G69" s="206"/>
    </row>
    <row customHeight="1" ht="19.5">
      <c r="D70" s="540"/>
      <c r="E70" s="521" t="s">
        <v>78</v>
      </c>
      <c r="F70" s="401" t="s">
        <v>79</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21CDA9AE-427F-0BC8-0828-246364362CE1}"/>
    <hyperlink ref="H17" location="Титульный!H9" display="Как заполнить?" tooltip="Помощь по работе с полями отчётной формы" xr:uid="{30ABB5C6-4528-9B92-5C08-675A4BDC7066}"/>
    <hyperlink ref="H39" location="Титульный!H9" display="Как заполнить?" tooltip="Помощь по работе с полями отчётной формы" xr:uid="{C6255FB9-E159-6FCD-4A89-C4C209F9A731}"/>
    <hyperlink ref="H62" location="Титульный!H9" display="Как заполнить?" tooltip="Помощь по работе с полями отчётной формы" xr:uid="{B854D28E-3C43-608E-7FE2-F357B9A827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DF0DB-5D1E-DD1D-4D1D-3066505B2A13}" mc:Ignorable="x14ac xr xr2 xr3">
  <sheetPr>
    <tabColor rgb="FFCCCCFF"/>
    <pageSetUpPr fitToPage="1"/>
  </sheetPr>
  <dimension ref="A1:AB60"/>
  <sheetViews>
    <sheetView topLeftCell="C11" showGridLines="0" zoomScale="120" workbookViewId="0">
      <selection activeCell="H52" sqref="H52"/>
    </sheetView>
  </sheetViews>
  <sheetFormatPr defaultColWidth="9.140625" customHeight="1" defaultRowHeight="14.25"/>
  <cols>
    <col min="1" max="1" style="11055" width="8.00390625" hidden="1" customWidth="1"/>
    <col min="2" max="2" style="11056" width="6.00390625" hidden="1" customWidth="1"/>
    <col min="3" max="3" style="11055" width="3.7109375" customWidth="1"/>
    <col min="4" max="4" style="11057" width="3.7109375" customWidth="1"/>
    <col min="5" max="5" style="11058" width="6.28125" customWidth="1"/>
    <col min="6" max="6" style="11055" width="2.7109375" hidden="1" customWidth="1"/>
    <col min="7" max="7" style="11058" width="46.7109375" customWidth="1"/>
    <col min="8" max="8" style="11058" width="43.140625" customWidth="1"/>
    <col min="9" max="9" style="11058" width="14.8515625" customWidth="1"/>
    <col min="10" max="10" style="11059" width="3.7109375" customWidth="1"/>
    <col min="11" max="13" style="11059" width="9.140625" hidden="1"/>
    <col min="14" max="14" style="11060" width="25.7109375" hidden="1" customWidth="1"/>
    <col min="15" max="15" style="11059" width="14.421875" hidden="1" customWidth="1"/>
    <col min="16" max="19" style="11061" width="9.140625" hidden="1"/>
    <col min="20" max="27" style="11058" width="9.140625" hidden="1"/>
    <col min="28" max="28" style="11058" width="9.140625"/>
  </cols>
  <sheetData>
    <row s="10951" customFormat="1" customHeight="1" ht="5.25" hidden="1">
      <c r="A1" s="626"/>
      <c r="B1" s="641"/>
      <c r="C1" s="641"/>
      <c r="D1" s="351"/>
      <c r="F1" s="641"/>
      <c r="G1" s="377" t="s">
        <v>80</v>
      </c>
      <c r="H1" s="624" t="s">
        <v>81</v>
      </c>
      <c r="I1" s="357" t="s">
        <v>82</v>
      </c>
      <c r="J1" s="377" t="s">
        <v>80</v>
      </c>
      <c r="K1" s="377"/>
      <c r="L1" s="377"/>
      <c r="M1" s="377"/>
      <c r="N1" s="378"/>
      <c r="O1" s="377"/>
      <c r="P1" s="377"/>
      <c r="Q1" s="377"/>
      <c r="R1" s="377"/>
      <c r="S1" s="377"/>
      <c r="T1" s="357"/>
      <c r="U1" s="357"/>
      <c r="V1" s="357"/>
      <c r="W1" s="357"/>
      <c r="X1" s="357"/>
      <c r="Y1" s="357"/>
      <c r="Z1" s="357"/>
      <c r="AA1" s="357"/>
      <c r="AB1" s="357"/>
    </row>
    <row s="10959"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964" customFormat="1" customHeight="1" ht="3">
      <c r="A3" s="888"/>
      <c r="B3" s="547"/>
      <c r="C3" s="888"/>
      <c r="D3" s="294"/>
      <c r="E3" s="233"/>
      <c r="F3" s="639"/>
      <c r="G3" s="233"/>
      <c r="H3" s="233"/>
      <c r="I3" s="296"/>
      <c r="J3" s="377"/>
      <c r="K3" s="285"/>
      <c r="L3" s="285"/>
      <c r="M3" s="285"/>
      <c r="N3" s="356"/>
      <c r="O3" s="285"/>
      <c r="P3" s="355"/>
      <c r="Q3" s="355"/>
      <c r="R3" s="355"/>
      <c r="S3" s="355"/>
    </row>
    <row s="10964"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964" customFormat="1" customHeight="1" ht="3">
      <c r="A5" s="888"/>
      <c r="B5" s="547"/>
      <c r="C5" s="888"/>
      <c r="D5" s="294"/>
      <c r="E5" s="233"/>
      <c r="F5" s="639"/>
      <c r="G5" s="297"/>
      <c r="H5" s="297"/>
      <c r="I5" s="298"/>
      <c r="J5" s="285"/>
      <c r="K5" s="285"/>
      <c r="L5" s="285"/>
      <c r="M5" s="285"/>
      <c r="N5" s="356"/>
      <c r="O5" s="285"/>
      <c r="P5" s="355"/>
      <c r="Q5" s="355"/>
      <c r="R5" s="355"/>
      <c r="S5" s="355"/>
    </row>
    <row s="10964"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964" customFormat="1" customHeight="1" ht="14.25">
      <c r="A8" s="888"/>
      <c r="B8" s="547"/>
      <c r="C8" s="888"/>
      <c r="D8" s="294"/>
      <c r="E8" s="2141" t="s">
        <v>83</v>
      </c>
      <c r="F8" s="2142"/>
      <c r="G8" s="2143"/>
      <c r="H8" s="2144" t="s">
        <v>84</v>
      </c>
      <c r="I8" s="2144"/>
      <c r="J8" s="285"/>
      <c r="K8" s="285"/>
      <c r="L8" s="285"/>
      <c r="M8" s="285"/>
      <c r="N8" s="356"/>
      <c r="O8" s="285"/>
      <c r="P8" s="355"/>
      <c r="Q8" s="355"/>
      <c r="R8" s="355"/>
      <c r="S8" s="355"/>
    </row>
    <row s="10964" customFormat="1" customHeight="1" ht="20.25">
      <c r="A9" s="888"/>
      <c r="B9" s="547"/>
      <c r="C9" s="888"/>
      <c r="D9" s="294"/>
      <c r="E9" s="907" t="s">
        <v>85</v>
      </c>
      <c r="F9" s="907"/>
      <c r="G9" s="302" t="s">
        <v>86</v>
      </c>
      <c r="H9" s="302" t="s">
        <v>86</v>
      </c>
      <c r="I9" s="302" t="s">
        <v>82</v>
      </c>
      <c r="J9" s="285"/>
      <c r="K9" s="285"/>
      <c r="L9" s="285"/>
      <c r="M9" s="285"/>
      <c r="N9" s="356"/>
      <c r="O9" s="285"/>
      <c r="P9" s="355"/>
      <c r="Q9" s="355"/>
      <c r="R9" s="355"/>
      <c r="S9" s="355"/>
    </row>
    <row customHeight="1" ht="11.25">
      <c r="D10" s="306"/>
      <c r="E10" s="908" t="s">
        <v>87</v>
      </c>
      <c r="F10" s="908"/>
      <c r="G10" s="353" t="s">
        <v>88</v>
      </c>
      <c r="H10" s="353" t="s">
        <v>89</v>
      </c>
      <c r="I10" s="353" t="s">
        <v>90</v>
      </c>
      <c r="J10" s="316"/>
      <c r="K10" s="316"/>
      <c r="L10" s="316"/>
      <c r="M10" s="316"/>
      <c r="N10" s="301"/>
      <c r="O10" s="316"/>
      <c r="P10" s="354"/>
      <c r="Q10" s="354"/>
      <c r="R10" s="354"/>
      <c r="S10" s="354"/>
    </row>
    <row s="10964" customFormat="1" customHeight="1" ht="0.75">
      <c r="A11" s="888"/>
      <c r="B11" s="547"/>
      <c r="C11" s="888"/>
      <c r="D11" s="294"/>
      <c r="E11" s="920"/>
      <c r="F11" s="920"/>
      <c r="G11" s="303"/>
      <c r="H11" s="303"/>
      <c r="I11" s="305"/>
      <c r="J11" s="379" t="s">
        <v>91</v>
      </c>
      <c r="K11" s="285"/>
      <c r="L11" s="285"/>
      <c r="M11" s="285" t="s">
        <v>92</v>
      </c>
      <c r="N11" s="356" t="s">
        <v>93</v>
      </c>
      <c r="O11" s="285" t="s">
        <v>94</v>
      </c>
      <c r="P11" s="355"/>
      <c r="Q11" s="355"/>
      <c r="R11" s="355"/>
      <c r="S11" s="355"/>
    </row>
    <row s="10998" customFormat="1" customHeight="1" ht="14.25">
      <c r="A12" s="2139">
        <v>1</v>
      </c>
      <c r="B12" s="547"/>
      <c r="C12" s="888"/>
      <c r="D12" s="912"/>
      <c r="E12" s="349">
        <f>A12</f>
        <v>1</v>
      </c>
      <c r="F12" s="932" t="s">
        <v>95</v>
      </c>
      <c r="G12" s="670" t="str">
        <f>"Территория "&amp;E12</f>
        <v>Территория 1</v>
      </c>
      <c r="H12" s="922"/>
      <c r="I12" s="922"/>
      <c r="J12" s="919"/>
      <c r="K12" s="630"/>
      <c r="L12" s="630"/>
      <c r="M12" s="630"/>
      <c r="N12" s="356"/>
      <c r="O12" s="630"/>
      <c r="P12" s="355"/>
      <c r="Q12" s="355"/>
      <c r="R12" s="355"/>
      <c r="S12" s="355"/>
    </row>
    <row s="11007" customFormat="1" customHeight="1" ht="15">
      <c r="A13" s="2139"/>
      <c r="B13" s="547">
        <v>1</v>
      </c>
      <c r="C13" s="547"/>
      <c r="D13" s="930"/>
      <c r="E13" s="910" t="str">
        <f>A12&amp;"."&amp;B13</f>
        <v>1.1</v>
      </c>
      <c r="F13" s="925" t="s">
        <v>88</v>
      </c>
      <c r="G13" s="923" t="s">
        <v>96</v>
      </c>
      <c r="H13" s="923" t="s">
        <v>97</v>
      </c>
      <c r="I13" s="921" t="s">
        <v>98</v>
      </c>
      <c r="J13" s="630">
        <f>MERGEVALUE(G13)</f>
      </c>
      <c r="K13" s="641"/>
      <c r="L13" s="641"/>
      <c r="M13" s="630" t="str">
        <f t="array" ref="M13:M13">IF(ISERROR(MATCH(MID(N13,1,250),MID(note_ter,1,250),0)),"n","y")</f>
        <v>n</v>
      </c>
      <c r="N13" s="641"/>
      <c r="O13" s="630" t="str">
        <f>H13&amp;"("&amp;I13&amp;")"</f>
        <v>Город Амурск(08603101)</v>
      </c>
      <c r="P13" s="547"/>
      <c r="Q13" s="547"/>
      <c r="R13" s="550"/>
      <c r="S13" s="547"/>
      <c r="T13" s="547"/>
      <c r="U13" s="547"/>
      <c r="V13" s="552"/>
      <c r="W13" s="552"/>
      <c r="X13" s="549"/>
      <c r="Y13" s="549"/>
      <c r="Z13" s="549"/>
      <c r="AA13" s="549"/>
      <c r="AB13" s="549"/>
    </row>
    <row s="11007" customFormat="1" customHeight="1" ht="15">
      <c r="A14" s="2139"/>
      <c r="B14" s="547"/>
      <c r="C14" s="542"/>
      <c r="D14" s="931"/>
      <c r="E14" s="551"/>
      <c r="F14" s="307"/>
      <c r="G14" s="545" t="s">
        <v>99</v>
      </c>
      <c r="H14" s="317"/>
      <c r="I14" s="554"/>
      <c r="J14" s="641"/>
      <c r="K14" s="641"/>
      <c r="L14" s="641"/>
      <c r="M14" s="641"/>
      <c r="N14" s="630"/>
      <c r="O14" s="641"/>
      <c r="P14" s="547"/>
      <c r="Q14" s="547"/>
      <c r="R14" s="550"/>
      <c r="S14" s="547"/>
      <c r="T14" s="547"/>
      <c r="U14" s="547"/>
      <c r="V14" s="552"/>
      <c r="W14" s="552"/>
      <c r="X14" s="549"/>
      <c r="Y14" s="549"/>
      <c r="Z14" s="549"/>
      <c r="AA14" s="549"/>
      <c r="AB14" s="549"/>
    </row>
    <row customHeight="1" ht="15">
      <c r="A15" s="2256" t="s">
        <v>100</v>
      </c>
      <c r="B15" s="1292"/>
      <c r="C15" s="931" t="s">
        <v>101</v>
      </c>
      <c r="D15" s="1956"/>
      <c r="E15" s="1943" t="str">
        <f>A15</f>
        <v>2</v>
      </c>
      <c r="F15" s="934" t="s">
        <v>102</v>
      </c>
      <c r="G15" s="670" t="str">
        <f>"Территория "&amp;E15</f>
        <v>Территория 2</v>
      </c>
      <c r="H15" s="922"/>
      <c r="I15" s="922"/>
      <c r="J15" s="919"/>
      <c r="K15" s="1761"/>
      <c r="L15" s="1761"/>
      <c r="M15" s="1761"/>
      <c r="N15" s="356"/>
      <c r="O15" s="1761"/>
      <c r="P15" s="355"/>
      <c r="Q15" s="355"/>
      <c r="R15" s="355"/>
      <c r="S15" s="355"/>
      <c r="T15" s="5318"/>
      <c r="U15" s="5318"/>
      <c r="V15" s="5318"/>
      <c r="W15" s="5318"/>
      <c r="X15" s="5318"/>
      <c r="Y15" s="5318"/>
      <c r="Z15" s="5318"/>
      <c r="AA15" s="5318"/>
      <c r="AB15" s="5318"/>
    </row>
    <row customHeight="1" ht="15">
      <c r="A16" s="2256"/>
      <c r="B16" s="1292">
        <v>1</v>
      </c>
      <c r="C16" s="1292"/>
      <c r="D16" s="930"/>
      <c r="E16" s="1951" t="str">
        <f>A15&amp;"."&amp;B16</f>
        <v>2.1</v>
      </c>
      <c r="F16" s="933" t="s">
        <v>103</v>
      </c>
      <c r="G16" s="923" t="s">
        <v>104</v>
      </c>
      <c r="H16" s="923" t="s">
        <v>105</v>
      </c>
      <c r="I16" s="921" t="s">
        <v>106</v>
      </c>
      <c r="J16" s="1761"/>
      <c r="K16" s="1773"/>
      <c r="L16" s="1773"/>
      <c r="M16" s="1761" t="str">
        <f t="array" ref="M16:M16">IF(ISERROR(MATCH(MID(N16,1,250),MID(note_ter,1,250),0)),"n","y")</f>
        <v>n</v>
      </c>
      <c r="N16" s="1773"/>
      <c r="O16" s="1761" t="str">
        <f>H16&amp;"("&amp;I16&amp;")"</f>
        <v>Город Николаевск-на-Амуре(08631101)</v>
      </c>
      <c r="P16" s="1292"/>
      <c r="Q16" s="1292"/>
      <c r="R16" s="550"/>
      <c r="S16" s="1292"/>
      <c r="T16" s="1292"/>
      <c r="U16" s="1292"/>
      <c r="V16" s="552"/>
      <c r="W16" s="552"/>
      <c r="X16" s="549"/>
      <c r="Y16" s="549"/>
      <c r="Z16" s="549"/>
      <c r="AA16" s="549"/>
      <c r="AB16" s="549"/>
    </row>
    <row customHeight="1" ht="15">
      <c r="A17" s="2256"/>
      <c r="B17" s="1292"/>
      <c r="C17" s="542"/>
      <c r="D17" s="931"/>
      <c r="E17" s="551"/>
      <c r="F17" s="307"/>
      <c r="G17" s="545" t="s">
        <v>99</v>
      </c>
      <c r="H17" s="317"/>
      <c r="I17" s="554"/>
      <c r="J17" s="1773"/>
      <c r="K17" s="1773"/>
      <c r="L17" s="1773"/>
      <c r="M17" s="1773"/>
      <c r="N17" s="1761"/>
      <c r="O17" s="1773"/>
      <c r="P17" s="1292"/>
      <c r="Q17" s="1292"/>
      <c r="R17" s="550"/>
      <c r="S17" s="1292"/>
      <c r="T17" s="1292"/>
      <c r="U17" s="1292"/>
      <c r="V17" s="552"/>
      <c r="W17" s="552"/>
      <c r="X17" s="549"/>
      <c r="Y17" s="549"/>
      <c r="Z17" s="549"/>
      <c r="AA17" s="549"/>
      <c r="AB17" s="549"/>
    </row>
    <row customHeight="1" ht="15">
      <c r="A18" s="2256" t="s">
        <v>87</v>
      </c>
      <c r="B18" s="1292"/>
      <c r="C18" s="931" t="s">
        <v>101</v>
      </c>
      <c r="D18" s="1956"/>
      <c r="E18" s="1943" t="str">
        <f>A18</f>
        <v>3</v>
      </c>
      <c r="F18" s="934" t="s">
        <v>107</v>
      </c>
      <c r="G18" s="670" t="str">
        <f>"Территория "&amp;E18</f>
        <v>Территория 3</v>
      </c>
      <c r="H18" s="922"/>
      <c r="I18" s="922"/>
      <c r="J18" s="919"/>
      <c r="K18" s="1761"/>
      <c r="L18" s="1761"/>
      <c r="M18" s="1761"/>
      <c r="N18" s="356"/>
      <c r="O18" s="1761"/>
      <c r="P18" s="355"/>
      <c r="Q18" s="355"/>
      <c r="R18" s="355"/>
      <c r="S18" s="355"/>
      <c r="T18" s="5318"/>
      <c r="U18" s="5318"/>
      <c r="V18" s="5318"/>
      <c r="W18" s="5318"/>
      <c r="X18" s="5318"/>
      <c r="Y18" s="5318"/>
      <c r="Z18" s="5318"/>
      <c r="AA18" s="5318"/>
      <c r="AB18" s="5318"/>
    </row>
    <row customHeight="1" ht="15">
      <c r="A19" s="2256"/>
      <c r="B19" s="1292">
        <v>1</v>
      </c>
      <c r="C19" s="1292"/>
      <c r="D19" s="930"/>
      <c r="E19" s="1951" t="str">
        <f>A18&amp;"."&amp;B19</f>
        <v>3.1</v>
      </c>
      <c r="F19" s="933" t="s">
        <v>108</v>
      </c>
      <c r="G19" s="923" t="s">
        <v>109</v>
      </c>
      <c r="H19" s="923" t="s">
        <v>109</v>
      </c>
      <c r="I19" s="921" t="s">
        <v>110</v>
      </c>
      <c r="J19" s="1761"/>
      <c r="K19" s="1773"/>
      <c r="L19" s="1773"/>
      <c r="M19" s="1761" t="str">
        <f t="array" ref="M19:M19">IF(ISERROR(MATCH(MID(N19,1,250),MID(note_ter,1,250),0)),"n","y")</f>
        <v>n</v>
      </c>
      <c r="N19" s="1773"/>
      <c r="O19" s="1761" t="str">
        <f>H19&amp;"("&amp;I19&amp;")"</f>
        <v>Город Комсомольск-на-Амуре(08709000)</v>
      </c>
      <c r="P19" s="1292"/>
      <c r="Q19" s="1292"/>
      <c r="R19" s="550"/>
      <c r="S19" s="1292"/>
      <c r="T19" s="1292"/>
      <c r="U19" s="1292"/>
      <c r="V19" s="552"/>
      <c r="W19" s="552"/>
      <c r="X19" s="549"/>
      <c r="Y19" s="549"/>
      <c r="Z19" s="549"/>
      <c r="AA19" s="549"/>
      <c r="AB19" s="549"/>
    </row>
    <row customHeight="1" ht="15">
      <c r="A20" s="2256"/>
      <c r="B20" s="1292"/>
      <c r="C20" s="542"/>
      <c r="D20" s="931"/>
      <c r="E20" s="551"/>
      <c r="F20" s="307"/>
      <c r="G20" s="545" t="s">
        <v>99</v>
      </c>
      <c r="H20" s="317"/>
      <c r="I20" s="554"/>
      <c r="J20" s="1773"/>
      <c r="K20" s="1773"/>
      <c r="L20" s="1773"/>
      <c r="M20" s="1773"/>
      <c r="N20" s="1761"/>
      <c r="O20" s="1773"/>
      <c r="P20" s="1292"/>
      <c r="Q20" s="1292"/>
      <c r="R20" s="550"/>
      <c r="S20" s="1292"/>
      <c r="T20" s="1292"/>
      <c r="U20" s="1292"/>
      <c r="V20" s="552"/>
      <c r="W20" s="552"/>
      <c r="X20" s="549"/>
      <c r="Y20" s="549"/>
      <c r="Z20" s="549"/>
      <c r="AA20" s="549"/>
      <c r="AB20" s="549"/>
    </row>
    <row customHeight="1" ht="15">
      <c r="A21" s="2256" t="s">
        <v>88</v>
      </c>
      <c r="B21" s="1292"/>
      <c r="C21" s="931" t="s">
        <v>101</v>
      </c>
      <c r="D21" s="1956"/>
      <c r="E21" s="1943" t="str">
        <f>A21</f>
        <v>4</v>
      </c>
      <c r="F21" s="934" t="s">
        <v>111</v>
      </c>
      <c r="G21" s="670" t="str">
        <f>"Территория "&amp;E21</f>
        <v>Территория 4</v>
      </c>
      <c r="H21" s="922"/>
      <c r="I21" s="922"/>
      <c r="J21" s="919"/>
      <c r="K21" s="1761"/>
      <c r="L21" s="1761"/>
      <c r="M21" s="1761"/>
      <c r="N21" s="356"/>
      <c r="O21" s="1761"/>
      <c r="P21" s="355"/>
      <c r="Q21" s="355"/>
      <c r="R21" s="355"/>
      <c r="S21" s="355"/>
      <c r="T21" s="5318"/>
      <c r="U21" s="5318"/>
      <c r="V21" s="5318"/>
      <c r="W21" s="5318"/>
      <c r="X21" s="5318"/>
      <c r="Y21" s="5318"/>
      <c r="Z21" s="5318"/>
      <c r="AA21" s="5318"/>
      <c r="AB21" s="5318"/>
    </row>
    <row customHeight="1" ht="15">
      <c r="A22" s="2256"/>
      <c r="B22" s="1292">
        <v>1</v>
      </c>
      <c r="C22" s="1292"/>
      <c r="D22" s="930"/>
      <c r="E22" s="1951" t="str">
        <f>A21&amp;"."&amp;B22</f>
        <v>4.1</v>
      </c>
      <c r="F22" s="933" t="s">
        <v>112</v>
      </c>
      <c r="G22" s="923" t="s">
        <v>113</v>
      </c>
      <c r="H22" s="923" t="s">
        <v>114</v>
      </c>
      <c r="I22" s="921" t="s">
        <v>115</v>
      </c>
      <c r="J22" s="1761"/>
      <c r="K22" s="1773"/>
      <c r="L22" s="1773"/>
      <c r="M22" s="1761" t="str">
        <f t="array" ref="M22:M22">IF(ISERROR(MATCH(MID(N22,1,250),MID(note_ter,1,250),0)),"n","y")</f>
        <v>n</v>
      </c>
      <c r="N22" s="1773"/>
      <c r="O22" s="1761" t="str">
        <f>H22&amp;"("&amp;I22&amp;")"</f>
        <v>Город Советская Гавань(08642101)</v>
      </c>
      <c r="P22" s="1292"/>
      <c r="Q22" s="1292"/>
      <c r="R22" s="550"/>
      <c r="S22" s="1292"/>
      <c r="T22" s="1292"/>
      <c r="U22" s="1292"/>
      <c r="V22" s="552"/>
      <c r="W22" s="552"/>
      <c r="X22" s="549"/>
      <c r="Y22" s="549"/>
      <c r="Z22" s="549"/>
      <c r="AA22" s="549"/>
      <c r="AB22" s="549"/>
    </row>
    <row customHeight="1" ht="15">
      <c r="A23" s="2021"/>
      <c r="B23" s="1503" t="s">
        <v>100</v>
      </c>
      <c r="C23" s="1503"/>
      <c r="D23" s="930" t="s">
        <v>101</v>
      </c>
      <c r="E23" s="2017" t="str">
        <f>A21&amp;"."&amp;B23</f>
        <v>4.2</v>
      </c>
      <c r="F23" s="2022" t="s">
        <v>116</v>
      </c>
      <c r="G23" s="2026" t="s">
        <v>113</v>
      </c>
      <c r="H23" s="2026" t="s">
        <v>117</v>
      </c>
      <c r="I23" s="2024" t="s">
        <v>118</v>
      </c>
      <c r="J23" s="1761"/>
      <c r="K23" s="1773"/>
      <c r="L23" s="1773"/>
      <c r="M23" s="1761" t="str">
        <f t="array" ref="M23:M23">IF(ISERROR(MATCH(MID(N23,1,250),MID(note_ter,1,250),0)),"n","y")</f>
        <v>n</v>
      </c>
      <c r="N23" s="1773"/>
      <c r="O23" s="1761" t="str">
        <f>H23&amp;"("&amp;I23&amp;")"</f>
        <v>Поселок Майский(08642165)</v>
      </c>
      <c r="P23" s="1503"/>
      <c r="Q23" s="1503"/>
      <c r="R23" s="550"/>
      <c r="S23" s="1503"/>
      <c r="T23" s="1503"/>
      <c r="U23" s="1503"/>
      <c r="V23" s="963"/>
      <c r="W23" s="963"/>
      <c r="X23" s="757"/>
      <c r="Y23" s="757"/>
      <c r="Z23" s="757"/>
      <c r="AA23" s="757"/>
      <c r="AB23" s="757"/>
    </row>
    <row customHeight="1" ht="15">
      <c r="A24" s="2256"/>
      <c r="B24" s="1292"/>
      <c r="C24" s="542"/>
      <c r="D24" s="931"/>
      <c r="E24" s="551"/>
      <c r="F24" s="307"/>
      <c r="G24" s="545" t="s">
        <v>99</v>
      </c>
      <c r="H24" s="317"/>
      <c r="I24" s="554"/>
      <c r="J24" s="1773"/>
      <c r="K24" s="1773"/>
      <c r="L24" s="1773"/>
      <c r="M24" s="1773"/>
      <c r="N24" s="1761"/>
      <c r="O24" s="1773"/>
      <c r="P24" s="1292"/>
      <c r="Q24" s="1292"/>
      <c r="R24" s="550"/>
      <c r="S24" s="1292"/>
      <c r="T24" s="1292"/>
      <c r="U24" s="1292"/>
      <c r="V24" s="552"/>
      <c r="W24" s="552"/>
      <c r="X24" s="549"/>
      <c r="Y24" s="549"/>
      <c r="Z24" s="549"/>
      <c r="AA24" s="549"/>
      <c r="AB24" s="549"/>
    </row>
    <row customHeight="1" ht="15">
      <c r="A25" s="2256" t="s">
        <v>119</v>
      </c>
      <c r="B25" s="1292"/>
      <c r="C25" s="931" t="s">
        <v>101</v>
      </c>
      <c r="D25" s="1956"/>
      <c r="E25" s="1943" t="str">
        <f>A25</f>
        <v>5</v>
      </c>
      <c r="F25" s="934" t="s">
        <v>120</v>
      </c>
      <c r="G25" s="670" t="str">
        <f>"Территория "&amp;E25</f>
        <v>Территория 5</v>
      </c>
      <c r="H25" s="922"/>
      <c r="I25" s="922"/>
      <c r="J25" s="919"/>
      <c r="K25" s="1761"/>
      <c r="L25" s="1761"/>
      <c r="M25" s="1761"/>
      <c r="N25" s="356"/>
      <c r="O25" s="1761"/>
      <c r="P25" s="355"/>
      <c r="Q25" s="355"/>
      <c r="R25" s="355"/>
      <c r="S25" s="355"/>
      <c r="T25" s="5318"/>
      <c r="U25" s="5318"/>
      <c r="V25" s="5318"/>
      <c r="W25" s="5318"/>
      <c r="X25" s="5318"/>
      <c r="Y25" s="5318"/>
      <c r="Z25" s="5318"/>
      <c r="AA25" s="5318"/>
      <c r="AB25" s="5318"/>
    </row>
    <row customHeight="1" ht="15">
      <c r="A26" s="2256"/>
      <c r="B26" s="1292">
        <v>1</v>
      </c>
      <c r="C26" s="1292"/>
      <c r="D26" s="930"/>
      <c r="E26" s="1951" t="str">
        <f>A25&amp;"."&amp;B26</f>
        <v>5.1</v>
      </c>
      <c r="F26" s="933" t="s">
        <v>121</v>
      </c>
      <c r="G26" s="923" t="s">
        <v>122</v>
      </c>
      <c r="H26" s="923" t="s">
        <v>123</v>
      </c>
      <c r="I26" s="921" t="s">
        <v>124</v>
      </c>
      <c r="J26" s="1761"/>
      <c r="K26" s="1773"/>
      <c r="L26" s="1773"/>
      <c r="M26" s="1761" t="str">
        <f t="array" ref="M26:M26">IF(ISERROR(MATCH(MID(N26,1,250),MID(note_ter,1,250),0)),"n","y")</f>
        <v>n</v>
      </c>
      <c r="N26" s="1773"/>
      <c r="O26" s="1761" t="str">
        <f>H26&amp;"("&amp;I26&amp;")"</f>
        <v>Поселок Чегдомын(08614151)</v>
      </c>
      <c r="P26" s="1292"/>
      <c r="Q26" s="1292"/>
      <c r="R26" s="550"/>
      <c r="S26" s="1292"/>
      <c r="T26" s="1292"/>
      <c r="U26" s="1292"/>
      <c r="V26" s="552"/>
      <c r="W26" s="552"/>
      <c r="X26" s="549"/>
      <c r="Y26" s="549"/>
      <c r="Z26" s="549"/>
      <c r="AA26" s="549"/>
      <c r="AB26" s="549"/>
    </row>
    <row customHeight="1" ht="15">
      <c r="A27" s="2256"/>
      <c r="B27" s="1292"/>
      <c r="C27" s="542"/>
      <c r="D27" s="931"/>
      <c r="E27" s="551"/>
      <c r="F27" s="307"/>
      <c r="G27" s="545" t="s">
        <v>99</v>
      </c>
      <c r="H27" s="317"/>
      <c r="I27" s="554"/>
      <c r="J27" s="1773"/>
      <c r="K27" s="1773"/>
      <c r="L27" s="1773"/>
      <c r="M27" s="1773"/>
      <c r="N27" s="1761"/>
      <c r="O27" s="1773"/>
      <c r="P27" s="1292"/>
      <c r="Q27" s="1292"/>
      <c r="R27" s="550"/>
      <c r="S27" s="1292"/>
      <c r="T27" s="1292"/>
      <c r="U27" s="1292"/>
      <c r="V27" s="552"/>
      <c r="W27" s="552"/>
      <c r="X27" s="549"/>
      <c r="Y27" s="549"/>
      <c r="Z27" s="549"/>
      <c r="AA27" s="549"/>
      <c r="AB27" s="549"/>
    </row>
    <row customHeight="1" ht="15">
      <c r="A28" s="2256" t="s">
        <v>89</v>
      </c>
      <c r="B28" s="1292"/>
      <c r="C28" s="931" t="s">
        <v>101</v>
      </c>
      <c r="D28" s="1956"/>
      <c r="E28" s="1943" t="str">
        <f>A28</f>
        <v>6</v>
      </c>
      <c r="F28" s="934" t="s">
        <v>125</v>
      </c>
      <c r="G28" s="670" t="str">
        <f>"Территория "&amp;E28</f>
        <v>Территория 6</v>
      </c>
      <c r="H28" s="922"/>
      <c r="I28" s="922"/>
      <c r="J28" s="919"/>
      <c r="K28" s="1761"/>
      <c r="L28" s="1761"/>
      <c r="M28" s="1761"/>
      <c r="N28" s="356"/>
      <c r="O28" s="1761"/>
      <c r="P28" s="355"/>
      <c r="Q28" s="355"/>
      <c r="R28" s="355"/>
      <c r="S28" s="355"/>
      <c r="T28" s="5318"/>
      <c r="U28" s="5318"/>
      <c r="V28" s="5318"/>
      <c r="W28" s="5318"/>
      <c r="X28" s="5318"/>
      <c r="Y28" s="5318"/>
      <c r="Z28" s="5318"/>
      <c r="AA28" s="5318"/>
      <c r="AB28" s="5318"/>
    </row>
    <row customHeight="1" ht="15">
      <c r="A29" s="2256"/>
      <c r="B29" s="1292">
        <v>1</v>
      </c>
      <c r="C29" s="1292"/>
      <c r="D29" s="930"/>
      <c r="E29" s="1951" t="str">
        <f>A28&amp;"."&amp;B29</f>
        <v>6.1</v>
      </c>
      <c r="F29" s="933" t="s">
        <v>126</v>
      </c>
      <c r="G29" s="923" t="s">
        <v>127</v>
      </c>
      <c r="H29" s="923" t="s">
        <v>127</v>
      </c>
      <c r="I29" s="921" t="s">
        <v>128</v>
      </c>
      <c r="J29" s="1761"/>
      <c r="K29" s="1773"/>
      <c r="L29" s="1773"/>
      <c r="M29" s="1761" t="str">
        <f t="array" ref="M29:M29">IF(ISERROR(MATCH(MID(N29,1,250),MID(note_ter,1,250),0)),"n","y")</f>
        <v>n</v>
      </c>
      <c r="N29" s="1773"/>
      <c r="O29" s="1761" t="str">
        <f>H29&amp;"("&amp;I29&amp;")"</f>
        <v>Город Хабаровск(08701000)</v>
      </c>
      <c r="P29" s="1292"/>
      <c r="Q29" s="1292"/>
      <c r="R29" s="550"/>
      <c r="S29" s="1292"/>
      <c r="T29" s="1292"/>
      <c r="U29" s="1292"/>
      <c r="V29" s="552"/>
      <c r="W29" s="552"/>
      <c r="X29" s="549"/>
      <c r="Y29" s="549"/>
      <c r="Z29" s="549"/>
      <c r="AA29" s="549"/>
      <c r="AB29" s="549"/>
    </row>
    <row customHeight="1" ht="15">
      <c r="A30" s="2021"/>
      <c r="B30" s="1503" t="s">
        <v>100</v>
      </c>
      <c r="C30" s="1503"/>
      <c r="D30" s="930" t="s">
        <v>101</v>
      </c>
      <c r="E30" s="2017" t="str">
        <f>A28&amp;"."&amp;B30</f>
        <v>6.2</v>
      </c>
      <c r="F30" s="2022" t="s">
        <v>129</v>
      </c>
      <c r="G30" s="2026" t="s">
        <v>130</v>
      </c>
      <c r="H30" s="2026" t="s">
        <v>131</v>
      </c>
      <c r="I30" s="2024" t="s">
        <v>132</v>
      </c>
      <c r="J30" s="1761"/>
      <c r="K30" s="1773"/>
      <c r="L30" s="1773"/>
      <c r="M30" s="1761" t="str">
        <f t="array" ref="M30:M30">IF(ISERROR(MATCH(MID(N30,1,250),MID(note_ter,1,250),0)),"n","y")</f>
        <v>n</v>
      </c>
      <c r="N30" s="1773"/>
      <c r="O30" s="1761" t="str">
        <f>H30&amp;"("&amp;I30&amp;")"</f>
        <v>Ильинское(08655419)</v>
      </c>
      <c r="P30" s="1503"/>
      <c r="Q30" s="1503"/>
      <c r="R30" s="550"/>
      <c r="S30" s="1503"/>
      <c r="T30" s="1503"/>
      <c r="U30" s="1503"/>
      <c r="V30" s="963"/>
      <c r="W30" s="963"/>
      <c r="X30" s="757"/>
      <c r="Y30" s="757"/>
      <c r="Z30" s="757"/>
      <c r="AA30" s="757"/>
      <c r="AB30" s="757"/>
    </row>
    <row s="11040" customFormat="1" customHeight="1" ht="15">
      <c r="A31" s="2021"/>
      <c r="B31" s="1503" t="s">
        <v>87</v>
      </c>
      <c r="C31" s="1503"/>
      <c r="D31" s="930" t="s">
        <v>101</v>
      </c>
      <c r="E31" s="2017" t="str">
        <f>A28&amp;"."&amp;B31</f>
        <v>6.3</v>
      </c>
      <c r="F31" s="2022" t="s">
        <v>133</v>
      </c>
      <c r="G31" s="2026" t="s">
        <v>130</v>
      </c>
      <c r="H31" s="2026" t="s">
        <v>134</v>
      </c>
      <c r="I31" s="2024" t="s">
        <v>135</v>
      </c>
      <c r="J31" s="1761"/>
      <c r="K31" s="1773"/>
      <c r="L31" s="1773"/>
      <c r="M31" s="1761" t="str">
        <f t="array" ref="M31:M31">IF(ISERROR(MATCH(MID(N31,1,250),MID(note_ter,1,250),0)),"n","y")</f>
        <v>n</v>
      </c>
      <c r="N31" s="1773"/>
      <c r="O31" s="1761" t="str">
        <f>H31&amp;"("&amp;I31&amp;")"</f>
        <v>Поселок Корфовский(08655155)</v>
      </c>
      <c r="P31" s="1503"/>
      <c r="Q31" s="1503"/>
      <c r="R31" s="550"/>
      <c r="S31" s="1503"/>
      <c r="T31" s="1503"/>
      <c r="U31" s="1503"/>
      <c r="V31" s="963"/>
      <c r="W31" s="963"/>
      <c r="X31" s="757"/>
      <c r="Y31" s="757"/>
      <c r="Z31" s="757"/>
      <c r="AA31" s="757"/>
      <c r="AB31" s="757"/>
    </row>
    <row s="11041" customFormat="1" customHeight="1" ht="15">
      <c r="A32" s="2021"/>
      <c r="B32" s="1503" t="s">
        <v>88</v>
      </c>
      <c r="C32" s="1503"/>
      <c r="D32" s="930" t="s">
        <v>101</v>
      </c>
      <c r="E32" s="2017" t="str">
        <f>A28&amp;"."&amp;B32</f>
        <v>6.4</v>
      </c>
      <c r="F32" s="2022" t="s">
        <v>136</v>
      </c>
      <c r="G32" s="2026" t="s">
        <v>130</v>
      </c>
      <c r="H32" s="2026" t="s">
        <v>137</v>
      </c>
      <c r="I32" s="2024" t="s">
        <v>138</v>
      </c>
      <c r="J32" s="1761"/>
      <c r="K32" s="1773"/>
      <c r="L32" s="1773"/>
      <c r="M32" s="1761" t="str">
        <f t="array" ref="M32:M32">IF(ISERROR(MATCH(MID(N32,1,250),MID(note_ter,1,250),0)),"n","y")</f>
        <v>n</v>
      </c>
      <c r="N32" s="1773"/>
      <c r="O32" s="1761" t="str">
        <f>H32&amp;"("&amp;I32&amp;")"</f>
        <v>Ракитненское(08655459)</v>
      </c>
      <c r="P32" s="1503"/>
      <c r="Q32" s="1503"/>
      <c r="R32" s="550"/>
      <c r="S32" s="1503"/>
      <c r="T32" s="1503"/>
      <c r="U32" s="1503"/>
      <c r="V32" s="963"/>
      <c r="W32" s="963"/>
      <c r="X32" s="757"/>
      <c r="Y32" s="757"/>
      <c r="Z32" s="757"/>
      <c r="AA32" s="757"/>
      <c r="AB32" s="757"/>
    </row>
    <row customHeight="1" ht="15">
      <c r="A33" s="2256"/>
      <c r="B33" s="1292"/>
      <c r="C33" s="542"/>
      <c r="D33" s="931"/>
      <c r="E33" s="551"/>
      <c r="F33" s="307"/>
      <c r="G33" s="545" t="s">
        <v>99</v>
      </c>
      <c r="H33" s="317"/>
      <c r="I33" s="554"/>
      <c r="J33" s="1773"/>
      <c r="K33" s="1773"/>
      <c r="L33" s="1773"/>
      <c r="M33" s="1773"/>
      <c r="N33" s="1761"/>
      <c r="O33" s="1773"/>
      <c r="P33" s="1292"/>
      <c r="Q33" s="1292"/>
      <c r="R33" s="550"/>
      <c r="S33" s="1292"/>
      <c r="T33" s="1292"/>
      <c r="U33" s="1292"/>
      <c r="V33" s="552"/>
      <c r="W33" s="552"/>
      <c r="X33" s="549"/>
      <c r="Y33" s="549"/>
      <c r="Z33" s="549"/>
      <c r="AA33" s="549"/>
      <c r="AB33" s="549"/>
    </row>
    <row customHeight="1" ht="15">
      <c r="A34" s="2256" t="s">
        <v>90</v>
      </c>
      <c r="B34" s="1292"/>
      <c r="C34" s="931" t="s">
        <v>101</v>
      </c>
      <c r="D34" s="1956"/>
      <c r="E34" s="1943" t="str">
        <f>A34</f>
        <v>7</v>
      </c>
      <c r="F34" s="934" t="s">
        <v>139</v>
      </c>
      <c r="G34" s="670" t="str">
        <f>"Территория "&amp;E34</f>
        <v>Территория 7</v>
      </c>
      <c r="H34" s="922"/>
      <c r="I34" s="922"/>
      <c r="J34" s="919"/>
      <c r="K34" s="1761"/>
      <c r="L34" s="1761"/>
      <c r="M34" s="1761"/>
      <c r="N34" s="356"/>
      <c r="O34" s="1761"/>
      <c r="P34" s="355"/>
      <c r="Q34" s="355"/>
      <c r="R34" s="355"/>
      <c r="S34" s="355"/>
      <c r="T34" s="5318"/>
      <c r="U34" s="5318"/>
      <c r="V34" s="5318"/>
      <c r="W34" s="5318"/>
      <c r="X34" s="5318"/>
      <c r="Y34" s="5318"/>
      <c r="Z34" s="5318"/>
      <c r="AA34" s="5318"/>
      <c r="AB34" s="5318"/>
    </row>
    <row customHeight="1" ht="15">
      <c r="A35" s="2256"/>
      <c r="B35" s="1292">
        <v>1</v>
      </c>
      <c r="C35" s="1292"/>
      <c r="D35" s="930"/>
      <c r="E35" s="1951" t="str">
        <f>A34&amp;"."&amp;B35</f>
        <v>7.1</v>
      </c>
      <c r="F35" s="933" t="s">
        <v>126</v>
      </c>
      <c r="G35" s="923" t="s">
        <v>127</v>
      </c>
      <c r="H35" s="923" t="s">
        <v>127</v>
      </c>
      <c r="I35" s="921" t="s">
        <v>128</v>
      </c>
      <c r="J35" s="1761"/>
      <c r="K35" s="1773"/>
      <c r="L35" s="1773"/>
      <c r="M35" s="1761" t="str">
        <f t="array" ref="M35:M35">IF(ISERROR(MATCH(MID(N35,1,250),MID(note_ter,1,250),0)),"n","y")</f>
        <v>n</v>
      </c>
      <c r="N35" s="1773"/>
      <c r="O35" s="1761" t="str">
        <f>H35&amp;"("&amp;I35&amp;")"</f>
        <v>Город Хабаровск(08701000)</v>
      </c>
      <c r="P35" s="1292"/>
      <c r="Q35" s="1292"/>
      <c r="R35" s="550"/>
      <c r="S35" s="1292"/>
      <c r="T35" s="1292"/>
      <c r="U35" s="1292"/>
      <c r="V35" s="552"/>
      <c r="W35" s="552"/>
      <c r="X35" s="549"/>
      <c r="Y35" s="549"/>
      <c r="Z35" s="549"/>
      <c r="AA35" s="549"/>
      <c r="AB35" s="549"/>
    </row>
    <row customHeight="1" ht="15">
      <c r="A36" s="2256"/>
      <c r="B36" s="1292"/>
      <c r="C36" s="542"/>
      <c r="D36" s="931"/>
      <c r="E36" s="551"/>
      <c r="F36" s="307"/>
      <c r="G36" s="545" t="s">
        <v>99</v>
      </c>
      <c r="H36" s="317"/>
      <c r="I36" s="554"/>
      <c r="J36" s="1773"/>
      <c r="K36" s="1773"/>
      <c r="L36" s="1773"/>
      <c r="M36" s="1773"/>
      <c r="N36" s="1761"/>
      <c r="O36" s="1773"/>
      <c r="P36" s="1292"/>
      <c r="Q36" s="1292"/>
      <c r="R36" s="550"/>
      <c r="S36" s="1292"/>
      <c r="T36" s="1292"/>
      <c r="U36" s="1292"/>
      <c r="V36" s="552"/>
      <c r="W36" s="552"/>
      <c r="X36" s="549"/>
      <c r="Y36" s="549"/>
      <c r="Z36" s="549"/>
      <c r="AA36" s="549"/>
      <c r="AB36" s="549"/>
    </row>
    <row customHeight="1" ht="15">
      <c r="A37" s="2256" t="s">
        <v>140</v>
      </c>
      <c r="B37" s="1292"/>
      <c r="C37" s="931" t="s">
        <v>101</v>
      </c>
      <c r="D37" s="1956"/>
      <c r="E37" s="1943" t="str">
        <f>A37</f>
        <v>8</v>
      </c>
      <c r="F37" s="934" t="s">
        <v>141</v>
      </c>
      <c r="G37" s="670" t="str">
        <f>"Территория "&amp;E37</f>
        <v>Территория 8</v>
      </c>
      <c r="H37" s="922"/>
      <c r="I37" s="922"/>
      <c r="J37" s="919"/>
      <c r="K37" s="1761"/>
      <c r="L37" s="1761"/>
      <c r="M37" s="1761"/>
      <c r="N37" s="356"/>
      <c r="O37" s="1761"/>
      <c r="P37" s="355"/>
      <c r="Q37" s="355"/>
      <c r="R37" s="355"/>
      <c r="S37" s="355"/>
      <c r="T37" s="5318"/>
      <c r="U37" s="5318"/>
      <c r="V37" s="5318"/>
      <c r="W37" s="5318"/>
      <c r="X37" s="5318"/>
      <c r="Y37" s="5318"/>
      <c r="Z37" s="5318"/>
      <c r="AA37" s="5318"/>
      <c r="AB37" s="5318"/>
    </row>
    <row customHeight="1" ht="15">
      <c r="A38" s="2256"/>
      <c r="B38" s="1292">
        <v>1</v>
      </c>
      <c r="C38" s="1292"/>
      <c r="D38" s="930"/>
      <c r="E38" s="1951" t="str">
        <f>A37&amp;"."&amp;B38</f>
        <v>8.1</v>
      </c>
      <c r="F38" s="933" t="s">
        <v>126</v>
      </c>
      <c r="G38" s="923" t="s">
        <v>127</v>
      </c>
      <c r="H38" s="923" t="s">
        <v>127</v>
      </c>
      <c r="I38" s="921" t="s">
        <v>128</v>
      </c>
      <c r="J38" s="1761"/>
      <c r="K38" s="1773"/>
      <c r="L38" s="1773"/>
      <c r="M38" s="1761" t="str">
        <f t="array" ref="M38:M38">IF(ISERROR(MATCH(MID(N38,1,250),MID(note_ter,1,250),0)),"n","y")</f>
        <v>n</v>
      </c>
      <c r="N38" s="1773"/>
      <c r="O38" s="1761" t="str">
        <f>H38&amp;"("&amp;I38&amp;")"</f>
        <v>Город Хабаровск(08701000)</v>
      </c>
      <c r="P38" s="1292"/>
      <c r="Q38" s="1292"/>
      <c r="R38" s="550"/>
      <c r="S38" s="1292"/>
      <c r="T38" s="1292"/>
      <c r="U38" s="1292"/>
      <c r="V38" s="552"/>
      <c r="W38" s="552"/>
      <c r="X38" s="549"/>
      <c r="Y38" s="549"/>
      <c r="Z38" s="549"/>
      <c r="AA38" s="549"/>
      <c r="AB38" s="549"/>
    </row>
    <row customHeight="1" ht="15">
      <c r="A39" s="2021"/>
      <c r="B39" s="1503" t="s">
        <v>100</v>
      </c>
      <c r="C39" s="1503"/>
      <c r="D39" s="930" t="s">
        <v>101</v>
      </c>
      <c r="E39" s="2017" t="str">
        <f>A37&amp;"."&amp;B39</f>
        <v>8.2</v>
      </c>
      <c r="F39" s="2022" t="s">
        <v>142</v>
      </c>
      <c r="G39" s="2026" t="s">
        <v>130</v>
      </c>
      <c r="H39" s="2026" t="s">
        <v>143</v>
      </c>
      <c r="I39" s="2024" t="s">
        <v>144</v>
      </c>
      <c r="J39" s="1761"/>
      <c r="K39" s="1773"/>
      <c r="L39" s="1773"/>
      <c r="M39" s="1761" t="str">
        <f t="array" ref="M39:M39">IF(ISERROR(MATCH(MID(N39,1,250),MID(note_ter,1,250),0)),"n","y")</f>
        <v>n</v>
      </c>
      <c r="N39" s="1773"/>
      <c r="O39" s="1761" t="str">
        <f>H39&amp;"("&amp;I39&amp;")"</f>
        <v>Восточное(08655476)</v>
      </c>
      <c r="P39" s="1503"/>
      <c r="Q39" s="1503"/>
      <c r="R39" s="550"/>
      <c r="S39" s="1503"/>
      <c r="T39" s="1503"/>
      <c r="U39" s="1503"/>
      <c r="V39" s="963"/>
      <c r="W39" s="963"/>
      <c r="X39" s="757"/>
      <c r="Y39" s="757"/>
      <c r="Z39" s="757"/>
      <c r="AA39" s="757"/>
      <c r="AB39" s="757"/>
    </row>
    <row s="11042" customFormat="1" customHeight="1" ht="15">
      <c r="A40" s="2021"/>
      <c r="B40" s="1503" t="s">
        <v>87</v>
      </c>
      <c r="C40" s="1503"/>
      <c r="D40" s="930" t="s">
        <v>101</v>
      </c>
      <c r="E40" s="2017" t="str">
        <f>A37&amp;"."&amp;B40</f>
        <v>8.3</v>
      </c>
      <c r="F40" s="2022" t="s">
        <v>145</v>
      </c>
      <c r="G40" s="2026" t="s">
        <v>130</v>
      </c>
      <c r="H40" s="2026" t="s">
        <v>146</v>
      </c>
      <c r="I40" s="2024" t="s">
        <v>147</v>
      </c>
      <c r="J40" s="1761"/>
      <c r="K40" s="1773"/>
      <c r="L40" s="1773"/>
      <c r="M40" s="1761" t="str">
        <f t="array" ref="M40:M40">IF(ISERROR(MATCH(MID(N40,1,250),MID(note_ter,1,250),0)),"n","y")</f>
        <v>n</v>
      </c>
      <c r="N40" s="1773"/>
      <c r="O40" s="1761" t="str">
        <f>H40&amp;"("&amp;I40&amp;")"</f>
        <v>Мирненское(08655440)</v>
      </c>
      <c r="P40" s="1503"/>
      <c r="Q40" s="1503"/>
      <c r="R40" s="550"/>
      <c r="S40" s="1503"/>
      <c r="T40" s="1503"/>
      <c r="U40" s="1503"/>
      <c r="V40" s="963"/>
      <c r="W40" s="963"/>
      <c r="X40" s="757"/>
      <c r="Y40" s="757"/>
      <c r="Z40" s="757"/>
      <c r="AA40" s="757"/>
      <c r="AB40" s="757"/>
    </row>
    <row s="11043" customFormat="1" customHeight="1" ht="15">
      <c r="A41" s="2021"/>
      <c r="B41" s="1503" t="s">
        <v>88</v>
      </c>
      <c r="C41" s="1503"/>
      <c r="D41" s="930" t="s">
        <v>101</v>
      </c>
      <c r="E41" s="2017" t="str">
        <f>A37&amp;"."&amp;B41</f>
        <v>8.4</v>
      </c>
      <c r="F41" s="2022" t="s">
        <v>148</v>
      </c>
      <c r="G41" s="2026" t="s">
        <v>130</v>
      </c>
      <c r="H41" s="2026" t="s">
        <v>149</v>
      </c>
      <c r="I41" s="2024" t="s">
        <v>150</v>
      </c>
      <c r="J41" s="1761"/>
      <c r="K41" s="1773"/>
      <c r="L41" s="1773"/>
      <c r="M41" s="1761" t="str">
        <f t="array" ref="M41:M41">IF(ISERROR(MATCH(MID(N41,1,250),MID(note_ter,1,250),0)),"n","y")</f>
        <v>n</v>
      </c>
      <c r="N41" s="1773"/>
      <c r="O41" s="1761" t="str">
        <f>H41&amp;"("&amp;I41&amp;")"</f>
        <v>Тополевское(08655465)</v>
      </c>
      <c r="P41" s="1503"/>
      <c r="Q41" s="1503"/>
      <c r="R41" s="550"/>
      <c r="S41" s="1503"/>
      <c r="T41" s="1503"/>
      <c r="U41" s="1503"/>
      <c r="V41" s="963"/>
      <c r="W41" s="963"/>
      <c r="X41" s="757"/>
      <c r="Y41" s="757"/>
      <c r="Z41" s="757"/>
      <c r="AA41" s="757"/>
      <c r="AB41" s="757"/>
    </row>
    <row customHeight="1" ht="15">
      <c r="A42" s="2256"/>
      <c r="B42" s="1292"/>
      <c r="C42" s="542"/>
      <c r="D42" s="931"/>
      <c r="E42" s="551"/>
      <c r="F42" s="307"/>
      <c r="G42" s="545" t="s">
        <v>99</v>
      </c>
      <c r="H42" s="317"/>
      <c r="I42" s="554"/>
      <c r="J42" s="1773"/>
      <c r="K42" s="1773"/>
      <c r="L42" s="1773"/>
      <c r="M42" s="1773"/>
      <c r="N42" s="1761"/>
      <c r="O42" s="1773"/>
      <c r="P42" s="1292"/>
      <c r="Q42" s="1292"/>
      <c r="R42" s="550"/>
      <c r="S42" s="1292"/>
      <c r="T42" s="1292"/>
      <c r="U42" s="1292"/>
      <c r="V42" s="552"/>
      <c r="W42" s="552"/>
      <c r="X42" s="549"/>
      <c r="Y42" s="549"/>
      <c r="Z42" s="549"/>
      <c r="AA42" s="549"/>
      <c r="AB42" s="549"/>
    </row>
    <row customHeight="1" ht="15">
      <c r="A43" s="2256" t="s">
        <v>151</v>
      </c>
      <c r="B43" s="1292"/>
      <c r="C43" s="931" t="s">
        <v>101</v>
      </c>
      <c r="D43" s="1956"/>
      <c r="E43" s="1943" t="str">
        <f>A43</f>
        <v>9</v>
      </c>
      <c r="F43" s="934" t="s">
        <v>152</v>
      </c>
      <c r="G43" s="670" t="str">
        <f>"Территория "&amp;E43</f>
        <v>Территория 9</v>
      </c>
      <c r="H43" s="922"/>
      <c r="I43" s="922"/>
      <c r="J43" s="919"/>
      <c r="K43" s="1761"/>
      <c r="L43" s="1761"/>
      <c r="M43" s="1761"/>
      <c r="N43" s="356"/>
      <c r="O43" s="1761"/>
      <c r="P43" s="355"/>
      <c r="Q43" s="355"/>
      <c r="R43" s="355"/>
      <c r="S43" s="355"/>
      <c r="T43" s="5318"/>
      <c r="U43" s="5318"/>
      <c r="V43" s="5318"/>
      <c r="W43" s="5318"/>
      <c r="X43" s="5318"/>
      <c r="Y43" s="5318"/>
      <c r="Z43" s="5318"/>
      <c r="AA43" s="5318"/>
      <c r="AB43" s="5318"/>
    </row>
    <row customHeight="1" ht="15">
      <c r="A44" s="2256"/>
      <c r="B44" s="1292">
        <v>1</v>
      </c>
      <c r="C44" s="1292"/>
      <c r="D44" s="930"/>
      <c r="E44" s="1951" t="str">
        <f>A43&amp;"."&amp;B44</f>
        <v>9.1</v>
      </c>
      <c r="F44" s="933" t="s">
        <v>153</v>
      </c>
      <c r="G44" s="923" t="s">
        <v>130</v>
      </c>
      <c r="H44" s="923" t="s">
        <v>154</v>
      </c>
      <c r="I44" s="921" t="s">
        <v>155</v>
      </c>
      <c r="J44" s="1761"/>
      <c r="K44" s="1773"/>
      <c r="L44" s="1773"/>
      <c r="M44" s="1761" t="str">
        <f t="array" ref="M44:M44">IF(ISERROR(MATCH(MID(N44,1,250),MID(note_ter,1,250),0)),"n","y")</f>
        <v>n</v>
      </c>
      <c r="N44" s="1773"/>
      <c r="O44" s="1761" t="str">
        <f>H44&amp;"("&amp;I44&amp;")"</f>
        <v>Дружбинское(08655415)</v>
      </c>
      <c r="P44" s="1292"/>
      <c r="Q44" s="1292"/>
      <c r="R44" s="550"/>
      <c r="S44" s="1292"/>
      <c r="T44" s="1292"/>
      <c r="U44" s="1292"/>
      <c r="V44" s="552"/>
      <c r="W44" s="552"/>
      <c r="X44" s="549"/>
      <c r="Y44" s="549"/>
      <c r="Z44" s="549"/>
      <c r="AA44" s="549"/>
      <c r="AB44" s="549"/>
    </row>
    <row customHeight="1" ht="15">
      <c r="A45" s="2021"/>
      <c r="B45" s="1503" t="s">
        <v>100</v>
      </c>
      <c r="C45" s="1503"/>
      <c r="D45" s="930" t="s">
        <v>101</v>
      </c>
      <c r="E45" s="2017" t="str">
        <f>A43&amp;"."&amp;B45</f>
        <v>9.2</v>
      </c>
      <c r="F45" s="2022" t="s">
        <v>156</v>
      </c>
      <c r="G45" s="2026" t="s">
        <v>130</v>
      </c>
      <c r="H45" s="2026" t="s">
        <v>157</v>
      </c>
      <c r="I45" s="2024" t="s">
        <v>158</v>
      </c>
      <c r="J45" s="1761"/>
      <c r="K45" s="1773"/>
      <c r="L45" s="1773"/>
      <c r="M45" s="1761" t="str">
        <f t="array" ref="M45:M45">IF(ISERROR(MATCH(MID(N45,1,250),MID(note_ter,1,250),0)),"n","y")</f>
        <v>n</v>
      </c>
      <c r="N45" s="1773"/>
      <c r="O45" s="1761" t="str">
        <f>H45&amp;"("&amp;I45&amp;")"</f>
        <v>Некрасовское(08655448)</v>
      </c>
      <c r="P45" s="1503"/>
      <c r="Q45" s="1503"/>
      <c r="R45" s="550"/>
      <c r="S45" s="1503"/>
      <c r="T45" s="1503"/>
      <c r="U45" s="1503"/>
      <c r="V45" s="963"/>
      <c r="W45" s="963"/>
      <c r="X45" s="757"/>
      <c r="Y45" s="757"/>
      <c r="Z45" s="757"/>
      <c r="AA45" s="757"/>
      <c r="AB45" s="757"/>
    </row>
    <row customHeight="1" ht="15">
      <c r="A46" s="2256"/>
      <c r="B46" s="1292"/>
      <c r="C46" s="542"/>
      <c r="D46" s="931"/>
      <c r="E46" s="551"/>
      <c r="F46" s="307"/>
      <c r="G46" s="545" t="s">
        <v>99</v>
      </c>
      <c r="H46" s="317"/>
      <c r="I46" s="554"/>
      <c r="J46" s="1773"/>
      <c r="K46" s="1773"/>
      <c r="L46" s="1773"/>
      <c r="M46" s="1773"/>
      <c r="N46" s="1761"/>
      <c r="O46" s="1773"/>
      <c r="P46" s="1292"/>
      <c r="Q46" s="1292"/>
      <c r="R46" s="550"/>
      <c r="S46" s="1292"/>
      <c r="T46" s="1292"/>
      <c r="U46" s="1292"/>
      <c r="V46" s="552"/>
      <c r="W46" s="552"/>
      <c r="X46" s="549"/>
      <c r="Y46" s="549"/>
      <c r="Z46" s="549"/>
      <c r="AA46" s="549"/>
      <c r="AB46" s="549"/>
    </row>
    <row s="10964" customFormat="1" customHeight="1" ht="14.25">
      <c r="A47" s="888"/>
      <c r="B47" s="547"/>
      <c r="C47" s="888"/>
      <c r="D47" s="912"/>
      <c r="E47" s="924"/>
      <c r="F47" s="308"/>
      <c r="G47" s="546" t="s">
        <v>159</v>
      </c>
      <c r="H47" s="308"/>
      <c r="I47" s="309"/>
      <c r="J47" s="379"/>
      <c r="K47" s="285"/>
      <c r="L47" s="285"/>
      <c r="M47" s="285"/>
      <c r="N47" s="356" t="s">
        <v>160</v>
      </c>
      <c r="O47" s="285"/>
      <c r="P47" s="355"/>
      <c r="Q47" s="355"/>
      <c r="R47" s="355"/>
      <c r="S47" s="355"/>
    </row>
    <row s="10964" customFormat="1" customHeight="1" ht="21">
      <c r="A48" s="888"/>
      <c r="B48" s="547"/>
      <c r="C48" s="888"/>
      <c r="D48" s="295"/>
      <c r="E48" s="310"/>
      <c r="F48" s="310"/>
      <c r="G48" s="310"/>
      <c r="H48" s="310"/>
      <c r="I48" s="310"/>
      <c r="J48" s="285"/>
      <c r="K48" s="285"/>
      <c r="L48" s="285"/>
      <c r="M48" s="285"/>
      <c r="N48" s="356"/>
      <c r="O48" s="285"/>
      <c r="P48" s="355"/>
      <c r="Q48" s="355"/>
      <c r="R48" s="355"/>
      <c r="S48" s="355"/>
    </row>
    <row s="10964" customFormat="1" customHeight="1" ht="14.25">
      <c r="A49" s="888"/>
      <c r="B49" s="547"/>
      <c r="C49" s="888"/>
      <c r="D49" s="295"/>
      <c r="E49" s="212"/>
      <c r="F49" s="888"/>
      <c r="G49" s="212"/>
      <c r="H49" s="212"/>
      <c r="I49" s="212"/>
      <c r="J49" s="285"/>
      <c r="K49" s="285"/>
      <c r="L49" s="285"/>
      <c r="M49" s="285"/>
      <c r="N49" s="356"/>
      <c r="O49" s="285"/>
      <c r="P49" s="355"/>
      <c r="Q49" s="355"/>
      <c r="R49" s="355"/>
      <c r="S49" s="355"/>
    </row>
    <row s="10964" customFormat="1" customHeight="1" ht="0.75">
      <c r="A50" s="888"/>
      <c r="B50" s="547"/>
      <c r="C50" s="888"/>
      <c r="D50" s="295"/>
      <c r="E50" s="212"/>
      <c r="F50" s="888"/>
      <c r="G50" s="212"/>
      <c r="H50" s="212"/>
      <c r="I50" s="212"/>
      <c r="J50" s="285"/>
      <c r="K50" s="285"/>
      <c r="L50" s="285"/>
      <c r="M50" s="285"/>
      <c r="N50" s="356"/>
      <c r="O50" s="285"/>
      <c r="P50" s="355"/>
      <c r="Q50" s="355"/>
      <c r="R50" s="355"/>
      <c r="S50" s="355"/>
    </row>
    <row s="11051" customFormat="1" customHeight="1" ht="10.5">
      <c r="B51" s="964"/>
      <c r="D51" s="312"/>
      <c r="J51" s="285"/>
      <c r="K51" s="285"/>
      <c r="L51" s="285"/>
      <c r="M51" s="285"/>
      <c r="N51" s="356"/>
      <c r="O51" s="285"/>
      <c r="P51" s="355"/>
      <c r="Q51" s="355"/>
      <c r="R51" s="355"/>
      <c r="S51" s="355"/>
    </row>
    <row s="11051" customFormat="1" customHeight="1" ht="10.5">
      <c r="B52" s="964"/>
      <c r="D52" s="312"/>
      <c r="J52" s="285"/>
      <c r="K52" s="285"/>
      <c r="L52" s="285"/>
      <c r="M52" s="285"/>
      <c r="N52" s="356"/>
      <c r="O52" s="285"/>
      <c r="P52" s="355"/>
      <c r="Q52" s="355"/>
      <c r="R52" s="355"/>
      <c r="S52" s="355"/>
    </row>
    <row r="56" customHeight="1" ht="14.25">
      <c r="H56" s="192"/>
    </row>
    <row r="60" customHeight="1" ht="14.25">
      <c r="J60" s="212"/>
      <c r="K60" s="212"/>
      <c r="L60" s="212"/>
    </row>
  </sheetData>
  <sheetProtection sheet="1" formatColumns="0" formatRows="0" autoFilter="0" sort="1" insertRows="1" insertColumns="1" deleteRows="1" deleteColumns="1"/>
  <mergeCells count="12">
    <mergeCell ref="A12:A14"/>
    <mergeCell ref="E4:I4"/>
    <mergeCell ref="E8:G8"/>
    <mergeCell ref="H8:I8"/>
    <mergeCell ref="A15:A17"/>
    <mergeCell ref="A18:A20"/>
    <mergeCell ref="A21:A24"/>
    <mergeCell ref="A25:A27"/>
    <mergeCell ref="A28:A33"/>
    <mergeCell ref="A34:A36"/>
    <mergeCell ref="A37:A42"/>
    <mergeCell ref="A43:A46"/>
  </mergeCells>
  <dataValidations count="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9D265-A4E5-17BA-3A9A-F846D5250996}" mc:Ignorable="x14ac xr xr2 xr3">
  <sheetPr>
    <tabColor rgb="FFCCCCFF"/>
  </sheetPr>
  <dimension ref="A1:AL37"/>
  <sheetViews>
    <sheetView topLeftCell="D3" showGridLines="0" zoomScale="90" workbookViewId="0">
      <selection activeCell="M25" sqref="M25"/>
    </sheetView>
  </sheetViews>
  <sheetFormatPr defaultColWidth="9.140625" customHeight="1" defaultRowHeight="11.25"/>
  <cols>
    <col min="1" max="1" style="11155" width="6.421875" hidden="1" customWidth="1"/>
    <col min="2" max="2" style="11155" width="2.00390625" hidden="1" customWidth="1"/>
    <col min="3" max="3" style="11155" width="3.7109375" customWidth="1"/>
    <col min="4" max="4" style="11155" width="4.28125" customWidth="1"/>
    <col min="5" max="5" style="11155" width="45.00390625" customWidth="1"/>
    <col min="6" max="6" style="11155" width="6.421875" customWidth="1"/>
    <col min="7" max="7" style="11155" width="4.421875" customWidth="1"/>
    <col min="8" max="8" style="11155" width="5.57421875" customWidth="1"/>
    <col min="9" max="9" style="11155" width="52.8515625" customWidth="1"/>
    <col min="10" max="10" style="11155" width="7.00390625" customWidth="1"/>
    <col min="11" max="11" style="11155" width="3.7109375" customWidth="1"/>
    <col min="12" max="12" style="11155" width="6.28125" customWidth="1"/>
    <col min="13" max="13" style="11155" width="56.28125" customWidth="1"/>
    <col min="14" max="14" style="11156" width="9.140625"/>
    <col min="15" max="20" style="11157" width="9.140625" hidden="1"/>
    <col min="21" max="24" style="11158" width="9.140625" hidden="1"/>
    <col min="25" max="37" style="11156" width="9.140625" hidden="1"/>
    <col min="38" max="38" style="11156"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60"/>
      <c r="F4" s="2160"/>
      <c r="G4" s="2160"/>
      <c r="H4" s="2160"/>
      <c r="I4" s="2161"/>
      <c r="J4" s="714"/>
      <c r="K4" s="714"/>
      <c r="L4" s="714"/>
      <c r="M4" s="714"/>
    </row>
    <row s="11067" customFormat="1" customHeight="1" ht="15">
      <c r="A5" s="715"/>
      <c r="B5" s="715"/>
      <c r="C5" s="715"/>
      <c r="D5" s="2162" t="str">
        <f>IF(org=0,"Не определено",org)</f>
        <v>АО "ДГК"</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1074"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1067"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161</v>
      </c>
      <c r="E9" s="2167"/>
      <c r="F9" s="2168" t="s">
        <v>162</v>
      </c>
      <c r="G9" s="2169"/>
      <c r="H9" s="2169"/>
      <c r="I9" s="2169"/>
      <c r="J9" s="2172" t="s">
        <v>163</v>
      </c>
      <c r="K9" s="2172"/>
      <c r="L9" s="2172"/>
      <c r="M9" s="2172"/>
    </row>
    <row customHeight="1" ht="22.5">
      <c r="A10" s="2166"/>
      <c r="B10" s="722"/>
      <c r="C10" s="655"/>
      <c r="D10" s="653" t="s">
        <v>85</v>
      </c>
      <c r="E10" s="653" t="s">
        <v>86</v>
      </c>
      <c r="F10" s="653" t="s">
        <v>164</v>
      </c>
      <c r="G10" s="2173" t="s">
        <v>85</v>
      </c>
      <c r="H10" s="2174"/>
      <c r="I10" s="653" t="s">
        <v>86</v>
      </c>
      <c r="J10" s="653" t="s">
        <v>164</v>
      </c>
      <c r="K10" s="2173" t="s">
        <v>85</v>
      </c>
      <c r="L10" s="2174"/>
      <c r="M10" s="653" t="s">
        <v>86</v>
      </c>
      <c r="N10" s="1764"/>
    </row>
    <row s="11096" customFormat="1" customHeight="1" ht="11.25" hidden="1">
      <c r="A11" s="723"/>
      <c r="B11" s="723"/>
      <c r="C11" s="723"/>
      <c r="D11" s="724" t="s">
        <v>165</v>
      </c>
      <c r="E11" s="724" t="s">
        <v>100</v>
      </c>
      <c r="F11" s="724" t="s">
        <v>87</v>
      </c>
      <c r="G11" s="2155" t="s">
        <v>88</v>
      </c>
      <c r="H11" s="2156"/>
      <c r="I11" s="724" t="s">
        <v>119</v>
      </c>
      <c r="J11" s="724" t="s">
        <v>89</v>
      </c>
      <c r="K11" s="2157" t="s">
        <v>90</v>
      </c>
      <c r="L11" s="2158"/>
      <c r="M11" s="724" t="s">
        <v>140</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75">
      <c r="A12" s="727"/>
      <c r="B12" s="728"/>
      <c r="C12" s="728"/>
      <c r="D12" s="729"/>
      <c r="E12" s="497"/>
      <c r="F12" s="730"/>
      <c r="G12" s="1190"/>
      <c r="H12" s="1190"/>
      <c r="I12" s="730"/>
      <c r="J12" s="730"/>
      <c r="K12" s="304"/>
      <c r="L12" s="497"/>
      <c r="M12" s="731"/>
      <c r="N12" s="1764"/>
      <c r="O12" s="1550" t="s">
        <v>166</v>
      </c>
      <c r="P12" s="1550" t="s">
        <v>167</v>
      </c>
      <c r="Q12" s="1550" t="s">
        <v>168</v>
      </c>
      <c r="R12" s="1550" t="s">
        <v>169</v>
      </c>
    </row>
    <row s="11116" customFormat="1" customHeight="1" ht="15">
      <c r="A13" s="423"/>
      <c r="B13" s="423"/>
      <c r="C13" s="656"/>
      <c r="D13" s="2148" t="s">
        <v>165</v>
      </c>
      <c r="E13" s="2149" t="str">
        <f>INDEX(VD_NAME_LIST,MATCH("4190068",VD_ID_LIST,0))&amp;"; "&amp;INDEX(VD_NAME_LIST,MATCH("4190069",VD_ID_LIST,0))&amp;"; "&amp;INDEX(VD_NAME_LIST,MATCH("4190070",VD_ID_LIST,0))&amp;"; "&amp;INDEX(VD_NAME_LIST,MATCH("4190071",VD_ID_LIST,0))&amp;"; "&amp;INDEX(VD_NAME_LIST,MATCH("4190072",VD_ID_LIST,0))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52" t="s">
        <v>64</v>
      </c>
      <c r="G13" s="2153"/>
      <c r="H13" s="2154">
        <v>1</v>
      </c>
      <c r="I13" s="2145" t="str">
        <f>IF(U13="","",INDEX(TERRITORY_MR_LIST,MATCH(U13,TERRITORY_LIST_ID,0)))</f>
        <v>Территория 1</v>
      </c>
      <c r="J13" s="2147" t="s">
        <v>64</v>
      </c>
      <c r="K13" s="732"/>
      <c r="L13" s="657" t="s">
        <v>165</v>
      </c>
      <c r="M13" s="5417" t="s">
        <v>170</v>
      </c>
      <c r="N13" s="942"/>
      <c r="O13" s="1553" t="s">
        <v>171</v>
      </c>
      <c r="P13" s="155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550" t="str">
        <f>IF($F$13="нет","без дифференциации",$I$13)</f>
        <v>Территория 1</v>
      </c>
      <c r="R13" s="1550" t="str">
        <f>IF($J$13="нет","без дифференциации",M13)</f>
        <v>Амурская ТЭЦ-1 (г. Амурск)</v>
      </c>
      <c r="S13" s="1553"/>
      <c r="T13" s="1553"/>
      <c r="U13" s="1403" t="s">
        <v>95</v>
      </c>
      <c r="V13" s="1403" t="s">
        <v>172</v>
      </c>
      <c r="W13" s="1403"/>
      <c r="X13" s="1403"/>
      <c r="Y13" s="734" t="s">
        <v>173</v>
      </c>
      <c r="Z13" s="734">
        <v>1705000</v>
      </c>
      <c r="AA13" s="734"/>
      <c r="AB13" s="734"/>
      <c r="AC13" s="734"/>
      <c r="AD13" s="734"/>
      <c r="AE13" s="734"/>
      <c r="AF13" s="734"/>
      <c r="AG13" s="734"/>
      <c r="AH13" s="734"/>
      <c r="AI13" s="734"/>
      <c r="AJ13" s="734"/>
      <c r="AK13" s="734"/>
      <c r="AL13" s="734"/>
    </row>
    <row s="11116" customFormat="1" customHeight="1" ht="15">
      <c r="A14" s="423"/>
      <c r="B14" s="423"/>
      <c r="C14" s="306"/>
      <c r="D14" s="2148"/>
      <c r="E14" s="2150"/>
      <c r="F14" s="2147"/>
      <c r="G14" s="2153"/>
      <c r="H14" s="2154"/>
      <c r="I14" s="2146"/>
      <c r="J14" s="2147"/>
      <c r="K14" s="551"/>
      <c r="L14" s="307"/>
      <c r="M14" s="737" t="s">
        <v>174</v>
      </c>
      <c r="N14" s="942"/>
      <c r="O14" s="1553"/>
      <c r="P14" s="1550"/>
      <c r="Q14" s="1550"/>
      <c r="R14" s="1550"/>
      <c r="S14" s="1553"/>
      <c r="T14" s="1553"/>
      <c r="U14" s="1403"/>
      <c r="V14" s="1403"/>
      <c r="W14" s="1403"/>
      <c r="X14" s="1403"/>
      <c r="Y14" s="734"/>
      <c r="Z14" s="734"/>
      <c r="AA14" s="734"/>
      <c r="AB14" s="734"/>
      <c r="AC14" s="734"/>
      <c r="AD14" s="734"/>
      <c r="AE14" s="734"/>
      <c r="AF14" s="734"/>
      <c r="AG14" s="734"/>
      <c r="AH14" s="734"/>
      <c r="AI14" s="734"/>
      <c r="AJ14" s="734"/>
      <c r="AK14" s="734"/>
      <c r="AL14" s="734"/>
    </row>
    <row customHeight="1" ht="15">
      <c r="A15" s="553"/>
      <c r="B15" s="553"/>
      <c r="C15" s="306"/>
      <c r="D15" s="1959"/>
      <c r="E15" s="1959"/>
      <c r="F15" s="1959"/>
      <c r="G15" s="2584" t="s">
        <v>101</v>
      </c>
      <c r="H15" s="2143" t="s">
        <v>100</v>
      </c>
      <c r="I15" s="2585" t="str">
        <f>IF(U15="","",INDEX(TERRITORY_MR_LIST,MATCH(U15,TERRITORY_LIST_ID,0)))</f>
        <v>Территория 2</v>
      </c>
      <c r="J15" s="2147" t="s">
        <v>64</v>
      </c>
      <c r="K15" s="962"/>
      <c r="L15" s="1920" t="s">
        <v>165</v>
      </c>
      <c r="M15" s="5417" t="s">
        <v>175</v>
      </c>
      <c r="N15" s="734"/>
      <c r="O15" s="734" t="s">
        <v>176</v>
      </c>
      <c r="P15"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5" s="734" t="str">
        <f>IF($F$15="нет","без дифференциации",$I$15)</f>
        <v>Территория 2</v>
      </c>
      <c r="R15" s="734" t="str">
        <f>IF($J$15="нет","без дифференциации",$M$15)</f>
        <v>Николаевская ТЭЦ (г. Николаевск)</v>
      </c>
      <c r="S15" s="734"/>
      <c r="T15" s="734"/>
      <c r="U15" s="735" t="s">
        <v>102</v>
      </c>
      <c r="V15" s="734"/>
      <c r="W15" s="734"/>
      <c r="X15" s="725"/>
      <c r="Y15" s="725" t="s">
        <v>173</v>
      </c>
      <c r="Z15" s="725">
        <v>1705000</v>
      </c>
      <c r="AA15" s="725"/>
      <c r="AB15" s="725"/>
      <c r="AC15" s="725"/>
      <c r="AD15" s="725"/>
      <c r="AE15" s="725"/>
      <c r="AF15" s="725"/>
      <c r="AG15" s="725"/>
      <c r="AH15" s="725"/>
      <c r="AI15" s="725"/>
      <c r="AJ15" s="725"/>
      <c r="AK15" s="725"/>
      <c r="AL15" s="725"/>
    </row>
    <row customHeight="1" ht="15">
      <c r="A16" s="553"/>
      <c r="B16" s="553"/>
      <c r="C16" s="306"/>
      <c r="D16" s="1959"/>
      <c r="E16" s="1959"/>
      <c r="F16" s="1959"/>
      <c r="G16" s="2584"/>
      <c r="H16" s="2143"/>
      <c r="I16" s="2585"/>
      <c r="J16" s="2147"/>
      <c r="K16" s="551"/>
      <c r="L16" s="307"/>
      <c r="M16" s="737" t="s">
        <v>174</v>
      </c>
      <c r="N16" s="734"/>
      <c r="O16" s="734"/>
      <c r="P16" s="734"/>
      <c r="Q16" s="734"/>
      <c r="R16" s="734"/>
      <c r="S16" s="734"/>
      <c r="T16" s="734"/>
      <c r="U16" s="735"/>
      <c r="V16" s="734"/>
      <c r="W16" s="734"/>
      <c r="X16" s="725"/>
      <c r="Y16" s="725"/>
      <c r="Z16" s="725"/>
      <c r="AA16" s="725"/>
      <c r="AB16" s="725"/>
      <c r="AC16" s="725"/>
      <c r="AD16" s="725"/>
      <c r="AE16" s="725"/>
      <c r="AF16" s="725"/>
      <c r="AG16" s="725"/>
      <c r="AH16" s="725"/>
      <c r="AI16" s="725"/>
      <c r="AJ16" s="725"/>
      <c r="AK16" s="725"/>
      <c r="AL16" s="725"/>
    </row>
    <row customHeight="1" ht="15">
      <c r="A17" s="553"/>
      <c r="B17" s="553"/>
      <c r="C17" s="306"/>
      <c r="D17" s="1959"/>
      <c r="E17" s="1959"/>
      <c r="F17" s="1959"/>
      <c r="G17" s="2584" t="s">
        <v>101</v>
      </c>
      <c r="H17" s="2143" t="s">
        <v>87</v>
      </c>
      <c r="I17" s="2585" t="str">
        <f>IF(U17="","",INDEX(TERRITORY_MR_LIST,MATCH(U17,TERRITORY_LIST_ID,0)))</f>
        <v>Территория 3</v>
      </c>
      <c r="J17" s="2147" t="s">
        <v>64</v>
      </c>
      <c r="K17" s="962"/>
      <c r="L17" s="1920" t="s">
        <v>165</v>
      </c>
      <c r="M17" s="5417" t="s">
        <v>177</v>
      </c>
      <c r="N17" s="734"/>
      <c r="O17" s="734" t="s">
        <v>178</v>
      </c>
      <c r="P17"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7" s="734" t="str">
        <f>IF($F$17="нет","без дифференциации",$I$17)</f>
        <v>Территория 3</v>
      </c>
      <c r="R17" s="734" t="str">
        <f>IF($J$17="нет","без дифференциации",$M$17)</f>
        <v>Комсомольская ТЭЦ-1 (г. Комсомольск)</v>
      </c>
      <c r="S17" s="734"/>
      <c r="T17" s="734"/>
      <c r="U17" s="735" t="s">
        <v>107</v>
      </c>
      <c r="V17" s="734"/>
      <c r="W17" s="734"/>
      <c r="X17" s="725"/>
      <c r="Y17" s="725" t="s">
        <v>173</v>
      </c>
      <c r="Z17" s="725">
        <v>1705000</v>
      </c>
      <c r="AA17" s="725"/>
      <c r="AB17" s="725"/>
      <c r="AC17" s="725"/>
      <c r="AD17" s="725"/>
      <c r="AE17" s="725"/>
      <c r="AF17" s="725"/>
      <c r="AG17" s="725"/>
      <c r="AH17" s="725"/>
      <c r="AI17" s="725"/>
      <c r="AJ17" s="725"/>
      <c r="AK17" s="725"/>
      <c r="AL17" s="725"/>
    </row>
    <row customHeight="1" ht="15">
      <c r="A18" s="553"/>
      <c r="B18" s="553"/>
      <c r="C18" s="306"/>
      <c r="D18" s="1959"/>
      <c r="E18" s="1959"/>
      <c r="F18" s="1959"/>
      <c r="G18" s="1959"/>
      <c r="H18" s="1959"/>
      <c r="I18" s="1959"/>
      <c r="J18" s="1959"/>
      <c r="K18" s="1937" t="s">
        <v>101</v>
      </c>
      <c r="L18" s="1866" t="s">
        <v>100</v>
      </c>
      <c r="M18" s="941" t="s">
        <v>179</v>
      </c>
      <c r="N18" s="942"/>
      <c r="O18" s="734" t="s">
        <v>180</v>
      </c>
      <c r="P18"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8" s="734" t="str">
        <f>IF($F$17="нет","без дифференциации",$I$17)</f>
        <v>Территория 3</v>
      </c>
      <c r="R18" s="734" t="str">
        <f>IF($J$18="нет","без дифференциации",$M$18)</f>
        <v>Комсомольская ТЭЦ-2 (г. Комсомольск)</v>
      </c>
      <c r="S18" s="734"/>
      <c r="T18" s="734"/>
      <c r="U18" s="735"/>
      <c r="V18" s="734"/>
      <c r="W18" s="734"/>
      <c r="X18" s="725"/>
      <c r="Y18" s="725" t="s">
        <v>173</v>
      </c>
      <c r="Z18" s="725">
        <v>1705000</v>
      </c>
      <c r="AA18" s="725"/>
      <c r="AB18" s="725"/>
      <c r="AC18" s="725"/>
      <c r="AD18" s="725"/>
      <c r="AE18" s="725"/>
      <c r="AF18" s="725"/>
      <c r="AG18" s="725"/>
      <c r="AH18" s="725"/>
      <c r="AI18" s="725"/>
      <c r="AJ18" s="725"/>
      <c r="AK18" s="725"/>
      <c r="AL18" s="725"/>
    </row>
    <row customHeight="1" ht="15">
      <c r="A19" s="553"/>
      <c r="B19" s="553"/>
      <c r="C19" s="306"/>
      <c r="D19" s="1959"/>
      <c r="E19" s="1959"/>
      <c r="F19" s="1959"/>
      <c r="G19" s="1959"/>
      <c r="H19" s="1959"/>
      <c r="I19" s="1959"/>
      <c r="J19" s="1959"/>
      <c r="K19" s="1937" t="s">
        <v>101</v>
      </c>
      <c r="L19" s="1866" t="s">
        <v>87</v>
      </c>
      <c r="M19" s="941" t="s">
        <v>181</v>
      </c>
      <c r="N19" s="942"/>
      <c r="O19" s="734" t="s">
        <v>182</v>
      </c>
      <c r="P19"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9" s="734" t="str">
        <f>IF($F$17="нет","без дифференциации",$I$17)</f>
        <v>Территория 3</v>
      </c>
      <c r="R19" s="734" t="str">
        <f>IF($J$19="нет","без дифференциации",$M$19)</f>
        <v>Комсомольская ТЭЦ-3 (г. Комсомольск)</v>
      </c>
      <c r="S19" s="734"/>
      <c r="T19" s="734"/>
      <c r="U19" s="735"/>
      <c r="V19" s="734"/>
      <c r="W19" s="734"/>
      <c r="X19" s="725"/>
      <c r="Y19" s="725" t="s">
        <v>173</v>
      </c>
      <c r="Z19" s="725">
        <v>1705000</v>
      </c>
      <c r="AA19" s="725"/>
      <c r="AB19" s="725"/>
      <c r="AC19" s="725"/>
      <c r="AD19" s="725"/>
      <c r="AE19" s="725"/>
      <c r="AF19" s="725"/>
      <c r="AG19" s="725"/>
      <c r="AH19" s="725"/>
      <c r="AI19" s="725"/>
      <c r="AJ19" s="725"/>
      <c r="AK19" s="725"/>
      <c r="AL19" s="725"/>
    </row>
    <row customHeight="1" ht="15">
      <c r="A20" s="553"/>
      <c r="B20" s="553"/>
      <c r="C20" s="306"/>
      <c r="D20" s="1959"/>
      <c r="E20" s="1959"/>
      <c r="F20" s="1959"/>
      <c r="G20" s="1959"/>
      <c r="H20" s="1959"/>
      <c r="I20" s="1959"/>
      <c r="J20" s="1959"/>
      <c r="K20" s="1937" t="s">
        <v>101</v>
      </c>
      <c r="L20" s="1866" t="s">
        <v>88</v>
      </c>
      <c r="M20" s="941" t="s">
        <v>183</v>
      </c>
      <c r="N20" s="942"/>
      <c r="O20" s="734" t="s">
        <v>184</v>
      </c>
      <c r="P20"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0" s="734" t="str">
        <f>IF($F$17="нет","без дифференциации",$I$17)</f>
        <v>Территория 3</v>
      </c>
      <c r="R20" s="734" t="str">
        <f>IF($J$20="нет","без дифференциации",$M$20)</f>
        <v>ВК "Дземги" (г. Комсомольск)</v>
      </c>
      <c r="S20" s="734"/>
      <c r="T20" s="734"/>
      <c r="U20" s="735"/>
      <c r="V20" s="734"/>
      <c r="W20" s="734"/>
      <c r="X20" s="725"/>
      <c r="Y20" s="725" t="s">
        <v>173</v>
      </c>
      <c r="Z20" s="725">
        <v>1705000</v>
      </c>
      <c r="AA20" s="725"/>
      <c r="AB20" s="725"/>
      <c r="AC20" s="725"/>
      <c r="AD20" s="725"/>
      <c r="AE20" s="725"/>
      <c r="AF20" s="725"/>
      <c r="AG20" s="725"/>
      <c r="AH20" s="725"/>
      <c r="AI20" s="725"/>
      <c r="AJ20" s="725"/>
      <c r="AK20" s="725"/>
      <c r="AL20" s="725"/>
    </row>
    <row customHeight="1" ht="15">
      <c r="A21" s="553"/>
      <c r="B21" s="553"/>
      <c r="C21" s="306"/>
      <c r="D21" s="1959"/>
      <c r="E21" s="1959"/>
      <c r="F21" s="1959"/>
      <c r="G21" s="2584"/>
      <c r="H21" s="2143"/>
      <c r="I21" s="2585"/>
      <c r="J21" s="2147"/>
      <c r="K21" s="551"/>
      <c r="L21" s="307"/>
      <c r="M21" s="737" t="s">
        <v>174</v>
      </c>
      <c r="N21" s="734"/>
      <c r="O21" s="734"/>
      <c r="P21" s="734"/>
      <c r="Q21" s="734"/>
      <c r="R21" s="734"/>
      <c r="S21" s="734"/>
      <c r="T21" s="734"/>
      <c r="U21" s="735"/>
      <c r="V21" s="734"/>
      <c r="W21" s="734"/>
      <c r="X21" s="725"/>
      <c r="Y21" s="725"/>
      <c r="Z21" s="725"/>
      <c r="AA21" s="725"/>
      <c r="AB21" s="725"/>
      <c r="AC21" s="725"/>
      <c r="AD21" s="725"/>
      <c r="AE21" s="725"/>
      <c r="AF21" s="725"/>
      <c r="AG21" s="725"/>
      <c r="AH21" s="725"/>
      <c r="AI21" s="725"/>
      <c r="AJ21" s="725"/>
      <c r="AK21" s="725"/>
      <c r="AL21" s="725"/>
    </row>
    <row customHeight="1" ht="15">
      <c r="A22" s="553"/>
      <c r="B22" s="553"/>
      <c r="C22" s="306"/>
      <c r="D22" s="1959"/>
      <c r="E22" s="1959"/>
      <c r="F22" s="1959"/>
      <c r="G22" s="2584" t="s">
        <v>101</v>
      </c>
      <c r="H22" s="2143" t="s">
        <v>88</v>
      </c>
      <c r="I22" s="2585" t="str">
        <f>IF(U22="","",INDEX(TERRITORY_MR_LIST,MATCH(U22,TERRITORY_LIST_ID,0)))</f>
        <v>Территория 4</v>
      </c>
      <c r="J22" s="2147" t="s">
        <v>64</v>
      </c>
      <c r="K22" s="962"/>
      <c r="L22" s="1920" t="s">
        <v>165</v>
      </c>
      <c r="M22" s="5417" t="s">
        <v>185</v>
      </c>
      <c r="N22" s="734"/>
      <c r="O22" s="734" t="s">
        <v>186</v>
      </c>
      <c r="P22"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2" s="734" t="str">
        <f>IF($F$22="нет","без дифференциации",$I$22)</f>
        <v>Территория 4</v>
      </c>
      <c r="R22" s="734" t="str">
        <f>IF($J$22="нет","без дифференциации",$M$22)</f>
        <v>ТЭЦ в г. Советская Гавань (г. Советская Гавань)</v>
      </c>
      <c r="S22" s="734"/>
      <c r="T22" s="734"/>
      <c r="U22" s="735" t="s">
        <v>111</v>
      </c>
      <c r="V22" s="734"/>
      <c r="W22" s="734"/>
      <c r="X22" s="725"/>
      <c r="Y22" s="725" t="s">
        <v>173</v>
      </c>
      <c r="Z22" s="725">
        <v>1705000</v>
      </c>
      <c r="AA22" s="725"/>
      <c r="AB22" s="725"/>
      <c r="AC22" s="725"/>
      <c r="AD22" s="725"/>
      <c r="AE22" s="725"/>
      <c r="AF22" s="725"/>
      <c r="AG22" s="725"/>
      <c r="AH22" s="725"/>
      <c r="AI22" s="725"/>
      <c r="AJ22" s="725"/>
      <c r="AK22" s="725"/>
      <c r="AL22" s="725"/>
    </row>
    <row customHeight="1" ht="15">
      <c r="A23" s="553"/>
      <c r="B23" s="553"/>
      <c r="C23" s="306"/>
      <c r="D23" s="1959"/>
      <c r="E23" s="1959"/>
      <c r="F23" s="1959"/>
      <c r="G23" s="1959"/>
      <c r="H23" s="1959"/>
      <c r="I23" s="1959"/>
      <c r="J23" s="1959"/>
      <c r="K23" s="1937" t="s">
        <v>101</v>
      </c>
      <c r="L23" s="1866" t="s">
        <v>100</v>
      </c>
      <c r="M23" s="941" t="s">
        <v>187</v>
      </c>
      <c r="N23" s="942"/>
      <c r="O23" s="734" t="s">
        <v>188</v>
      </c>
      <c r="P23"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3" s="734" t="str">
        <f>IF($F$22="нет","без дифференциации",$I$22)</f>
        <v>Территория 4</v>
      </c>
      <c r="R23" s="734" t="str">
        <f>IF($J$23="нет","без дифференциации",$M$23)</f>
        <v>Майская котельная </v>
      </c>
      <c r="S23" s="734"/>
      <c r="T23" s="734"/>
      <c r="U23" s="735"/>
      <c r="V23" s="734"/>
      <c r="W23" s="734"/>
      <c r="X23" s="725"/>
      <c r="Y23" s="725" t="s">
        <v>173</v>
      </c>
      <c r="Z23" s="725">
        <v>1705000</v>
      </c>
      <c r="AA23" s="725"/>
      <c r="AB23" s="725"/>
      <c r="AC23" s="725"/>
      <c r="AD23" s="725"/>
      <c r="AE23" s="725"/>
      <c r="AF23" s="725"/>
      <c r="AG23" s="725"/>
      <c r="AH23" s="725"/>
      <c r="AI23" s="725"/>
      <c r="AJ23" s="725"/>
      <c r="AK23" s="725"/>
      <c r="AL23" s="725"/>
    </row>
    <row customHeight="1" ht="15">
      <c r="A24" s="553"/>
      <c r="B24" s="553"/>
      <c r="C24" s="306"/>
      <c r="D24" s="1959"/>
      <c r="E24" s="1959"/>
      <c r="F24" s="1959"/>
      <c r="G24" s="2584"/>
      <c r="H24" s="2143"/>
      <c r="I24" s="2585"/>
      <c r="J24" s="2147"/>
      <c r="K24" s="551"/>
      <c r="L24" s="307"/>
      <c r="M24" s="737" t="s">
        <v>174</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customHeight="1" ht="15">
      <c r="A25" s="553"/>
      <c r="B25" s="553"/>
      <c r="C25" s="306"/>
      <c r="D25" s="1959"/>
      <c r="E25" s="1959"/>
      <c r="F25" s="1959"/>
      <c r="G25" s="2584" t="s">
        <v>101</v>
      </c>
      <c r="H25" s="2143" t="s">
        <v>119</v>
      </c>
      <c r="I25" s="2585" t="str">
        <f>IF(U25="","",INDEX(TERRITORY_MR_LIST,MATCH(U25,TERRITORY_LIST_ID,0)))</f>
        <v>Территория 5</v>
      </c>
      <c r="J25" s="2147" t="s">
        <v>64</v>
      </c>
      <c r="K25" s="962"/>
      <c r="L25" s="1920" t="s">
        <v>165</v>
      </c>
      <c r="M25" s="5417" t="s">
        <v>189</v>
      </c>
      <c r="N25" s="734"/>
      <c r="O25" s="734" t="s">
        <v>190</v>
      </c>
      <c r="P25"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5" s="734" t="str">
        <f>IF($F$25="нет","без дифференциации",$I$25)</f>
        <v>Территория 5</v>
      </c>
      <c r="R25" s="734" t="str">
        <f>IF($J$25="нет","без дифференциации",$M$25)</f>
        <v>Ургальская котельная (п. Чегдомын)</v>
      </c>
      <c r="S25" s="734"/>
      <c r="T25" s="734"/>
      <c r="U25" s="735" t="s">
        <v>120</v>
      </c>
      <c r="V25" s="734"/>
      <c r="W25" s="734"/>
      <c r="X25" s="725"/>
      <c r="Y25" s="725" t="s">
        <v>173</v>
      </c>
      <c r="Z25" s="725">
        <v>1705000</v>
      </c>
      <c r="AA25" s="725"/>
      <c r="AB25" s="725"/>
      <c r="AC25" s="725"/>
      <c r="AD25" s="725"/>
      <c r="AE25" s="725"/>
      <c r="AF25" s="725"/>
      <c r="AG25" s="725"/>
      <c r="AH25" s="725"/>
      <c r="AI25" s="725"/>
      <c r="AJ25" s="725"/>
      <c r="AK25" s="725"/>
      <c r="AL25" s="725"/>
    </row>
    <row customHeight="1" ht="15">
      <c r="A26" s="553"/>
      <c r="B26" s="553"/>
      <c r="C26" s="306"/>
      <c r="D26" s="1959"/>
      <c r="E26" s="1959"/>
      <c r="F26" s="1959"/>
      <c r="G26" s="2584"/>
      <c r="H26" s="2143"/>
      <c r="I26" s="2585"/>
      <c r="J26" s="2147"/>
      <c r="K26" s="551"/>
      <c r="L26" s="307"/>
      <c r="M26" s="737" t="s">
        <v>174</v>
      </c>
      <c r="N26" s="734"/>
      <c r="O26" s="734"/>
      <c r="P26" s="734"/>
      <c r="Q26" s="734"/>
      <c r="R26" s="734"/>
      <c r="S26" s="734"/>
      <c r="T26" s="734"/>
      <c r="U26" s="735"/>
      <c r="V26" s="734"/>
      <c r="W26" s="734"/>
      <c r="X26" s="725"/>
      <c r="Y26" s="725"/>
      <c r="Z26" s="725"/>
      <c r="AA26" s="725"/>
      <c r="AB26" s="725"/>
      <c r="AC26" s="725"/>
      <c r="AD26" s="725"/>
      <c r="AE26" s="725"/>
      <c r="AF26" s="725"/>
      <c r="AG26" s="725"/>
      <c r="AH26" s="725"/>
      <c r="AI26" s="725"/>
      <c r="AJ26" s="725"/>
      <c r="AK26" s="725"/>
      <c r="AL26" s="725"/>
    </row>
    <row customHeight="1" ht="15">
      <c r="A27" s="553"/>
      <c r="B27" s="553"/>
      <c r="C27" s="306"/>
      <c r="D27" s="1959"/>
      <c r="E27" s="1959"/>
      <c r="F27" s="1959"/>
      <c r="G27" s="2584" t="s">
        <v>101</v>
      </c>
      <c r="H27" s="2143" t="s">
        <v>89</v>
      </c>
      <c r="I27" s="2585" t="str">
        <f>IF(U27="","",INDEX(TERRITORY_MR_LIST,MATCH(U27,TERRITORY_LIST_ID,0)))</f>
        <v>Территория 6</v>
      </c>
      <c r="J27" s="2147" t="s">
        <v>64</v>
      </c>
      <c r="K27" s="962"/>
      <c r="L27" s="1920" t="s">
        <v>165</v>
      </c>
      <c r="M27" s="5417" t="s">
        <v>191</v>
      </c>
      <c r="N27" s="734"/>
      <c r="O27" s="734" t="s">
        <v>192</v>
      </c>
      <c r="P27"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7" s="734" t="str">
        <f>IF($F$27="нет","без дифференциации",$I$27)</f>
        <v>Территория 6</v>
      </c>
      <c r="R27" s="734" t="str">
        <f>IF($J$27="нет","без дифференциации",$M$27)</f>
        <v>Хабаровская ТЭЦ-1 (г. Хабаровск, с. Ильинское, п. Корфовский, с. Ракитненское)</v>
      </c>
      <c r="S27" s="734"/>
      <c r="T27" s="734"/>
      <c r="U27" s="735" t="s">
        <v>125</v>
      </c>
      <c r="V27" s="734"/>
      <c r="W27" s="734"/>
      <c r="X27" s="725"/>
      <c r="Y27" s="725" t="s">
        <v>173</v>
      </c>
      <c r="Z27" s="725">
        <v>1705000</v>
      </c>
      <c r="AA27" s="725"/>
      <c r="AB27" s="725"/>
      <c r="AC27" s="725"/>
      <c r="AD27" s="725"/>
      <c r="AE27" s="725"/>
      <c r="AF27" s="725"/>
      <c r="AG27" s="725"/>
      <c r="AH27" s="725"/>
      <c r="AI27" s="725"/>
      <c r="AJ27" s="725"/>
      <c r="AK27" s="725"/>
      <c r="AL27" s="725"/>
    </row>
    <row customHeight="1" ht="15">
      <c r="A28" s="553"/>
      <c r="B28" s="553"/>
      <c r="C28" s="306"/>
      <c r="D28" s="1959"/>
      <c r="E28" s="1959"/>
      <c r="F28" s="1959"/>
      <c r="G28" s="2584"/>
      <c r="H28" s="2143"/>
      <c r="I28" s="2585"/>
      <c r="J28" s="2147"/>
      <c r="K28" s="551"/>
      <c r="L28" s="307"/>
      <c r="M28" s="737" t="s">
        <v>174</v>
      </c>
      <c r="N28" s="734"/>
      <c r="O28" s="734"/>
      <c r="P28" s="734"/>
      <c r="Q28" s="734"/>
      <c r="R28" s="734"/>
      <c r="S28" s="734"/>
      <c r="T28" s="734"/>
      <c r="U28" s="735"/>
      <c r="V28" s="734"/>
      <c r="W28" s="734"/>
      <c r="X28" s="725"/>
      <c r="Y28" s="725"/>
      <c r="Z28" s="725"/>
      <c r="AA28" s="725"/>
      <c r="AB28" s="725"/>
      <c r="AC28" s="725"/>
      <c r="AD28" s="725"/>
      <c r="AE28" s="725"/>
      <c r="AF28" s="725"/>
      <c r="AG28" s="725"/>
      <c r="AH28" s="725"/>
      <c r="AI28" s="725"/>
      <c r="AJ28" s="725"/>
      <c r="AK28" s="725"/>
      <c r="AL28" s="725"/>
    </row>
    <row customHeight="1" ht="15">
      <c r="A29" s="553"/>
      <c r="B29" s="553"/>
      <c r="C29" s="306"/>
      <c r="D29" s="1959"/>
      <c r="E29" s="1959"/>
      <c r="F29" s="1959"/>
      <c r="G29" s="2584" t="s">
        <v>101</v>
      </c>
      <c r="H29" s="2143" t="s">
        <v>90</v>
      </c>
      <c r="I29" s="2585" t="str">
        <f>IF(U29="","",INDEX(TERRITORY_MR_LIST,MATCH(U29,TERRITORY_LIST_ID,0)))</f>
        <v>Территория 7</v>
      </c>
      <c r="J29" s="2147" t="s">
        <v>64</v>
      </c>
      <c r="K29" s="962"/>
      <c r="L29" s="1920" t="s">
        <v>165</v>
      </c>
      <c r="M29" s="5417" t="s">
        <v>193</v>
      </c>
      <c r="N29" s="734"/>
      <c r="O29" s="734" t="s">
        <v>194</v>
      </c>
      <c r="P29"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9" s="734" t="str">
        <f>IF($F$29="нет","без дифференциации",$I$29)</f>
        <v>Территория 7</v>
      </c>
      <c r="R29" s="734" t="str">
        <f>IF($J$29="нет","без дифференциации",$M$29)</f>
        <v>Хабаровская ТЭЦ-2 (г. Хабаровск)</v>
      </c>
      <c r="S29" s="734"/>
      <c r="T29" s="734"/>
      <c r="U29" s="735" t="s">
        <v>139</v>
      </c>
      <c r="V29" s="734"/>
      <c r="W29" s="734"/>
      <c r="X29" s="725"/>
      <c r="Y29" s="725" t="s">
        <v>173</v>
      </c>
      <c r="Z29" s="725">
        <v>1705000</v>
      </c>
      <c r="AA29" s="725"/>
      <c r="AB29" s="725"/>
      <c r="AC29" s="725"/>
      <c r="AD29" s="725"/>
      <c r="AE29" s="725"/>
      <c r="AF29" s="725"/>
      <c r="AG29" s="725"/>
      <c r="AH29" s="725"/>
      <c r="AI29" s="725"/>
      <c r="AJ29" s="725"/>
      <c r="AK29" s="725"/>
      <c r="AL29" s="725"/>
    </row>
    <row customHeight="1" ht="15">
      <c r="A30" s="553"/>
      <c r="B30" s="553"/>
      <c r="C30" s="306"/>
      <c r="D30" s="1959"/>
      <c r="E30" s="1959"/>
      <c r="F30" s="1959"/>
      <c r="G30" s="1959"/>
      <c r="H30" s="1959"/>
      <c r="I30" s="1959"/>
      <c r="J30" s="1959"/>
      <c r="K30" s="1937" t="s">
        <v>101</v>
      </c>
      <c r="L30" s="1866" t="s">
        <v>100</v>
      </c>
      <c r="M30" s="941" t="s">
        <v>195</v>
      </c>
      <c r="N30" s="942"/>
      <c r="O30" s="734" t="s">
        <v>196</v>
      </c>
      <c r="P30"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0" s="734" t="str">
        <f>IF($F$29="нет","без дифференциации",$I$29)</f>
        <v>Территория 7</v>
      </c>
      <c r="R30" s="734" t="str">
        <f>IF($J$30="нет","без дифференциации",$M$30)</f>
        <v>Котельная в Волочаевском городке</v>
      </c>
      <c r="S30" s="734"/>
      <c r="T30" s="734"/>
      <c r="U30" s="735"/>
      <c r="V30" s="734"/>
      <c r="W30" s="734"/>
      <c r="X30" s="725"/>
      <c r="Y30" s="725" t="s">
        <v>173</v>
      </c>
      <c r="Z30" s="725">
        <v>1705000</v>
      </c>
      <c r="AA30" s="725"/>
      <c r="AB30" s="725"/>
      <c r="AC30" s="725"/>
      <c r="AD30" s="725"/>
      <c r="AE30" s="725"/>
      <c r="AF30" s="725"/>
      <c r="AG30" s="725"/>
      <c r="AH30" s="725"/>
      <c r="AI30" s="725"/>
      <c r="AJ30" s="725"/>
      <c r="AK30" s="725"/>
      <c r="AL30" s="725"/>
    </row>
    <row customHeight="1" ht="15">
      <c r="A31" s="553"/>
      <c r="B31" s="553"/>
      <c r="C31" s="306"/>
      <c r="D31" s="1959"/>
      <c r="E31" s="1959"/>
      <c r="F31" s="1959"/>
      <c r="G31" s="2584"/>
      <c r="H31" s="2143"/>
      <c r="I31" s="2585"/>
      <c r="J31" s="2147"/>
      <c r="K31" s="551"/>
      <c r="L31" s="307"/>
      <c r="M31" s="737" t="s">
        <v>174</v>
      </c>
      <c r="N31" s="734"/>
      <c r="O31" s="734"/>
      <c r="P31" s="734"/>
      <c r="Q31" s="734"/>
      <c r="R31" s="734"/>
      <c r="S31" s="734"/>
      <c r="T31" s="734"/>
      <c r="U31" s="735"/>
      <c r="V31" s="734"/>
      <c r="W31" s="734"/>
      <c r="X31" s="725"/>
      <c r="Y31" s="725"/>
      <c r="Z31" s="725"/>
      <c r="AA31" s="725"/>
      <c r="AB31" s="725"/>
      <c r="AC31" s="725"/>
      <c r="AD31" s="725"/>
      <c r="AE31" s="725"/>
      <c r="AF31" s="725"/>
      <c r="AG31" s="725"/>
      <c r="AH31" s="725"/>
      <c r="AI31" s="725"/>
      <c r="AJ31" s="725"/>
      <c r="AK31" s="725"/>
      <c r="AL31" s="725"/>
    </row>
    <row customHeight="1" ht="15">
      <c r="A32" s="553"/>
      <c r="B32" s="553"/>
      <c r="C32" s="306"/>
      <c r="D32" s="1959"/>
      <c r="E32" s="1959"/>
      <c r="F32" s="1959"/>
      <c r="G32" s="2584" t="s">
        <v>101</v>
      </c>
      <c r="H32" s="2143" t="s">
        <v>140</v>
      </c>
      <c r="I32" s="2585" t="str">
        <f>IF(U32="","",INDEX(TERRITORY_MR_LIST,MATCH(U32,TERRITORY_LIST_ID,0)))</f>
        <v>Территория 8</v>
      </c>
      <c r="J32" s="2147" t="s">
        <v>64</v>
      </c>
      <c r="K32" s="962"/>
      <c r="L32" s="1920" t="s">
        <v>165</v>
      </c>
      <c r="M32" s="5417" t="s">
        <v>197</v>
      </c>
      <c r="N32" s="734"/>
      <c r="O32" s="734" t="s">
        <v>198</v>
      </c>
      <c r="P32"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2" s="734" t="str">
        <f>IF($F$32="нет","без дифференциации",$I$32)</f>
        <v>Территория 8</v>
      </c>
      <c r="R32" s="734" t="str">
        <f>IF($J$32="нет","без дифференциации",$M$32)</f>
        <v>Хабаровская ТЭЦ-3 (г. Хабаровск, с. Восточное, с. Мирненское, с. Тополевское)</v>
      </c>
      <c r="S32" s="734"/>
      <c r="T32" s="734"/>
      <c r="U32" s="735" t="s">
        <v>141</v>
      </c>
      <c r="V32" s="734"/>
      <c r="W32" s="734"/>
      <c r="X32" s="725"/>
      <c r="Y32" s="725" t="s">
        <v>173</v>
      </c>
      <c r="Z32" s="725">
        <v>1705000</v>
      </c>
      <c r="AA32" s="725"/>
      <c r="AB32" s="725"/>
      <c r="AC32" s="725"/>
      <c r="AD32" s="725"/>
      <c r="AE32" s="725"/>
      <c r="AF32" s="725"/>
      <c r="AG32" s="725"/>
      <c r="AH32" s="725"/>
      <c r="AI32" s="725"/>
      <c r="AJ32" s="725"/>
      <c r="AK32" s="725"/>
      <c r="AL32" s="725"/>
    </row>
    <row customHeight="1" ht="15">
      <c r="A33" s="553"/>
      <c r="B33" s="553"/>
      <c r="C33" s="306"/>
      <c r="D33" s="1959"/>
      <c r="E33" s="1959"/>
      <c r="F33" s="1959"/>
      <c r="G33" s="2584"/>
      <c r="H33" s="2143"/>
      <c r="I33" s="2585"/>
      <c r="J33" s="2147"/>
      <c r="K33" s="551"/>
      <c r="L33" s="307"/>
      <c r="M33" s="737" t="s">
        <v>174</v>
      </c>
      <c r="N33" s="734"/>
      <c r="O33" s="734"/>
      <c r="P33" s="734"/>
      <c r="Q33" s="734"/>
      <c r="R33" s="734"/>
      <c r="S33" s="734"/>
      <c r="T33" s="734"/>
      <c r="U33" s="735"/>
      <c r="V33" s="734"/>
      <c r="W33" s="734"/>
      <c r="X33" s="725"/>
      <c r="Y33" s="725"/>
      <c r="Z33" s="725"/>
      <c r="AA33" s="725"/>
      <c r="AB33" s="725"/>
      <c r="AC33" s="725"/>
      <c r="AD33" s="725"/>
      <c r="AE33" s="725"/>
      <c r="AF33" s="725"/>
      <c r="AG33" s="725"/>
      <c r="AH33" s="725"/>
      <c r="AI33" s="725"/>
      <c r="AJ33" s="725"/>
      <c r="AK33" s="725"/>
      <c r="AL33" s="725"/>
    </row>
    <row customHeight="1" ht="15">
      <c r="A34" s="553"/>
      <c r="B34" s="553"/>
      <c r="C34" s="306"/>
      <c r="D34" s="1959"/>
      <c r="E34" s="1959"/>
      <c r="F34" s="1959"/>
      <c r="G34" s="2584" t="s">
        <v>101</v>
      </c>
      <c r="H34" s="2143" t="s">
        <v>151</v>
      </c>
      <c r="I34" s="2585" t="str">
        <f>IF(U34="","",INDEX(TERRITORY_MR_LIST,MATCH(U34,TERRITORY_LIST_ID,0)))</f>
        <v>Территория 9</v>
      </c>
      <c r="J34" s="2147" t="s">
        <v>64</v>
      </c>
      <c r="K34" s="962"/>
      <c r="L34" s="1920" t="s">
        <v>165</v>
      </c>
      <c r="M34" s="5417" t="s">
        <v>199</v>
      </c>
      <c r="N34" s="734"/>
      <c r="O34" s="734" t="s">
        <v>200</v>
      </c>
      <c r="P34" s="73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4" s="734" t="str">
        <f>IF($F$34="нет","без дифференциации",$I$34)</f>
        <v>Территория 9</v>
      </c>
      <c r="R34" s="734" t="str">
        <f>IF($J$34="нет","без дифференциации",$M$34)</f>
        <v>Котельная в с. Некрасовка (с. Дружбинское, с. Некрасовское) </v>
      </c>
      <c r="S34" s="734"/>
      <c r="T34" s="734"/>
      <c r="U34" s="735" t="s">
        <v>152</v>
      </c>
      <c r="V34" s="734"/>
      <c r="W34" s="734"/>
      <c r="X34" s="725"/>
      <c r="Y34" s="725" t="s">
        <v>173</v>
      </c>
      <c r="Z34" s="725">
        <v>1705000</v>
      </c>
      <c r="AA34" s="725"/>
      <c r="AB34" s="725"/>
      <c r="AC34" s="725"/>
      <c r="AD34" s="725"/>
      <c r="AE34" s="725"/>
      <c r="AF34" s="725"/>
      <c r="AG34" s="725"/>
      <c r="AH34" s="725"/>
      <c r="AI34" s="725"/>
      <c r="AJ34" s="725"/>
      <c r="AK34" s="725"/>
      <c r="AL34" s="725"/>
    </row>
    <row customHeight="1" ht="15">
      <c r="A35" s="553"/>
      <c r="B35" s="553"/>
      <c r="C35" s="306"/>
      <c r="D35" s="1959"/>
      <c r="E35" s="1959"/>
      <c r="F35" s="1959"/>
      <c r="G35" s="2584"/>
      <c r="H35" s="2143"/>
      <c r="I35" s="2585"/>
      <c r="J35" s="2147"/>
      <c r="K35" s="551"/>
      <c r="L35" s="307"/>
      <c r="M35" s="737" t="s">
        <v>174</v>
      </c>
      <c r="N35" s="734"/>
      <c r="O35" s="734"/>
      <c r="P35" s="734"/>
      <c r="Q35" s="734"/>
      <c r="R35" s="734"/>
      <c r="S35" s="734"/>
      <c r="T35" s="734"/>
      <c r="U35" s="735"/>
      <c r="V35" s="734"/>
      <c r="W35" s="734"/>
      <c r="X35" s="725"/>
      <c r="Y35" s="725"/>
      <c r="Z35" s="725"/>
      <c r="AA35" s="725"/>
      <c r="AB35" s="725"/>
      <c r="AC35" s="725"/>
      <c r="AD35" s="725"/>
      <c r="AE35" s="725"/>
      <c r="AF35" s="725"/>
      <c r="AG35" s="725"/>
      <c r="AH35" s="725"/>
      <c r="AI35" s="725"/>
      <c r="AJ35" s="725"/>
      <c r="AK35" s="725"/>
      <c r="AL35" s="725"/>
    </row>
    <row s="11116" customFormat="1" customHeight="1" ht="15">
      <c r="A36" s="423"/>
      <c r="B36" s="423"/>
      <c r="C36" s="306"/>
      <c r="D36" s="2148"/>
      <c r="E36" s="2151"/>
      <c r="F36" s="2147"/>
      <c r="G36" s="1191"/>
      <c r="H36" s="1192"/>
      <c r="I36" s="710" t="s">
        <v>201</v>
      </c>
      <c r="J36" s="307"/>
      <c r="K36" s="307"/>
      <c r="L36" s="307"/>
      <c r="M36" s="738"/>
      <c r="N36" s="942"/>
      <c r="O36" s="1553"/>
      <c r="P36" s="1550"/>
      <c r="Q36" s="1550"/>
      <c r="R36" s="1550"/>
      <c r="S36" s="1553"/>
      <c r="T36" s="1553"/>
      <c r="U36" s="1403"/>
      <c r="V36" s="1403"/>
      <c r="W36" s="1403"/>
      <c r="X36" s="1403"/>
      <c r="Y36" s="734"/>
      <c r="Z36" s="734"/>
      <c r="AA36" s="734"/>
      <c r="AB36" s="734"/>
      <c r="AC36" s="734"/>
      <c r="AD36" s="734"/>
      <c r="AE36" s="734"/>
      <c r="AF36" s="734"/>
      <c r="AG36" s="734"/>
      <c r="AH36" s="734"/>
      <c r="AI36" s="734"/>
      <c r="AJ36" s="734"/>
      <c r="AK36" s="734"/>
      <c r="AL36" s="734"/>
    </row>
    <row customHeight="1" ht="15">
      <c r="A37" s="739"/>
      <c r="B37" s="265"/>
      <c r="C37" s="936"/>
      <c r="D37" s="551"/>
      <c r="E37" s="701" t="s">
        <v>202</v>
      </c>
      <c r="F37" s="307"/>
      <c r="G37" s="307"/>
      <c r="H37" s="307"/>
      <c r="I37" s="307"/>
      <c r="J37" s="307"/>
      <c r="K37" s="307" t="s">
        <v>18</v>
      </c>
      <c r="L37" s="307"/>
      <c r="M37" s="738"/>
      <c r="N37" s="1764"/>
    </row>
  </sheetData>
  <sheetProtection sheet="1" formatColumns="0" formatRows="0" autoFilter="0" sort="1" insertRows="1" insertColumns="1" deleteRows="1" deleteColumns="1"/>
  <mergeCells count="5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6"/>
    <mergeCell ref="E13:E36"/>
    <mergeCell ref="F13:F36"/>
    <mergeCell ref="G13:G14"/>
    <mergeCell ref="H13:H14"/>
    <mergeCell ref="G15:G16"/>
    <mergeCell ref="H15:H16"/>
    <mergeCell ref="I15:I16"/>
    <mergeCell ref="J15:J16"/>
    <mergeCell ref="G17:G21"/>
    <mergeCell ref="H17:H21"/>
    <mergeCell ref="I17:I21"/>
    <mergeCell ref="J17:J21"/>
    <mergeCell ref="G22:G24"/>
    <mergeCell ref="H22:H24"/>
    <mergeCell ref="I22:I24"/>
    <mergeCell ref="J22:J24"/>
    <mergeCell ref="G25:G26"/>
    <mergeCell ref="H25:H26"/>
    <mergeCell ref="I25:I26"/>
    <mergeCell ref="J25:J26"/>
    <mergeCell ref="G27:G28"/>
    <mergeCell ref="H27:H28"/>
    <mergeCell ref="I27:I28"/>
    <mergeCell ref="J27:J28"/>
    <mergeCell ref="G29:G31"/>
    <mergeCell ref="H29:H31"/>
    <mergeCell ref="I29:I31"/>
    <mergeCell ref="J29:J31"/>
    <mergeCell ref="G32:G33"/>
    <mergeCell ref="H32:H33"/>
    <mergeCell ref="I32:I33"/>
    <mergeCell ref="J32:J33"/>
    <mergeCell ref="G34:G35"/>
    <mergeCell ref="H34:H35"/>
    <mergeCell ref="I34:I35"/>
    <mergeCell ref="J34:J35"/>
  </mergeCells>
  <dataValidations count="19">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FBC5D-44CD-A2A4-02A7-E243147CF942}"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1276" width="3.7109375" hidden="1" customWidth="1"/>
    <col min="3" max="3" style="11277" width="3.7109375" customWidth="1"/>
    <col min="4" max="4" style="11277" width="6.140625" customWidth="1"/>
    <col min="5" max="5" style="11277" width="43.140625" customWidth="1"/>
    <col min="6" max="6" style="11235" width="15.00390625" customWidth="1"/>
    <col min="7" max="7" style="11277" width="43.140625" customWidth="1"/>
    <col min="8" max="8" style="11277" width="3.7109375" customWidth="1"/>
    <col min="9" max="9" style="11277" width="5.421875" customWidth="1"/>
    <col min="10" max="10" style="11277" width="47.8515625" customWidth="1"/>
    <col min="11" max="12" style="11277" width="3.7109375" customWidth="1"/>
    <col min="13" max="13" style="11277" width="5.7109375" customWidth="1"/>
    <col min="14" max="14" style="11277" width="28.140625" customWidth="1"/>
    <col min="15" max="16" style="11277" width="3.7109375" customWidth="1"/>
    <col min="17" max="17" style="11277" width="5.7109375" customWidth="1"/>
    <col min="18" max="18" style="11277" width="34.421875" customWidth="1"/>
    <col min="19" max="20" style="11278" width="3.7109375" customWidth="1"/>
    <col min="21" max="21" style="11278" width="5.7109375" customWidth="1"/>
    <col min="22" max="22" style="11278" width="34.421875" customWidth="1"/>
    <col min="23" max="23" style="11277" width="30.7109375" customWidth="1"/>
    <col min="24" max="24" style="11277" width="3.7109375" customWidth="1"/>
    <col min="25" max="28" style="11279" width="9.8515625" customWidth="1"/>
    <col min="29" max="29" style="11279" width="27.00390625" customWidth="1"/>
    <col min="30" max="30" style="11279" width="10.57421875" customWidth="1"/>
    <col min="31" max="31" style="11279" width="10.7109375" customWidth="1"/>
    <col min="32" max="32" style="11279" width="10.00390625" customWidth="1"/>
    <col min="33" max="33" style="11279" width="12.8515625" customWidth="1"/>
    <col min="34" max="34" style="11279" width="10.28125" customWidth="1"/>
    <col min="35" max="35" style="11279" width="15.8515625" customWidth="1"/>
    <col min="36" max="36" style="11279" width="19.421875" customWidth="1"/>
    <col min="37" max="37" style="11279" width="11.00390625" customWidth="1"/>
    <col min="38" max="38" style="11279" width="23.57421875" customWidth="1"/>
    <col min="39" max="39" style="11279" width="23.8515625" customWidth="1"/>
    <col min="40" max="40" style="11279" width="25.28125" customWidth="1"/>
    <col min="41" max="41" style="11279" width="16.8515625" customWidth="1"/>
    <col min="42" max="42" style="11279" width="29.57421875" customWidth="1"/>
    <col min="43" max="43" style="11279" width="29.8515625" customWidth="1"/>
  </cols>
  <sheetData>
    <row customHeight="1" ht="11.25" hidden="1">
      <c r="A1" s="286"/>
    </row>
    <row customHeight="1" ht="11.25" hidden="1"/>
    <row customHeight="1" ht="11.25" hidden="1"/>
    <row customHeight="1" ht="3"/>
    <row s="11160"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1067" customFormat="1" customHeight="1" ht="15">
      <c r="A6" s="715"/>
      <c r="B6" s="715"/>
      <c r="C6" s="715"/>
      <c r="D6" s="2203" t="str">
        <f>IF(org=0,"Не определено",org)</f>
        <v>АО "ДГК"</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1170"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1160"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85</v>
      </c>
      <c r="E9" s="2141" t="s">
        <v>203</v>
      </c>
      <c r="F9" s="2143"/>
      <c r="G9" s="2167" t="s">
        <v>161</v>
      </c>
      <c r="H9" s="2167" t="s">
        <v>85</v>
      </c>
      <c r="I9" s="2167"/>
      <c r="J9" s="2167" t="s">
        <v>204</v>
      </c>
      <c r="K9" s="2195" t="s">
        <v>205</v>
      </c>
      <c r="L9" s="2195"/>
      <c r="M9" s="2195"/>
      <c r="N9" s="2195"/>
      <c r="O9" s="2195" t="s">
        <v>206</v>
      </c>
      <c r="P9" s="2195"/>
      <c r="Q9" s="2195"/>
      <c r="R9" s="2195"/>
      <c r="S9" s="2195" t="s">
        <v>207</v>
      </c>
      <c r="T9" s="2195"/>
      <c r="U9" s="2195"/>
      <c r="V9" s="2195"/>
      <c r="W9" s="2167" t="s">
        <v>208</v>
      </c>
    </row>
    <row customHeight="1" ht="30">
      <c r="D10" s="2167"/>
      <c r="E10" s="1421" t="s">
        <v>86</v>
      </c>
      <c r="F10" s="1421" t="s">
        <v>209</v>
      </c>
      <c r="G10" s="2167"/>
      <c r="H10" s="2167"/>
      <c r="I10" s="2167"/>
      <c r="J10" s="2167"/>
      <c r="K10" s="240" t="s">
        <v>164</v>
      </c>
      <c r="L10" s="2167" t="s">
        <v>85</v>
      </c>
      <c r="M10" s="2167"/>
      <c r="N10" s="240" t="s">
        <v>210</v>
      </c>
      <c r="O10" s="240" t="s">
        <v>164</v>
      </c>
      <c r="P10" s="2167" t="s">
        <v>85</v>
      </c>
      <c r="Q10" s="2167"/>
      <c r="R10" s="240" t="s">
        <v>210</v>
      </c>
      <c r="S10" s="413" t="s">
        <v>164</v>
      </c>
      <c r="T10" s="2167" t="s">
        <v>85</v>
      </c>
      <c r="U10" s="2167"/>
      <c r="V10" s="413" t="s">
        <v>86</v>
      </c>
      <c r="W10" s="2167"/>
      <c r="Z10" s="1396" t="s">
        <v>211</v>
      </c>
      <c r="AA10" s="1396" t="s">
        <v>212</v>
      </c>
      <c r="AB10" s="1396" t="s">
        <v>213</v>
      </c>
      <c r="AC10" s="1396" t="s">
        <v>214</v>
      </c>
      <c r="AD10" s="1396" t="s">
        <v>215</v>
      </c>
      <c r="AE10" s="1396" t="s">
        <v>216</v>
      </c>
      <c r="AF10" s="1396" t="s">
        <v>217</v>
      </c>
      <c r="AG10" s="1396" t="s">
        <v>218</v>
      </c>
      <c r="AH10" s="1396" t="s">
        <v>219</v>
      </c>
      <c r="AI10" s="1396" t="s">
        <v>220</v>
      </c>
      <c r="AJ10" s="1396" t="s">
        <v>221</v>
      </c>
      <c r="AK10" s="1396" t="s">
        <v>222</v>
      </c>
      <c r="AL10" s="1396" t="s">
        <v>223</v>
      </c>
      <c r="AM10" s="1396" t="s">
        <v>224</v>
      </c>
      <c r="AN10" s="1396" t="s">
        <v>225</v>
      </c>
      <c r="AO10" s="1396" t="s">
        <v>226</v>
      </c>
      <c r="AP10" s="1396" t="s">
        <v>227</v>
      </c>
      <c r="AQ10" s="1396" t="s">
        <v>228</v>
      </c>
    </row>
    <row s="11184" customFormat="1" customHeight="1" ht="12" hidden="1">
      <c r="D11" s="1385" t="s">
        <v>165</v>
      </c>
      <c r="E11" s="1385" t="s">
        <v>100</v>
      </c>
      <c r="F11" s="1385"/>
      <c r="G11" s="1385" t="s">
        <v>87</v>
      </c>
      <c r="H11" s="2196" t="s">
        <v>119</v>
      </c>
      <c r="I11" s="2196"/>
      <c r="J11" s="1385" t="s">
        <v>89</v>
      </c>
      <c r="K11" s="1385" t="s">
        <v>90</v>
      </c>
      <c r="L11" s="2196" t="s">
        <v>140</v>
      </c>
      <c r="M11" s="2196"/>
      <c r="N11" s="1385" t="s">
        <v>151</v>
      </c>
      <c r="O11" s="1385" t="s">
        <v>229</v>
      </c>
      <c r="P11" s="2196" t="s">
        <v>230</v>
      </c>
      <c r="Q11" s="2196"/>
      <c r="R11" s="1385" t="s">
        <v>231</v>
      </c>
      <c r="S11" s="1385" t="s">
        <v>230</v>
      </c>
      <c r="T11" s="2196" t="s">
        <v>231</v>
      </c>
      <c r="U11" s="2196"/>
      <c r="V11" s="1385" t="s">
        <v>232</v>
      </c>
      <c r="W11" s="1385" t="s">
        <v>233</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1199" customFormat="1" customHeight="1" ht="17.25">
      <c r="A13" s="451"/>
      <c r="C13" s="339"/>
      <c r="D13" s="2181">
        <v>1</v>
      </c>
      <c r="E13" s="2183" t="s">
        <v>234</v>
      </c>
      <c r="F13" s="2185" t="s">
        <v>54</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235</v>
      </c>
      <c r="AD13" s="1404" t="s">
        <v>236</v>
      </c>
      <c r="AE13" s="1404" t="s">
        <v>237</v>
      </c>
      <c r="AF13" s="1404" t="s">
        <v>238</v>
      </c>
      <c r="AG13" s="1404" t="s">
        <v>239</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1199"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1224"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1224"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1199"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1235" customFormat="1" customHeight="1" ht="17.25">
      <c r="A18" s="451"/>
      <c r="C18" s="339"/>
      <c r="D18" s="2181">
        <v>2</v>
      </c>
      <c r="E18" s="2183" t="s">
        <v>240</v>
      </c>
      <c r="F18" s="2185" t="s">
        <v>54</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241</v>
      </c>
      <c r="AD18" s="1404" t="s">
        <v>242</v>
      </c>
      <c r="AE18" s="1404" t="s">
        <v>243</v>
      </c>
      <c r="AF18" s="1404" t="s">
        <v>244</v>
      </c>
      <c r="AG18" s="1404" t="s">
        <v>245</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1235"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1235"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1235"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1235"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1235" customFormat="1" customHeight="1" ht="17.25">
      <c r="A23" s="451"/>
      <c r="C23" s="339"/>
      <c r="D23" s="2181">
        <v>3</v>
      </c>
      <c r="E23" s="2183" t="s">
        <v>246</v>
      </c>
      <c r="F23" s="2185" t="s">
        <v>54</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247</v>
      </c>
      <c r="AD23" s="1404" t="s">
        <v>248</v>
      </c>
      <c r="AE23" s="1404" t="s">
        <v>249</v>
      </c>
      <c r="AF23" s="1404" t="s">
        <v>250</v>
      </c>
      <c r="AG23" s="1404" t="s">
        <v>251</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1235"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1235"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1235"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1235"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1235" customFormat="1" customHeight="1" ht="17.25">
      <c r="A28" s="451"/>
      <c r="C28" s="339"/>
      <c r="D28" s="2181">
        <v>4</v>
      </c>
      <c r="E28" s="2183" t="s">
        <v>252</v>
      </c>
      <c r="F28" s="2185" t="s">
        <v>54</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253</v>
      </c>
      <c r="AD28" s="1404" t="s">
        <v>254</v>
      </c>
      <c r="AE28" s="1404" t="s">
        <v>255</v>
      </c>
      <c r="AF28" s="1404" t="s">
        <v>256</v>
      </c>
      <c r="AG28" s="1404" t="s">
        <v>257</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1235"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1235"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1235"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1235"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1235" customFormat="1" customHeight="1" ht="17.25">
      <c r="A33" s="451"/>
      <c r="C33" s="339"/>
      <c r="D33" s="2181">
        <v>5</v>
      </c>
      <c r="E33" s="2183" t="s">
        <v>258</v>
      </c>
      <c r="F33" s="2185" t="s">
        <v>54</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259</v>
      </c>
      <c r="AD33" s="1404" t="s">
        <v>260</v>
      </c>
      <c r="AE33" s="1404" t="s">
        <v>261</v>
      </c>
      <c r="AF33" s="1404" t="s">
        <v>262</v>
      </c>
      <c r="AG33" s="1404" t="s">
        <v>263</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1235"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1235"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1235"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1235"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1235" customFormat="1" customHeight="1" ht="17.25">
      <c r="A38" s="451"/>
      <c r="C38" s="339"/>
      <c r="D38" s="2181">
        <v>6</v>
      </c>
      <c r="E38" s="2183" t="s">
        <v>264</v>
      </c>
      <c r="F38" s="2185" t="s">
        <v>54</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265</v>
      </c>
      <c r="AD38" s="1404" t="s">
        <v>266</v>
      </c>
      <c r="AE38" s="1404" t="s">
        <v>267</v>
      </c>
      <c r="AF38" s="1404" t="s">
        <v>268</v>
      </c>
      <c r="AG38" s="1404" t="s">
        <v>269</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1235"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1235"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1237"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1235"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1238" customFormat="1" customHeight="1" ht="17.25">
      <c r="A43" s="451"/>
      <c r="C43" s="339"/>
      <c r="D43" s="2204">
        <v>7</v>
      </c>
      <c r="E43" s="2207" t="s">
        <v>270</v>
      </c>
      <c r="F43" s="2185" t="s">
        <v>54</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271</v>
      </c>
      <c r="AD43" s="1404" t="s">
        <v>272</v>
      </c>
      <c r="AE43" s="1404" t="s">
        <v>273</v>
      </c>
      <c r="AF43" s="1404" t="s">
        <v>274</v>
      </c>
      <c r="AG43" s="1404" t="s">
        <v>275</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1238"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1238"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1237"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1238"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1238" customFormat="1" customHeight="1" ht="17.25">
      <c r="A48" s="451"/>
      <c r="C48" s="339"/>
      <c r="D48" s="2181">
        <v>8</v>
      </c>
      <c r="E48" s="2183" t="s">
        <v>276</v>
      </c>
      <c r="F48" s="2185" t="s">
        <v>54</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277</v>
      </c>
      <c r="AD48" s="1404" t="s">
        <v>278</v>
      </c>
      <c r="AE48" s="1404" t="s">
        <v>279</v>
      </c>
      <c r="AF48" s="1404" t="s">
        <v>280</v>
      </c>
      <c r="AG48" s="1404" t="s">
        <v>281</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1238"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1238"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1237"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1238"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1248" customFormat="1" customHeight="1" ht="17.25">
      <c r="A53" s="451"/>
      <c r="C53" s="339"/>
      <c r="D53" s="2181">
        <v>9</v>
      </c>
      <c r="E53" s="2183" t="s">
        <v>282</v>
      </c>
      <c r="F53" s="2185" t="s">
        <v>54</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283</v>
      </c>
      <c r="AD53" s="1404" t="s">
        <v>284</v>
      </c>
      <c r="AE53" s="1404" t="s">
        <v>285</v>
      </c>
      <c r="AF53" s="1404" t="s">
        <v>286</v>
      </c>
      <c r="AG53" s="1404" t="s">
        <v>287</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1248"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1248"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1248"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1248"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1248" customFormat="1" customHeight="1" ht="17.25">
      <c r="A58" s="451"/>
      <c r="C58" s="339"/>
      <c r="D58" s="2181">
        <v>10</v>
      </c>
      <c r="E58" s="2183" t="s">
        <v>288</v>
      </c>
      <c r="F58" s="2185" t="s">
        <v>54</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289</v>
      </c>
      <c r="AD58" s="1404" t="s">
        <v>290</v>
      </c>
      <c r="AE58" s="1404" t="s">
        <v>291</v>
      </c>
      <c r="AF58" s="1404" t="s">
        <v>292</v>
      </c>
      <c r="AG58" s="1404" t="s">
        <v>293</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1248"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1248"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1248"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1248"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294</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295</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296</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297</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298</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299</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300</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301</v>
      </c>
      <c r="F72" s="2210"/>
      <c r="G72" s="2211"/>
      <c r="H72" s="2211"/>
      <c r="I72" s="2211"/>
      <c r="J72" s="2211"/>
      <c r="K72" s="2211"/>
      <c r="L72" s="2211"/>
      <c r="M72" s="2211"/>
      <c r="N72" s="2211"/>
      <c r="O72" s="2211"/>
      <c r="P72" s="2211"/>
      <c r="Q72" s="2211"/>
      <c r="R72" s="2211"/>
      <c r="S72" s="2211"/>
      <c r="T72" s="2211"/>
      <c r="U72" s="2211"/>
      <c r="V72" s="2211"/>
      <c r="W72" s="2211"/>
    </row>
    <row s="11262"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1262" customFormat="1" customHeight="1" ht="17.25" hidden="1">
      <c r="A74" s="451"/>
      <c r="C74" s="339"/>
      <c r="D74" s="2181">
        <v>1</v>
      </c>
      <c r="E74" s="2183" t="s">
        <v>302</v>
      </c>
      <c r="F74" s="2185" t="s">
        <v>54</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303</v>
      </c>
      <c r="AD74" s="1404" t="s">
        <v>304</v>
      </c>
      <c r="AE74" s="1404" t="s">
        <v>305</v>
      </c>
      <c r="AF74" s="1404" t="s">
        <v>306</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1262"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1264"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1264"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1262"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1262" customFormat="1" customHeight="1" ht="17.25" hidden="1">
      <c r="A79" s="451"/>
      <c r="C79" s="339"/>
      <c r="D79" s="2181">
        <v>2</v>
      </c>
      <c r="E79" s="2183" t="s">
        <v>307</v>
      </c>
      <c r="F79" s="2185" t="s">
        <v>54</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308</v>
      </c>
      <c r="AD79" s="1404" t="s">
        <v>309</v>
      </c>
      <c r="AE79" s="1404" t="s">
        <v>310</v>
      </c>
      <c r="AF79" s="1404" t="s">
        <v>311</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1262"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1262"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1262"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1262"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1262" customFormat="1" customHeight="1" ht="17.25" hidden="1">
      <c r="A84" s="451"/>
      <c r="C84" s="339"/>
      <c r="D84" s="2181">
        <v>3</v>
      </c>
      <c r="E84" s="2183" t="s">
        <v>312</v>
      </c>
      <c r="F84" s="2185" t="s">
        <v>54</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313</v>
      </c>
      <c r="AD84" s="1404" t="s">
        <v>314</v>
      </c>
      <c r="AE84" s="1404" t="s">
        <v>315</v>
      </c>
      <c r="AF84" s="1404" t="s">
        <v>316</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1262"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1262"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1262"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1262"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1262" customFormat="1" customHeight="1" ht="17.25" hidden="1">
      <c r="A89" s="451"/>
      <c r="C89" s="339"/>
      <c r="D89" s="2181">
        <v>4</v>
      </c>
      <c r="E89" s="2183" t="s">
        <v>317</v>
      </c>
      <c r="F89" s="2185" t="s">
        <v>54</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318</v>
      </c>
      <c r="AD89" s="1404" t="s">
        <v>319</v>
      </c>
      <c r="AE89" s="1404" t="s">
        <v>320</v>
      </c>
      <c r="AF89" s="1404" t="s">
        <v>321</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1262"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1262"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1262"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1262"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1248" customFormat="1" customHeight="1" ht="17.25" hidden="1">
      <c r="A94" s="451"/>
      <c r="C94" s="339"/>
      <c r="D94" s="2181">
        <v>5</v>
      </c>
      <c r="E94" s="2183" t="s">
        <v>322</v>
      </c>
      <c r="F94" s="2185" t="s">
        <v>54</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323</v>
      </c>
      <c r="AD94" s="1404" t="s">
        <v>324</v>
      </c>
      <c r="AE94" s="1404" t="s">
        <v>325</v>
      </c>
      <c r="AF94" s="1404" t="s">
        <v>326</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1248"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1248"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1248"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1248"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1248"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1248" customFormat="1" customHeight="1" ht="17.25" hidden="1">
      <c r="A100" s="451"/>
      <c r="C100" s="339"/>
      <c r="D100" s="2181">
        <v>1</v>
      </c>
      <c r="E100" s="2183" t="s">
        <v>327</v>
      </c>
      <c r="F100" s="2185" t="s">
        <v>54</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328</v>
      </c>
      <c r="AD100" s="1404" t="s">
        <v>329</v>
      </c>
      <c r="AE100" s="1404" t="s">
        <v>330</v>
      </c>
      <c r="AF100" s="1404" t="s">
        <v>331</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1248"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1248"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1248"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1248"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1248" customFormat="1" customHeight="1" ht="17.25" hidden="1">
      <c r="A105" s="451"/>
      <c r="C105" s="339"/>
      <c r="D105" s="2181">
        <v>2</v>
      </c>
      <c r="E105" s="2183" t="s">
        <v>332</v>
      </c>
      <c r="F105" s="2185" t="s">
        <v>54</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333</v>
      </c>
      <c r="AD105" s="1404" t="s">
        <v>334</v>
      </c>
      <c r="AE105" s="1404" t="s">
        <v>335</v>
      </c>
      <c r="AF105" s="1404" t="s">
        <v>336</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1248"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1248"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1248"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1248"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1248" customFormat="1" customHeight="1" ht="17.25" hidden="1">
      <c r="A110" s="451"/>
      <c r="C110" s="339"/>
      <c r="D110" s="2181">
        <v>3</v>
      </c>
      <c r="E110" s="2183" t="s">
        <v>337</v>
      </c>
      <c r="F110" s="2185" t="s">
        <v>54</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338</v>
      </c>
      <c r="AD110" s="1404" t="s">
        <v>339</v>
      </c>
      <c r="AE110" s="1404" t="s">
        <v>340</v>
      </c>
      <c r="AF110" s="1404" t="s">
        <v>341</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1248"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1248"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1248"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1248"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1248"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1248" customFormat="1" customHeight="1" ht="17.25" hidden="1">
      <c r="A116" s="451"/>
      <c r="C116" s="339"/>
      <c r="D116" s="2181">
        <v>1</v>
      </c>
      <c r="E116" s="2183" t="s">
        <v>342</v>
      </c>
      <c r="F116" s="2185" t="s">
        <v>54</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343</v>
      </c>
      <c r="AD116" s="1404" t="s">
        <v>344</v>
      </c>
      <c r="AE116" s="1404" t="s">
        <v>345</v>
      </c>
      <c r="AF116" s="1404" t="s">
        <v>346</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1248"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1248"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1248"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1248"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1248" customFormat="1" customHeight="1" ht="17.25" hidden="1">
      <c r="A121" s="451"/>
      <c r="C121" s="339"/>
      <c r="D121" s="2181">
        <v>2</v>
      </c>
      <c r="E121" s="2183" t="s">
        <v>347</v>
      </c>
      <c r="F121" s="2185" t="s">
        <v>54</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348</v>
      </c>
      <c r="AD121" s="1404" t="s">
        <v>349</v>
      </c>
      <c r="AE121" s="1404" t="s">
        <v>350</v>
      </c>
      <c r="AF121" s="1404" t="s">
        <v>351</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1248"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1248"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1248"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1248"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1248" customFormat="1" customHeight="1" ht="17.25" hidden="1">
      <c r="A126" s="451"/>
      <c r="C126" s="339"/>
      <c r="D126" s="2181">
        <v>3</v>
      </c>
      <c r="E126" s="2183" t="s">
        <v>352</v>
      </c>
      <c r="F126" s="2185" t="s">
        <v>54</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353</v>
      </c>
      <c r="AD126" s="1404" t="s">
        <v>354</v>
      </c>
      <c r="AE126" s="1404" t="s">
        <v>355</v>
      </c>
      <c r="AF126" s="1404" t="s">
        <v>356</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1248"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1248"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1248"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1248"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FBD42-36C2-7A85-2756-80C1A39B345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1355" width="9.140625" hidden="1"/>
    <col min="3" max="4" style="11355" width="3.7109375" customWidth="1"/>
    <col min="5" max="6" style="11355" width="16.00390625" customWidth="1"/>
    <col min="7" max="7" style="11355" width="11.57421875" customWidth="1"/>
    <col min="8" max="9" style="11355" width="3.7109375" customWidth="1"/>
    <col min="10" max="10" style="11355" width="13.140625" customWidth="1"/>
    <col min="11" max="11" style="11355" width="0.28125" customWidth="1"/>
    <col min="12" max="13" style="11355" width="10.7109375" customWidth="1"/>
    <col min="14" max="15" style="11355" width="3.7109375" customWidth="1"/>
    <col min="16" max="16" style="11355" width="19.7109375" customWidth="1"/>
    <col min="17" max="17" style="11355" width="0.28125" customWidth="1"/>
    <col min="18" max="19" style="11355" width="10.7109375" customWidth="1"/>
    <col min="20" max="21" style="11355" width="3.7109375" customWidth="1"/>
    <col min="22" max="22" style="11355" width="25.7109375" customWidth="1"/>
    <col min="23" max="23" style="11355" width="0.28125" customWidth="1"/>
    <col min="24" max="25" style="11355" width="10.7109375" customWidth="1"/>
    <col min="26" max="27" style="11355" width="3.7109375" customWidth="1"/>
    <col min="28" max="28" style="11355" width="16.421875" customWidth="1"/>
    <col min="29" max="29" style="11355" width="0.28125" customWidth="1"/>
    <col min="30" max="31" style="11355" width="10.7109375" customWidth="1"/>
    <col min="32" max="33" style="11355" width="3.7109375" customWidth="1"/>
    <col min="34" max="34" style="11355" width="8.7109375" customWidth="1"/>
    <col min="35" max="35" style="11355" width="21.7109375" customWidth="1"/>
    <col min="36" max="36" style="11007" width="9.140625"/>
    <col min="37" max="37" style="11356" width="9.140625"/>
    <col min="38" max="64" style="11007" width="9.140625"/>
  </cols>
  <sheetData>
    <row s="11280"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1281" customFormat="1" customHeight="1" ht="11.25" hidden="1">
      <c r="L2" s="1690" t="s">
        <v>357</v>
      </c>
      <c r="M2" s="1690" t="s">
        <v>358</v>
      </c>
      <c r="R2" s="1690" t="s">
        <v>359</v>
      </c>
      <c r="S2" s="1690" t="s">
        <v>358</v>
      </c>
      <c r="X2" s="1690" t="s">
        <v>357</v>
      </c>
      <c r="Y2" s="1690" t="s">
        <v>358</v>
      </c>
      <c r="AD2" s="1690" t="s">
        <v>357</v>
      </c>
      <c r="AE2" s="1690" t="s">
        <v>358</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1284"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998" customFormat="1" customHeight="1" ht="33">
      <c r="A4" s="1288"/>
      <c r="B4" s="1287"/>
      <c r="C4" s="1652"/>
      <c r="D4" s="2229" t="s">
        <v>360</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1295" customFormat="1" customHeight="1" ht="14.25">
      <c r="A5" s="1769"/>
      <c r="B5" s="1768"/>
      <c r="C5" s="1652"/>
      <c r="D5" s="2214" t="str">
        <f>IF(org=0,"Не определено",org)</f>
        <v>АО "ДГК"</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998"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1280"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85</v>
      </c>
      <c r="E8" s="2167" t="s">
        <v>161</v>
      </c>
      <c r="F8" s="2230" t="s">
        <v>203</v>
      </c>
      <c r="G8" s="2231"/>
      <c r="H8" s="2230" t="s">
        <v>85</v>
      </c>
      <c r="I8" s="2231"/>
      <c r="J8" s="2167" t="s">
        <v>204</v>
      </c>
      <c r="K8" s="1693"/>
      <c r="L8" s="2234" t="s">
        <v>361</v>
      </c>
      <c r="M8" s="2234"/>
      <c r="N8" s="2234"/>
      <c r="O8" s="2234"/>
      <c r="P8" s="2234"/>
      <c r="Q8" s="1694"/>
      <c r="R8" s="2136" t="s">
        <v>362</v>
      </c>
      <c r="S8" s="2235"/>
      <c r="T8" s="2235"/>
      <c r="U8" s="2235"/>
      <c r="V8" s="2235"/>
      <c r="W8" s="1694"/>
      <c r="X8" s="2236" t="s">
        <v>363</v>
      </c>
      <c r="Y8" s="2236"/>
      <c r="Z8" s="2236"/>
      <c r="AA8" s="2236"/>
      <c r="AB8" s="2236"/>
      <c r="AC8" s="1695"/>
      <c r="AD8" s="2167" t="s">
        <v>364</v>
      </c>
      <c r="AE8" s="2167"/>
      <c r="AF8" s="2167"/>
      <c r="AG8" s="2167"/>
      <c r="AH8" s="2141"/>
      <c r="AI8" s="2167" t="s">
        <v>365</v>
      </c>
      <c r="AJ8" s="1711"/>
    </row>
    <row customHeight="1" ht="22.5">
      <c r="D9" s="2167"/>
      <c r="E9" s="2167"/>
      <c r="F9" s="2213" t="s">
        <v>86</v>
      </c>
      <c r="G9" s="2213" t="s">
        <v>209</v>
      </c>
      <c r="H9" s="2232"/>
      <c r="I9" s="2233"/>
      <c r="J9" s="2141"/>
      <c r="K9" s="1696"/>
      <c r="L9" s="2167" t="s">
        <v>366</v>
      </c>
      <c r="M9" s="2141"/>
      <c r="N9" s="2230" t="s">
        <v>85</v>
      </c>
      <c r="O9" s="2231"/>
      <c r="P9" s="2167" t="s">
        <v>210</v>
      </c>
      <c r="Q9" s="1693"/>
      <c r="R9" s="2167" t="s">
        <v>366</v>
      </c>
      <c r="S9" s="2141"/>
      <c r="T9" s="2230" t="s">
        <v>85</v>
      </c>
      <c r="U9" s="2231"/>
      <c r="V9" s="2167" t="s">
        <v>210</v>
      </c>
      <c r="W9" s="1693"/>
      <c r="X9" s="2167" t="s">
        <v>366</v>
      </c>
      <c r="Y9" s="2141"/>
      <c r="Z9" s="2230" t="s">
        <v>85</v>
      </c>
      <c r="AA9" s="2231"/>
      <c r="AB9" s="2167" t="s">
        <v>367</v>
      </c>
      <c r="AC9" s="1693"/>
      <c r="AD9" s="2167" t="s">
        <v>366</v>
      </c>
      <c r="AE9" s="2141"/>
      <c r="AF9" s="2230" t="s">
        <v>85</v>
      </c>
      <c r="AG9" s="2231"/>
      <c r="AH9" s="2141" t="s">
        <v>367</v>
      </c>
      <c r="AI9" s="2167"/>
      <c r="AJ9" s="1711"/>
    </row>
    <row customHeight="1" ht="22.5">
      <c r="D10" s="2213"/>
      <c r="E10" s="2213"/>
      <c r="F10" s="2237"/>
      <c r="G10" s="2237"/>
      <c r="H10" s="2238"/>
      <c r="I10" s="2239"/>
      <c r="J10" s="2230"/>
      <c r="K10" s="1696"/>
      <c r="L10" s="1715" t="s">
        <v>368</v>
      </c>
      <c r="M10" s="1710" t="s">
        <v>369</v>
      </c>
      <c r="N10" s="2232"/>
      <c r="O10" s="2233"/>
      <c r="P10" s="2213"/>
      <c r="Q10" s="1693"/>
      <c r="R10" s="1715" t="s">
        <v>368</v>
      </c>
      <c r="S10" s="1710" t="s">
        <v>369</v>
      </c>
      <c r="T10" s="2232"/>
      <c r="U10" s="2233"/>
      <c r="V10" s="2213"/>
      <c r="W10" s="1693"/>
      <c r="X10" s="1715" t="s">
        <v>368</v>
      </c>
      <c r="Y10" s="1710" t="s">
        <v>369</v>
      </c>
      <c r="Z10" s="2232"/>
      <c r="AA10" s="2233"/>
      <c r="AB10" s="2213"/>
      <c r="AC10" s="1693"/>
      <c r="AD10" s="1715" t="s">
        <v>368</v>
      </c>
      <c r="AE10" s="1710" t="s">
        <v>369</v>
      </c>
      <c r="AF10" s="2232"/>
      <c r="AG10" s="2233"/>
      <c r="AH10" s="2230"/>
      <c r="AI10" s="2213"/>
      <c r="AJ10" s="1711"/>
      <c r="AK10" s="384" t="s">
        <v>370</v>
      </c>
      <c r="AL10" s="384" t="s">
        <v>211</v>
      </c>
    </row>
    <row customHeight="1" ht="14.25">
      <c r="D11" s="2221" t="s">
        <v>165</v>
      </c>
      <c r="E11" s="2217" t="s">
        <v>371</v>
      </c>
      <c r="F11" s="2217" t="s">
        <v>372</v>
      </c>
      <c r="G11" s="2223" t="s">
        <v>54</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1284"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100</v>
      </c>
      <c r="E17" s="2217" t="s">
        <v>371</v>
      </c>
      <c r="F17" s="2217" t="s">
        <v>373</v>
      </c>
      <c r="G17" s="2223" t="s">
        <v>54</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1284"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87</v>
      </c>
      <c r="E23" s="2217" t="s">
        <v>371</v>
      </c>
      <c r="F23" s="2217" t="s">
        <v>374</v>
      </c>
      <c r="G23" s="2223" t="s">
        <v>54</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95</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1284"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88</v>
      </c>
      <c r="E29" s="2217" t="s">
        <v>371</v>
      </c>
      <c r="F29" s="2217" t="s">
        <v>375</v>
      </c>
      <c r="G29" s="2223" t="s">
        <v>54</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1284"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119</v>
      </c>
      <c r="E35" s="2217" t="s">
        <v>371</v>
      </c>
      <c r="F35" s="2217" t="s">
        <v>376</v>
      </c>
      <c r="G35" s="2223" t="s">
        <v>54</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1284"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0B94A-1BB1-7E92-F8B1-BCD4B7968D4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1438" width="15.00390625" hidden="1" customWidth="1"/>
    <col min="2" max="2" style="11392" width="15.00390625" hidden="1" customWidth="1"/>
    <col min="3" max="3" style="11439" width="3.7109375" customWidth="1"/>
    <col min="4" max="4" style="11440" width="6.8515625" customWidth="1"/>
    <col min="5" max="5" style="11439" width="52.28125" customWidth="1"/>
    <col min="6" max="6" style="11439" width="48.8515625" customWidth="1"/>
    <col min="7" max="7" style="11439" width="121.7109375" customWidth="1"/>
    <col min="8" max="8" style="11439" width="9.140625"/>
    <col min="9" max="9" style="11439" width="65.00390625" customWidth="1"/>
  </cols>
  <sheetData>
    <row customHeight="1" ht="11.25" hidden="1">
      <c r="A1" s="1823" t="s">
        <v>377</v>
      </c>
    </row>
    <row customHeight="1" ht="11.25" hidden="1"/>
    <row s="11358" customFormat="1" customHeight="1" ht="11.25">
      <c r="A3" s="1823"/>
      <c r="B3" s="631"/>
      <c r="D3" s="608"/>
    </row>
    <row customHeight="1" ht="25.5">
      <c r="D4" s="21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8"/>
      <c r="F4" s="2199"/>
      <c r="I4" s="845"/>
    </row>
    <row customHeight="1" ht="17.25">
      <c r="D5" s="2214" t="str">
        <f>IF(org=0,"Не определено",org)</f>
        <v>АО "ДГК"</v>
      </c>
      <c r="E5" s="2214"/>
      <c r="F5" s="2214"/>
      <c r="I5" s="845"/>
    </row>
    <row s="11358"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378</v>
      </c>
      <c r="E8" s="2243"/>
      <c r="F8" s="2243"/>
      <c r="G8" s="2247" t="s">
        <v>379</v>
      </c>
    </row>
    <row customHeight="1" ht="11.25">
      <c r="A9" s="587"/>
      <c r="B9" s="632"/>
      <c r="C9" s="587"/>
      <c r="D9" s="602" t="s">
        <v>85</v>
      </c>
      <c r="E9" s="576" t="s">
        <v>380</v>
      </c>
      <c r="F9" s="576" t="s">
        <v>381</v>
      </c>
      <c r="G9" s="2248"/>
    </row>
    <row customHeight="1" ht="12" hidden="1">
      <c r="A10" s="587"/>
      <c r="B10" s="632"/>
      <c r="C10" s="587"/>
      <c r="D10" s="594"/>
      <c r="E10" s="594"/>
      <c r="F10" s="594"/>
      <c r="G10" s="594"/>
    </row>
    <row customHeight="1" ht="22.5" hidden="1">
      <c r="A11" s="587"/>
      <c r="B11" s="632"/>
      <c r="C11" s="587"/>
      <c r="D11" s="1140" t="s">
        <v>165</v>
      </c>
      <c r="E11" s="1143" t="s">
        <v>382</v>
      </c>
      <c r="F11" s="1142" t="str">
        <f>IF(region_name="","",region_name)</f>
        <v>Хабаровский край</v>
      </c>
      <c r="G11" s="1143" t="s">
        <v>383</v>
      </c>
      <c r="H11" s="605"/>
    </row>
    <row customHeight="1" ht="22.5" hidden="1">
      <c r="A12" s="587"/>
      <c r="B12" s="632"/>
      <c r="C12" s="587"/>
      <c r="D12" s="575" t="s">
        <v>165</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73" t="s">
        <v>384</v>
      </c>
      <c r="G12" s="604"/>
      <c r="H12" s="605"/>
    </row>
    <row customHeight="1" ht="22.5">
      <c r="A13" s="587"/>
      <c r="B13" s="632"/>
      <c r="C13" s="587"/>
      <c r="D13" s="575" t="s">
        <v>165</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05"/>
    </row>
    <row customHeight="1" ht="22.5" hidden="1">
      <c r="A14" s="587"/>
      <c r="B14" s="632"/>
      <c r="C14" s="587"/>
      <c r="D14" s="1140" t="s">
        <v>385</v>
      </c>
      <c r="E14" s="1141" t="s">
        <v>386</v>
      </c>
      <c r="F14" s="1142" t="str">
        <f>IF(inn="","",inn)</f>
        <v>1434031363</v>
      </c>
      <c r="G14" s="1143" t="s">
        <v>387</v>
      </c>
      <c r="H14" s="605"/>
    </row>
    <row customHeight="1" ht="22.5" hidden="1">
      <c r="A15" s="587"/>
      <c r="B15" s="632"/>
      <c r="C15" s="587"/>
      <c r="D15" s="1140" t="s">
        <v>388</v>
      </c>
      <c r="E15" s="1141" t="s">
        <v>389</v>
      </c>
      <c r="F15" s="1142" t="str">
        <f>IF(kpp="","",kpp)</f>
        <v>272101001</v>
      </c>
      <c r="G15" s="1143" t="s">
        <v>390</v>
      </c>
      <c r="H15" s="605"/>
    </row>
    <row customHeight="1" ht="36.75">
      <c r="A16" s="587"/>
      <c r="B16" s="632"/>
      <c r="C16" s="587"/>
      <c r="D16" s="575" t="s">
        <v>100</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87</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88</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391</v>
      </c>
      <c r="F19" s="573" t="s">
        <v>384</v>
      </c>
      <c r="G19" s="574" t="s">
        <v>392</v>
      </c>
      <c r="H19" s="605"/>
      <c r="I19" s="982"/>
    </row>
    <row customHeight="1" ht="33.75" hidden="1">
      <c r="A20" s="2244"/>
      <c r="B20" s="632"/>
      <c r="C20" s="2249"/>
      <c r="D20" s="575" t="s">
        <v>393</v>
      </c>
      <c r="E20" s="569" t="s">
        <v>394</v>
      </c>
      <c r="F20" s="1011" t="s">
        <v>18</v>
      </c>
      <c r="G20" s="604"/>
      <c r="H20" s="605"/>
      <c r="I20" s="982"/>
    </row>
    <row customHeight="1" ht="22.5" hidden="1">
      <c r="A21" s="2244"/>
      <c r="B21" s="632"/>
      <c r="C21" s="2249"/>
      <c r="D21" s="575" t="s">
        <v>395</v>
      </c>
      <c r="E21" s="569" t="s">
        <v>396</v>
      </c>
      <c r="F21" s="1870" t="s">
        <v>18</v>
      </c>
      <c r="G21" s="574" t="s">
        <v>397</v>
      </c>
      <c r="H21" s="605"/>
      <c r="I21" s="982"/>
    </row>
    <row customHeight="1" ht="22.5" hidden="1">
      <c r="A22" s="2244"/>
      <c r="B22" s="632"/>
      <c r="C22" s="2249"/>
      <c r="D22" s="575" t="s">
        <v>398</v>
      </c>
      <c r="E22" s="569" t="s">
        <v>399</v>
      </c>
      <c r="F22" s="1011" t="s">
        <v>18</v>
      </c>
      <c r="G22" s="604"/>
      <c r="H22" s="605"/>
      <c r="I22" s="982"/>
    </row>
    <row customHeight="1" ht="22.5" hidden="1">
      <c r="A23" s="2244"/>
      <c r="B23" s="632"/>
      <c r="C23" s="2249"/>
      <c r="D23" s="575" t="s">
        <v>400</v>
      </c>
      <c r="E23" s="569" t="s">
        <v>401</v>
      </c>
      <c r="F23" s="1011" t="s">
        <v>18</v>
      </c>
      <c r="G23" s="574" t="s">
        <v>402</v>
      </c>
      <c r="H23" s="605"/>
      <c r="I23" s="982"/>
    </row>
    <row s="11392" customFormat="1" customHeight="1" ht="24.75" hidden="1">
      <c r="A24" s="587"/>
      <c r="B24" s="632"/>
      <c r="C24" s="632"/>
      <c r="D24" s="1137" t="s">
        <v>87</v>
      </c>
      <c r="E24" s="1139" t="s">
        <v>403</v>
      </c>
      <c r="F24" s="1144" t="s">
        <v>384</v>
      </c>
      <c r="G24" s="1139"/>
    </row>
    <row s="11392" customFormat="1" customHeight="1" ht="11.25" hidden="1">
      <c r="A25" s="587"/>
      <c r="B25" s="632"/>
      <c r="C25" s="632"/>
      <c r="D25" s="1137" t="s">
        <v>404</v>
      </c>
      <c r="E25" s="1138" t="s">
        <v>405</v>
      </c>
      <c r="F25" s="1144" t="s">
        <v>384</v>
      </c>
      <c r="G25" s="1139"/>
    </row>
    <row s="11392" customFormat="1" customHeight="1" ht="11.25" hidden="1">
      <c r="A26" s="587"/>
      <c r="B26" s="632"/>
      <c r="C26" s="632"/>
      <c r="D26" s="1137" t="s">
        <v>406</v>
      </c>
      <c r="E26" s="1145" t="s">
        <v>407</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392" customFormat="1" customHeight="1" ht="11.25" hidden="1">
      <c r="A27" s="587"/>
      <c r="B27" s="632"/>
      <c r="C27" s="632"/>
      <c r="D27" s="1137" t="s">
        <v>408</v>
      </c>
      <c r="E27" s="1145" t="s">
        <v>409</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392" customFormat="1" customHeight="1" ht="11.25" hidden="1">
      <c r="A28" s="587"/>
      <c r="B28" s="632"/>
      <c r="C28" s="632"/>
      <c r="D28" s="1137" t="s">
        <v>410</v>
      </c>
      <c r="E28" s="1145" t="s">
        <v>411</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392" customFormat="1" customHeight="1" ht="11.25" hidden="1">
      <c r="A29" s="587"/>
      <c r="B29" s="632"/>
      <c r="C29" s="632"/>
      <c r="D29" s="1137" t="s">
        <v>412</v>
      </c>
      <c r="E29" s="1138" t="s">
        <v>413</v>
      </c>
      <c r="F29" s="1146"/>
      <c r="G29" s="1139"/>
    </row>
    <row s="11392" customFormat="1" customHeight="1" ht="11.25" hidden="1">
      <c r="A30" s="587"/>
      <c r="B30" s="632"/>
      <c r="C30" s="632"/>
      <c r="D30" s="1137" t="s">
        <v>414</v>
      </c>
      <c r="E30" s="1138" t="s">
        <v>415</v>
      </c>
      <c r="F30" s="1146"/>
      <c r="G30" s="1139"/>
    </row>
    <row s="11392" customFormat="1" customHeight="1" ht="11.25" hidden="1">
      <c r="A31" s="587"/>
      <c r="B31" s="632"/>
      <c r="C31" s="632"/>
      <c r="D31" s="1137" t="s">
        <v>416</v>
      </c>
      <c r="E31" s="1138" t="s">
        <v>417</v>
      </c>
      <c r="F31" s="1147"/>
      <c r="G31" s="1139"/>
    </row>
    <row customHeight="1" ht="22.5">
      <c r="A32" s="587" t="str">
        <f>IF(TEMPLATE_SPHERE="HEAT","6","5")</f>
        <v>6</v>
      </c>
      <c r="B32" s="632"/>
      <c r="C32" s="587"/>
      <c r="D32" s="570" t="str">
        <f>A32</f>
        <v>6</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73" t="s">
        <v>384</v>
      </c>
      <c r="G32" s="604"/>
      <c r="H32" s="605"/>
    </row>
    <row customHeight="1" ht="22.5">
      <c r="A33" s="587"/>
      <c r="B33" s="632"/>
      <c r="C33" s="587"/>
      <c r="D33" s="570" t="str">
        <f>D32&amp;".1"</f>
        <v>6.1</v>
      </c>
      <c r="E33" s="572" t="str">
        <f>"фамилия"&amp;IF(TEMPLATE_SPHERE&lt;&gt;"HEAT"," руководителя","")</f>
        <v>фамилия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05"/>
    </row>
    <row customHeight="1" ht="22.5">
      <c r="A34" s="587"/>
      <c r="B34" s="632"/>
      <c r="C34" s="587"/>
      <c r="D34" s="570" t="str">
        <f>D32&amp;".2"</f>
        <v>6.2</v>
      </c>
      <c r="E34" s="572" t="str">
        <f>"имя"&amp;IF(TEMPLATE_SPHERE&lt;&gt;"HEAT"," руководителя","")</f>
        <v>имя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05"/>
    </row>
    <row customHeight="1" ht="22.5">
      <c r="A35" s="587"/>
      <c r="B35" s="632"/>
      <c r="C35" s="587"/>
      <c r="D35" s="570" t="str">
        <f>D32&amp;".3"</f>
        <v>6.3</v>
      </c>
      <c r="E35" s="572" t="str">
        <f>"отчество"&amp;IF(TEMPLATE_SPHERE&lt;&gt;"HEAT"," руководителя","")</f>
        <v>отчество</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05"/>
    </row>
    <row customHeight="1" ht="33.75">
      <c r="A36" s="587"/>
      <c r="B36" s="632"/>
      <c r="C36" s="587"/>
      <c r="D36" s="570">
        <f>D32+1</f>
        <v>7</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71"/>
      <c r="G36" s="574" t="s">
        <v>418</v>
      </c>
      <c r="H36" s="605"/>
    </row>
    <row customHeight="1" ht="33.75">
      <c r="A37" s="587"/>
      <c r="B37" s="632"/>
      <c r="C37" s="587"/>
      <c r="D37" s="570">
        <f>D36+1</f>
        <v>8</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71"/>
      <c r="G37" s="574" t="s">
        <v>418</v>
      </c>
      <c r="H37" s="605"/>
    </row>
    <row customHeight="1" ht="22.5">
      <c r="A38" s="587"/>
      <c r="B38" s="632"/>
      <c r="C38" s="587"/>
      <c r="D38" s="570">
        <f>D37+1</f>
        <v>9</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73" t="s">
        <v>384</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9.0</v>
      </c>
      <c r="E39" s="1742"/>
      <c r="F39" s="1011"/>
      <c r="G39" s="2251"/>
      <c r="H39" s="605"/>
    </row>
    <row customHeight="1" ht="22.5">
      <c r="A40" s="587"/>
      <c r="B40" s="587"/>
      <c r="C40" s="1825"/>
      <c r="D40" s="570" t="str">
        <f>D38&amp;".1"</f>
        <v>9.1</v>
      </c>
      <c r="E40" s="990"/>
      <c r="F40" s="991"/>
      <c r="G40" s="2251"/>
      <c r="H40" s="605"/>
    </row>
    <row customHeight="1" ht="15">
      <c r="A41" s="587"/>
      <c r="B41" s="632"/>
      <c r="C41" s="587"/>
      <c r="D41" s="597"/>
      <c r="E41" s="545" t="s">
        <v>419</v>
      </c>
      <c r="F41" s="599"/>
      <c r="G41" s="2252"/>
      <c r="H41" s="606"/>
    </row>
    <row customHeight="1" ht="25.5">
      <c r="A42" s="587"/>
      <c r="B42" s="632"/>
      <c r="C42" s="587"/>
      <c r="D42" s="570">
        <f>D38+1</f>
        <v>10</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11</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508"/>
      <c r="G43" s="604" t="s">
        <v>420</v>
      </c>
      <c r="H43" s="605"/>
    </row>
    <row customHeight="1" ht="22.5">
      <c r="A44" s="587"/>
      <c r="B44" s="632"/>
      <c r="C44" s="587"/>
      <c r="D44" s="570">
        <f>D43+1</f>
        <v>12</v>
      </c>
      <c r="E44" s="568" t="s">
        <v>421</v>
      </c>
      <c r="F44" s="573" t="s">
        <v>384</v>
      </c>
      <c r="G44" s="567" t="str">
        <f>IF(TEMPLATE_SPHERE="TKO","Указывается режим работы организации.","")</f>
        <v/>
      </c>
      <c r="H44" s="605"/>
    </row>
    <row customHeight="1" ht="22.5">
      <c r="A45" s="587"/>
      <c r="B45" s="632"/>
      <c r="C45" s="587"/>
      <c r="D45" s="570" t="str">
        <f>D44&amp;".1"</f>
        <v>12.1</v>
      </c>
      <c r="E45" s="572" t="str">
        <f>"режим работы регулируемой организации"&amp;IF(TEMPLATE_SPHERE="HEAT",", ЕТО, ТО","")</f>
        <v>режим работы регулируемой организации, ЕТО, ТО</v>
      </c>
      <c r="F45" s="1821"/>
      <c r="G45" s="567" t="s">
        <v>422</v>
      </c>
      <c r="H45" s="605"/>
    </row>
    <row customHeight="1" ht="22.5">
      <c r="A46" s="2240"/>
      <c r="B46" s="632"/>
      <c r="C46" s="622"/>
      <c r="D46" s="570" t="str">
        <f>D44&amp;".2"</f>
        <v>12.2</v>
      </c>
      <c r="E46" s="572" t="s">
        <v>423</v>
      </c>
      <c r="F46" s="620"/>
      <c r="G46" s="567" t="s">
        <v>424</v>
      </c>
      <c r="H46" s="605"/>
    </row>
    <row customHeight="1" ht="22.5">
      <c r="A47" s="2240"/>
      <c r="B47" s="632"/>
      <c r="C47" s="622"/>
      <c r="D47" s="570" t="str">
        <f>D44&amp;".3"</f>
        <v>12.3</v>
      </c>
      <c r="E47" s="572" t="s">
        <v>425</v>
      </c>
      <c r="F47" s="620"/>
      <c r="G47" s="567" t="s">
        <v>426</v>
      </c>
      <c r="H47" s="605"/>
    </row>
    <row customHeight="1" ht="22.5">
      <c r="A48" s="2240"/>
      <c r="B48" s="632"/>
      <c r="C48" s="622"/>
      <c r="D48" s="570" t="str">
        <f>IF(TEMPLATE_SPHERE="TKO",D44&amp;".0",D44&amp;".4")</f>
        <v>12.4</v>
      </c>
      <c r="E48" s="566" t="s">
        <v>427</v>
      </c>
      <c r="F48" s="1822"/>
      <c r="G48" s="1899" t="s">
        <v>428</v>
      </c>
      <c r="H48" s="605"/>
    </row>
    <row customHeight="1" ht="22.5">
      <c r="A49" s="587"/>
      <c r="B49" s="632"/>
      <c r="C49" s="587"/>
      <c r="D49" s="597"/>
      <c r="E49" s="545" t="s">
        <v>429</v>
      </c>
      <c r="F49" s="598"/>
      <c r="G49" s="1899" t="s">
        <v>430</v>
      </c>
      <c r="H49" s="606"/>
    </row>
    <row customHeight="1" ht="22.5">
      <c r="A50" s="988"/>
      <c r="B50" s="632"/>
      <c r="C50" s="622"/>
      <c r="D50" s="570">
        <f>D44+1</f>
        <v>13</v>
      </c>
      <c r="E50" s="658" t="s">
        <v>431</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05"/>
    </row>
    <row customHeight="1" ht="11.25">
      <c r="A51" s="587"/>
      <c r="B51" s="632"/>
      <c r="C51" s="587"/>
    </row>
    <row s="11426"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5"/>
      <c r="F52" s="2245"/>
      <c r="G52" s="2245"/>
      <c r="H52" s="584"/>
      <c r="I52" s="584"/>
    </row>
    <row s="11426" customFormat="1" customHeight="1" ht="39.75">
      <c r="A53" s="587"/>
      <c r="B53" s="632"/>
      <c r="C53" s="2241"/>
      <c r="D53" s="22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823D9-56DB-2846-8838-67E51AFD246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503" width="9.140625" hidden="1" customWidth="1"/>
    <col min="2" max="2" style="11504" width="9.140625" hidden="1" customWidth="1"/>
    <col min="3" max="3" style="11505" width="3.7109375" customWidth="1"/>
    <col min="4" max="4" style="11504" width="5.57421875" customWidth="1"/>
    <col min="5" max="5" style="11504" width="48.421875" customWidth="1"/>
    <col min="6" max="6" style="11504" width="38.140625" customWidth="1"/>
    <col min="7" max="7" style="11055" width="1.7109375" hidden="1" customWidth="1"/>
    <col min="8" max="11" style="11504" width="19.8515625" customWidth="1"/>
    <col min="12" max="12" style="11504" width="9.7109375" customWidth="1"/>
    <col min="13" max="18" style="11504" width="19.8515625" customWidth="1"/>
    <col min="19" max="19" style="11055" width="1.7109375" hidden="1" customWidth="1"/>
    <col min="20" max="22" style="11506" width="19.8515625" hidden="1" customWidth="1"/>
    <col min="23" max="23" style="11055" width="1.7109375" hidden="1" customWidth="1"/>
    <col min="24" max="26" style="11506" width="19.8515625" hidden="1" customWidth="1"/>
    <col min="27" max="27" style="11055" width="1.7109375" hidden="1" customWidth="1"/>
    <col min="28" max="29" style="11506" width="19.8515625" hidden="1" customWidth="1"/>
    <col min="30" max="30" style="11055" width="1.7109375" hidden="1" customWidth="1"/>
    <col min="31" max="31" style="11504" width="103.7109375" customWidth="1"/>
    <col min="32" max="34" style="11506" width="103.7109375" hidden="1" customWidth="1"/>
    <col min="35" max="35" style="11507" width="3.7109375" customWidth="1"/>
    <col min="36" max="38" style="11508" width="10.57421875"/>
    <col min="39" max="39" style="11508" width="13.7109375" hidden="1" customWidth="1"/>
    <col min="40" max="40" style="11508" width="15.421875" customWidth="1"/>
    <col min="41" max="41" style="11508" width="16.28125" customWidth="1"/>
    <col min="42" max="45" style="11508" width="10.57421875"/>
  </cols>
  <sheetData>
    <row customHeight="1" ht="14.25" hidden="1">
      <c r="E1" s="542"/>
      <c r="F1" s="542"/>
      <c r="G1" s="542"/>
      <c r="H1" s="2256" t="s">
        <v>432</v>
      </c>
      <c r="I1" s="2256"/>
      <c r="J1" s="2256"/>
      <c r="K1" s="2256"/>
      <c r="L1" s="2256"/>
      <c r="M1" s="2256"/>
      <c r="N1" s="2256"/>
      <c r="O1" s="2256"/>
      <c r="P1" s="2256"/>
      <c r="Q1" s="2256"/>
      <c r="R1" s="2256"/>
      <c r="T1" s="2256" t="s">
        <v>433</v>
      </c>
      <c r="U1" s="2256"/>
      <c r="V1" s="2256"/>
      <c r="X1" s="2256" t="s">
        <v>434</v>
      </c>
      <c r="Y1" s="2256"/>
      <c r="Z1" s="2256"/>
      <c r="AB1" s="2256" t="s">
        <v>435</v>
      </c>
      <c r="AC1" s="2256"/>
    </row>
    <row customHeight="1" ht="14.25" hidden="1"/>
    <row s="11441" customFormat="1" customHeight="1" ht="6">
      <c r="C3" s="831"/>
      <c r="D3" s="832"/>
      <c r="E3" s="832"/>
      <c r="F3" s="832"/>
      <c r="G3" s="832"/>
      <c r="H3" s="832" t="s">
        <v>436</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1055" customFormat="1" customHeight="1" ht="17.25">
      <c r="A5" s="889"/>
      <c r="C5" s="952"/>
      <c r="D5" s="2253" t="str">
        <f>IF(org=0,"Не определено",org)</f>
        <v>АО "ДГК"</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1453"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378</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379</v>
      </c>
      <c r="AF7" s="2262" t="s">
        <v>379</v>
      </c>
      <c r="AG7" s="2262" t="s">
        <v>379</v>
      </c>
      <c r="AH7" s="2262" t="s">
        <v>379</v>
      </c>
    </row>
    <row customHeight="1" ht="25.5">
      <c r="C8" s="580"/>
      <c r="D8" s="2167" t="s">
        <v>85</v>
      </c>
      <c r="E8" s="2262" t="str">
        <f>"Наименование "&amp;IF(TEMPLATE_SPHERE&lt;&gt;"HEAT","централизованной ","")&amp;"системы "&amp;TEMPLATE_SPHERE_RUS</f>
        <v>Наименование системы теплоснабжения</v>
      </c>
      <c r="F8" s="2262" t="str">
        <f>IF(TEMPLATE_SPHERE&lt;&gt;"HEAT","Регулируемый вид деятельности","Вид регулируемой деятельности")</f>
        <v>Вид регулируемой деятельности</v>
      </c>
      <c r="G8" s="958"/>
      <c r="H8" s="2263" t="s">
        <v>437</v>
      </c>
      <c r="I8" s="2265" t="s">
        <v>438</v>
      </c>
      <c r="J8" s="2262" t="s">
        <v>439</v>
      </c>
      <c r="K8" s="2262"/>
      <c r="L8" s="2262"/>
      <c r="M8" s="2257"/>
      <c r="N8" s="2262" t="s">
        <v>440</v>
      </c>
      <c r="O8" s="2262"/>
      <c r="P8" s="2262" t="s">
        <v>441</v>
      </c>
      <c r="Q8" s="2262"/>
      <c r="R8" s="2269" t="s">
        <v>442</v>
      </c>
      <c r="S8" s="954"/>
      <c r="T8" s="2267" t="s">
        <v>443</v>
      </c>
      <c r="U8" s="2267" t="s">
        <v>444</v>
      </c>
      <c r="V8" s="2267" t="s">
        <v>445</v>
      </c>
      <c r="W8" s="956"/>
      <c r="X8" s="2267" t="s">
        <v>446</v>
      </c>
      <c r="Y8" s="2267" t="s">
        <v>447</v>
      </c>
      <c r="Z8" s="2267" t="s">
        <v>448</v>
      </c>
      <c r="AA8" s="956"/>
      <c r="AB8" s="2267" t="s">
        <v>449</v>
      </c>
      <c r="AC8" s="2267" t="s">
        <v>442</v>
      </c>
      <c r="AD8" s="956"/>
      <c r="AE8" s="2262"/>
      <c r="AF8" s="2262"/>
      <c r="AG8" s="2262"/>
      <c r="AH8" s="2262"/>
    </row>
    <row customHeight="1" ht="43.5">
      <c r="C9" s="580"/>
      <c r="D9" s="2167"/>
      <c r="E9" s="2262"/>
      <c r="F9" s="2262"/>
      <c r="G9" s="959"/>
      <c r="H9" s="2264"/>
      <c r="I9" s="2266"/>
      <c r="J9" s="555" t="s">
        <v>450</v>
      </c>
      <c r="K9" s="555" t="s">
        <v>451</v>
      </c>
      <c r="L9" s="555" t="s">
        <v>452</v>
      </c>
      <c r="M9" s="561" t="s">
        <v>453</v>
      </c>
      <c r="N9" s="555" t="s">
        <v>454</v>
      </c>
      <c r="O9" s="555" t="s">
        <v>453</v>
      </c>
      <c r="P9" s="555" t="s">
        <v>455</v>
      </c>
      <c r="Q9" s="555" t="s">
        <v>453</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1482" customFormat="1" customHeight="1" ht="11.25" hidden="1">
      <c r="C11" s="628"/>
      <c r="D11" s="629" t="s">
        <v>456</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165</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457</v>
      </c>
      <c r="AF12" s="2260" t="s">
        <v>458</v>
      </c>
      <c r="AG12" s="2260" t="s">
        <v>459</v>
      </c>
      <c r="AH12" s="2260" t="s">
        <v>460</v>
      </c>
      <c r="AI12" s="577"/>
      <c r="AM12" s="641"/>
      <c r="AP12" s="630" t="s">
        <v>461</v>
      </c>
      <c r="AQ12" s="630" t="s">
        <v>461</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F4671-6257-9B8C-1213-1D0D66E0220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531" width="9.140625" hidden="1" customWidth="1"/>
    <col min="2" max="2" style="11532" width="9.140625" hidden="1" customWidth="1"/>
    <col min="3" max="3" style="11505" width="3.7109375" customWidth="1"/>
    <col min="4" max="4" style="11532" width="5.57421875" customWidth="1"/>
    <col min="5" max="5" style="11532" width="38.140625" customWidth="1"/>
    <col min="6" max="7" style="11532" width="3.7109375" customWidth="1"/>
    <col min="8" max="8" style="11532" width="38.28125" customWidth="1"/>
    <col min="9" max="9" style="11532" width="35.7109375" customWidth="1"/>
    <col min="10" max="10" style="11532" width="103.7109375" customWidth="1"/>
    <col min="11" max="11" style="11295" width="3.7109375" customWidth="1"/>
    <col min="12" max="14" style="11533" width="10.57421875"/>
    <col min="15" max="15" style="11533" width="13.7109375" customWidth="1"/>
    <col min="16" max="16" style="11533" width="15.421875" customWidth="1"/>
    <col min="17" max="17" style="11533" width="16.28125" customWidth="1"/>
    <col min="18" max="21" style="11533" width="10.57421875"/>
  </cols>
  <sheetData>
    <row customHeight="1" ht="14.25" hidden="1">
      <c r="E1" s="542"/>
      <c r="F1" s="542"/>
      <c r="G1" s="542"/>
      <c r="H1" s="2256" t="s">
        <v>432</v>
      </c>
      <c r="I1" s="2256"/>
    </row>
    <row s="11509" customFormat="1" customHeight="1" ht="14.25" hidden="1">
      <c r="C2" s="1756"/>
      <c r="D2" s="2272" t="s">
        <v>165</v>
      </c>
      <c r="E2" s="2274"/>
      <c r="F2" s="1762"/>
      <c r="G2" s="1757" t="s">
        <v>165</v>
      </c>
      <c r="H2" s="1760"/>
      <c r="I2" s="1758"/>
      <c r="L2" s="1759"/>
      <c r="M2" s="1759"/>
      <c r="N2" s="1759"/>
      <c r="O2" s="1759" t="s">
        <v>462</v>
      </c>
      <c r="P2" s="1759"/>
      <c r="Q2" s="1759"/>
      <c r="R2" s="1761" t="s">
        <v>461</v>
      </c>
      <c r="S2" s="1761" t="s">
        <v>461</v>
      </c>
      <c r="T2" s="1759"/>
      <c r="U2" s="1759"/>
    </row>
    <row s="11509" customFormat="1" customHeight="1" ht="14.25" hidden="1">
      <c r="C3" s="1756"/>
      <c r="D3" s="2273"/>
      <c r="E3" s="2275"/>
      <c r="F3" s="535"/>
      <c r="G3" s="999"/>
      <c r="H3" s="999" t="s">
        <v>463</v>
      </c>
      <c r="I3" s="443"/>
      <c r="L3" s="1759"/>
      <c r="M3" s="1759"/>
      <c r="N3" s="1759"/>
      <c r="O3" s="1759"/>
      <c r="P3" s="1759"/>
      <c r="Q3" s="1759"/>
      <c r="R3" s="1761"/>
      <c r="S3" s="1761"/>
      <c r="T3" s="1759"/>
      <c r="U3" s="1759"/>
    </row>
    <row customHeight="1" ht="14.25" hidden="1"/>
    <row s="11520" customFormat="1" customHeight="1" ht="6">
      <c r="C5" s="831"/>
      <c r="D5" s="832"/>
      <c r="E5" s="832"/>
      <c r="F5" s="832"/>
      <c r="G5" s="832"/>
      <c r="H5" s="832" t="s">
        <v>436</v>
      </c>
      <c r="I5" s="832"/>
      <c r="J5" s="832"/>
      <c r="L5" s="1751"/>
      <c r="M5" s="1751"/>
      <c r="N5" s="1751"/>
      <c r="O5" s="1751"/>
      <c r="P5" s="1751"/>
      <c r="Q5" s="1751"/>
      <c r="R5" s="1751"/>
      <c r="S5" s="1751"/>
      <c r="T5" s="1751"/>
      <c r="U5" s="1751"/>
    </row>
    <row customHeight="1" ht="27.75">
      <c r="C6" s="1653"/>
      <c r="D6" s="2276" t="s">
        <v>464</v>
      </c>
      <c r="E6" s="2276"/>
      <c r="F6" s="2276"/>
      <c r="G6" s="2276"/>
      <c r="H6" s="2276"/>
      <c r="I6" s="2276"/>
      <c r="J6" s="621"/>
      <c r="K6" s="1752"/>
    </row>
    <row customHeight="1" ht="17.25">
      <c r="C7" s="1653"/>
      <c r="D7" s="2214" t="str">
        <f>IF(org=0,"Не определено",org)</f>
        <v>АО "ДГК"</v>
      </c>
      <c r="E7" s="2214"/>
      <c r="F7" s="2214"/>
      <c r="G7" s="2214"/>
      <c r="H7" s="2214"/>
      <c r="I7" s="2214"/>
      <c r="J7" s="621"/>
      <c r="K7" s="1752"/>
    </row>
    <row s="11525" customFormat="1" customHeight="1" ht="6">
      <c r="A8" s="1748"/>
      <c r="C8" s="616"/>
      <c r="D8" s="615"/>
      <c r="E8" s="615"/>
      <c r="F8" s="615"/>
      <c r="G8" s="615"/>
      <c r="H8" s="615"/>
      <c r="I8" s="615"/>
      <c r="J8" s="615"/>
      <c r="L8" s="1751"/>
      <c r="M8" s="1751"/>
      <c r="N8" s="1751"/>
      <c r="O8" s="1751"/>
      <c r="P8" s="1751"/>
      <c r="Q8" s="1751"/>
      <c r="R8" s="1751"/>
      <c r="S8" s="1751"/>
      <c r="T8" s="1751"/>
      <c r="U8" s="1751"/>
    </row>
    <row s="11525"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378</v>
      </c>
      <c r="E10" s="2258"/>
      <c r="F10" s="2258"/>
      <c r="G10" s="2258"/>
      <c r="H10" s="2258"/>
      <c r="I10" s="2258"/>
      <c r="J10" s="2262" t="s">
        <v>379</v>
      </c>
    </row>
    <row customHeight="1" ht="25.5">
      <c r="C11" s="1653"/>
      <c r="D11" s="2167" t="s">
        <v>85</v>
      </c>
      <c r="E11" s="2262" t="s">
        <v>161</v>
      </c>
      <c r="F11" s="2230" t="s">
        <v>85</v>
      </c>
      <c r="G11" s="2231"/>
      <c r="H11" s="2213" t="s">
        <v>465</v>
      </c>
      <c r="I11" s="2213" t="s">
        <v>466</v>
      </c>
      <c r="J11" s="2262"/>
    </row>
    <row customHeight="1" ht="14.25">
      <c r="C12" s="1653"/>
      <c r="D12" s="2167"/>
      <c r="E12" s="2262"/>
      <c r="F12" s="2238"/>
      <c r="G12" s="2239"/>
      <c r="H12" s="2271"/>
      <c r="I12" s="2271"/>
      <c r="J12" s="2262"/>
    </row>
    <row s="11482" customFormat="1" customHeight="1" ht="11.25" hidden="1">
      <c r="C13" s="628"/>
      <c r="D13" s="629" t="s">
        <v>456</v>
      </c>
      <c r="E13" s="629"/>
      <c r="F13" s="629"/>
      <c r="G13" s="629"/>
      <c r="H13" s="627"/>
      <c r="I13" s="627"/>
      <c r="J13" s="565"/>
      <c r="L13" s="1751"/>
      <c r="M13" s="1751"/>
      <c r="N13" s="1751"/>
      <c r="O13" s="1751"/>
      <c r="P13" s="1751"/>
      <c r="Q13" s="1751"/>
      <c r="R13" s="1751"/>
      <c r="S13" s="1751"/>
      <c r="T13" s="1751"/>
      <c r="U13" s="1751"/>
    </row>
    <row customHeight="1" ht="14.25">
      <c r="A14" s="1744"/>
      <c r="C14" s="1653"/>
      <c r="D14" s="2272" t="s">
        <v>165</v>
      </c>
      <c r="E14" s="2274"/>
      <c r="F14" s="1754"/>
      <c r="G14" s="1753" t="s">
        <v>165</v>
      </c>
      <c r="H14" s="1760"/>
      <c r="I14" s="1758"/>
      <c r="J14" s="2207" t="s">
        <v>467</v>
      </c>
      <c r="K14" s="1744"/>
      <c r="R14" s="630" t="s">
        <v>461</v>
      </c>
      <c r="S14" s="630" t="s">
        <v>461</v>
      </c>
    </row>
    <row customHeight="1" ht="14.25">
      <c r="A15" s="1744"/>
      <c r="C15" s="1653"/>
      <c r="D15" s="2273"/>
      <c r="E15" s="2275"/>
      <c r="F15" s="535"/>
      <c r="G15" s="999"/>
      <c r="H15" s="999" t="s">
        <v>463</v>
      </c>
      <c r="I15" s="443"/>
      <c r="J15" s="2208"/>
      <c r="K15" s="1744"/>
      <c r="R15" s="630"/>
      <c r="S15" s="630"/>
    </row>
    <row customHeight="1" ht="14.25">
      <c r="A16" s="1744"/>
      <c r="C16" s="1653"/>
      <c r="D16" s="535"/>
      <c r="E16" s="999" t="s">
        <v>202</v>
      </c>
      <c r="F16" s="443"/>
      <c r="G16" s="443"/>
      <c r="H16" s="536"/>
      <c r="I16" s="536"/>
      <c r="J16" s="2209"/>
      <c r="K16" s="1744"/>
    </row>
    <row customHeight="1" ht="14.25">
      <c r="K17" s="1744"/>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28F5F-3309-D972-0A7C-41C0364234F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503" width="9.140625" hidden="1" customWidth="1"/>
    <col min="2" max="2" style="11504" width="9.140625" hidden="1" customWidth="1"/>
    <col min="3" max="3" style="11055" width="9.140625" hidden="1" customWidth="1"/>
    <col min="4" max="4" style="11505" width="3.7109375" customWidth="1"/>
    <col min="5" max="5" style="11504" width="6.28125" customWidth="1"/>
    <col min="6" max="6" style="11055" width="1.7109375" hidden="1" customWidth="1"/>
    <col min="7" max="8" style="11504" width="30.7109375" customWidth="1"/>
    <col min="9" max="9" style="11504" width="9.00390625" customWidth="1"/>
    <col min="10" max="10" style="11504" width="12.140625" customWidth="1"/>
    <col min="11" max="11" style="11504" width="46.7109375" customWidth="1"/>
    <col min="12" max="12" style="11504" width="100.28125" customWidth="1"/>
    <col min="13" max="13" style="11507" width="7.57421875" customWidth="1"/>
    <col min="14" max="22" style="11504" width="10.57421875"/>
  </cols>
  <sheetData>
    <row s="11508" customFormat="1" customHeight="1" ht="5.25" hidden="1">
      <c r="C1" s="641"/>
      <c r="D1" s="624"/>
      <c r="F1" s="641"/>
      <c r="G1" s="619" t="s">
        <v>80</v>
      </c>
      <c r="H1" s="619" t="s">
        <v>81</v>
      </c>
      <c r="I1" s="619" t="s">
        <v>82</v>
      </c>
      <c r="P1" s="619" t="s">
        <v>80</v>
      </c>
      <c r="Q1" s="619" t="s">
        <v>81</v>
      </c>
      <c r="R1" s="619" t="s">
        <v>82</v>
      </c>
    </row>
    <row s="11508" customFormat="1" customHeight="1" ht="5.25" hidden="1">
      <c r="C2" s="641"/>
      <c r="D2" s="624"/>
      <c r="F2" s="641"/>
    </row>
    <row s="11453" customFormat="1" customHeight="1" ht="6">
      <c r="A3" s="609"/>
      <c r="D3" s="616"/>
      <c r="E3" s="611"/>
      <c r="F3" s="611"/>
      <c r="G3" s="611"/>
      <c r="H3" s="611"/>
      <c r="I3" s="612"/>
      <c r="J3" s="613"/>
      <c r="K3" s="613"/>
      <c r="L3" s="613"/>
    </row>
    <row customHeight="1" ht="22.5">
      <c r="D4" s="580"/>
      <c r="E4" s="2277" t="s">
        <v>468</v>
      </c>
      <c r="F4" s="2277"/>
      <c r="G4" s="2278"/>
      <c r="H4" s="2278"/>
      <c r="I4" s="2279"/>
      <c r="J4" s="621"/>
      <c r="K4" s="583"/>
      <c r="L4" s="583"/>
    </row>
    <row s="11055" customFormat="1" customHeight="1" ht="17.25">
      <c r="A5" s="889"/>
      <c r="D5" s="952"/>
      <c r="E5" s="2253" t="str">
        <f>IF(org=0,"Не определено",org)</f>
        <v>АО "ДГК"</v>
      </c>
      <c r="F5" s="2253"/>
      <c r="G5" s="2254"/>
      <c r="H5" s="2254"/>
      <c r="I5" s="2255"/>
      <c r="J5" s="621"/>
      <c r="K5" s="583"/>
      <c r="L5" s="583"/>
      <c r="M5" s="637"/>
    </row>
    <row s="11453" customFormat="1" customHeight="1" ht="11.25">
      <c r="A6" s="609"/>
      <c r="D6" s="616"/>
      <c r="E6" s="611"/>
      <c r="F6" s="611"/>
      <c r="G6" s="614"/>
      <c r="H6" s="614"/>
      <c r="I6" s="615"/>
      <c r="J6" s="615"/>
      <c r="K6" s="882"/>
      <c r="L6" s="615"/>
    </row>
    <row customHeight="1" ht="14.25">
      <c r="D7" s="580"/>
      <c r="E7" s="2247" t="s">
        <v>378</v>
      </c>
      <c r="F7" s="2247"/>
      <c r="G7" s="2248"/>
      <c r="H7" s="2248"/>
      <c r="I7" s="2248"/>
      <c r="J7" s="2248"/>
      <c r="K7" s="2248"/>
      <c r="L7" s="2262" t="s">
        <v>379</v>
      </c>
    </row>
    <row customHeight="1" ht="45">
      <c r="D8" s="580"/>
      <c r="E8" s="603" t="s">
        <v>85</v>
      </c>
      <c r="F8" s="953"/>
      <c r="G8" s="595" t="s">
        <v>83</v>
      </c>
      <c r="H8" s="595" t="s">
        <v>84</v>
      </c>
      <c r="I8" s="544" t="s">
        <v>82</v>
      </c>
      <c r="J8" s="544" t="s">
        <v>469</v>
      </c>
      <c r="K8" s="544" t="s">
        <v>470</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471</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1453" customFormat="1" customHeight="1" ht="14.25">
      <c r="A12" s="2139"/>
      <c r="B12" s="634"/>
      <c r="C12" s="634"/>
      <c r="D12" s="996"/>
      <c r="E12" s="953">
        <v>1</v>
      </c>
      <c r="F12" s="994">
        <v>23</v>
      </c>
      <c r="G12" s="993"/>
      <c r="H12" s="923"/>
      <c r="I12" s="921"/>
      <c r="J12" s="650" t="s">
        <v>64</v>
      </c>
      <c r="K12" s="1296" t="s">
        <v>18</v>
      </c>
      <c r="L12" s="2280"/>
      <c r="M12" s="641"/>
      <c r="N12" s="641"/>
      <c r="O12" s="641"/>
      <c r="P12" s="646" t="s">
        <v>472</v>
      </c>
      <c r="Q12" s="646" t="s">
        <v>473</v>
      </c>
      <c r="R12" s="647" t="s">
        <v>474</v>
      </c>
      <c r="S12" s="641" t="s">
        <v>475</v>
      </c>
      <c r="T12" s="641"/>
      <c r="U12" s="641"/>
      <c r="V12" s="641"/>
    </row>
    <row customHeight="1" ht="15">
      <c r="A13" s="2139"/>
      <c r="B13" s="635"/>
      <c r="D13" s="636"/>
      <c r="E13" s="535"/>
      <c r="F13" s="659"/>
      <c r="G13" s="546" t="s">
        <v>99</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96"/>
      <c r="I15" s="596"/>
      <c r="J15" s="596"/>
      <c r="K15" s="596"/>
      <c r="L15" s="596"/>
    </row>
    <row r="18" customHeight="1" ht="14.25">
      <c r="G18" s="63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DA26E-6D29-D537-2227-3CE5213EE3F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1" style="11649" width="11.421875" hidden="1" customWidth="1"/>
    <col min="12" max="12" style="11729" width="19.140625" hidden="1" customWidth="1"/>
    <col min="13" max="14" style="11730" width="12.28125" hidden="1" customWidth="1"/>
    <col min="15" max="15" style="11730" width="23.421875" hidden="1" customWidth="1"/>
    <col min="16" max="16" style="11731" width="3.7109375" customWidth="1"/>
    <col min="17" max="18" style="11732" width="3.7109375" customWidth="1"/>
    <col min="19" max="19" style="11733" width="12.7109375" customWidth="1"/>
    <col min="20" max="20" style="11734" width="35.7109375" customWidth="1"/>
    <col min="21" max="21" style="11734" width="0.140625" customWidth="1"/>
    <col min="22" max="22" style="11734" width="24.7109375" hidden="1" customWidth="1"/>
    <col min="23" max="23" style="11734" width="0.140625" hidden="1" customWidth="1"/>
    <col min="24" max="25" style="11734" width="24.7109375" hidden="1" customWidth="1"/>
    <col min="26" max="26" style="11734" width="11.7109375" hidden="1" customWidth="1"/>
    <col min="27" max="27" style="11734" width="3.7109375" hidden="1" customWidth="1"/>
    <col min="28" max="28" style="11734" width="11.7109375" hidden="1" customWidth="1"/>
    <col min="29" max="29" style="11734" width="8.57421875" hidden="1" customWidth="1"/>
    <col min="30" max="30" style="11734" width="24.7109375" customWidth="1"/>
    <col min="31" max="31" style="11734" width="0.140625" customWidth="1"/>
    <col min="32" max="33" style="11734" width="24.7109375" customWidth="1"/>
    <col min="34" max="34" style="11734" width="11.7109375" customWidth="1"/>
    <col min="35" max="35" style="11734" width="3.7109375" customWidth="1"/>
    <col min="36" max="36" style="11734" width="11.7109375" customWidth="1"/>
    <col min="37" max="37" style="11734" width="8.57421875" hidden="1" customWidth="1"/>
    <col min="38" max="38" style="11734" width="4.7109375" customWidth="1"/>
    <col min="39" max="39" style="11734" width="115.7109375" customWidth="1"/>
    <col min="40" max="41" style="11721" width="10.57421875"/>
    <col min="42" max="42" style="11721" width="11.140625" customWidth="1"/>
    <col min="43" max="44" style="1172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204</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476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477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478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479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480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481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482</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483</v>
      </c>
      <c r="M6" s="667"/>
      <c r="P6" s="2296">
        <v>1</v>
      </c>
      <c r="Q6" s="1442"/>
      <c r="R6" s="486"/>
      <c r="S6" s="1446">
        <f>$I6</f>
      </c>
      <c r="T6" s="415" t="s">
        <v>484</v>
      </c>
      <c r="U6" s="430"/>
      <c r="V6" s="2284"/>
      <c r="W6" s="2285"/>
      <c r="X6" s="2285"/>
      <c r="Y6" s="2285"/>
      <c r="Z6" s="2285"/>
      <c r="AA6" s="2285"/>
      <c r="AB6" s="2285"/>
      <c r="AC6" s="2286"/>
      <c r="AD6" s="2284"/>
      <c r="AE6" s="2285"/>
      <c r="AF6" s="2285"/>
      <c r="AG6" s="2285"/>
      <c r="AH6" s="2285"/>
      <c r="AI6" s="2285"/>
      <c r="AJ6" s="2285"/>
      <c r="AK6" s="2285"/>
      <c r="AL6" s="2286"/>
      <c r="AM6" s="1394" t="s">
        <v>485</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486</v>
      </c>
      <c r="M7" s="667"/>
      <c r="N7" s="1503"/>
      <c r="P7" s="2296"/>
      <c r="Q7" s="2296">
        <v>1</v>
      </c>
      <c r="R7" s="487"/>
      <c r="S7" s="1446">
        <f>$J7</f>
      </c>
      <c r="T7" s="416" t="s">
        <v>487</v>
      </c>
      <c r="U7" s="430"/>
      <c r="V7" s="2284"/>
      <c r="W7" s="2285"/>
      <c r="X7" s="2285"/>
      <c r="Y7" s="2285"/>
      <c r="Z7" s="2285"/>
      <c r="AA7" s="2285"/>
      <c r="AB7" s="2285"/>
      <c r="AC7" s="2286"/>
      <c r="AD7" s="2284"/>
      <c r="AE7" s="2285"/>
      <c r="AF7" s="2285"/>
      <c r="AG7" s="2285"/>
      <c r="AH7" s="2285"/>
      <c r="AI7" s="2285"/>
      <c r="AJ7" s="2285"/>
      <c r="AK7" s="2285"/>
      <c r="AL7" s="2286"/>
      <c r="AM7" s="1394" t="s">
        <v>488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489</v>
      </c>
      <c r="M8" s="667"/>
      <c r="N8" s="1503"/>
      <c r="O8" s="1503"/>
      <c r="P8" s="2296"/>
      <c r="Q8" s="2296"/>
      <c r="R8" s="487">
        <v>1</v>
      </c>
      <c r="S8" s="1446">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490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491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492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493</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630"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494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630"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495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630"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496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64</v>
      </c>
      <c r="AJ17" s="2306"/>
      <c r="AK17" s="2307" t="s">
        <v>64</v>
      </c>
    </row>
    <row customHeight="1" ht="14.25" hidden="1">
      <c r="P18" s="1448"/>
      <c r="AD18" s="1497"/>
      <c r="AE18" s="1497"/>
      <c r="AF18" s="1497"/>
      <c r="AG18" s="458" t="str">
        <f>AH17&amp;"-"&amp;AJ17</f>
        <v>-</v>
      </c>
      <c r="AH18" s="2307"/>
      <c r="AI18" s="2307"/>
      <c r="AJ18" s="2307"/>
      <c r="AK18" s="2307"/>
    </row>
    <row customHeight="1" ht="14.25" hidden="1">
      <c r="P19" s="1448"/>
      <c r="AK19" s="457"/>
    </row>
    <row s="11649" customFormat="1" customHeight="1" ht="22.5" hidden="1">
      <c r="L20" s="1466"/>
      <c r="M20" s="1499"/>
      <c r="N20" s="1499"/>
      <c r="O20" s="1504" t="s">
        <v>497</v>
      </c>
      <c r="P20" s="1499"/>
      <c r="Q20" s="1508"/>
      <c r="R20" s="1508"/>
      <c r="S20" s="859"/>
      <c r="Z20" s="1504"/>
      <c r="AB20" s="1504"/>
      <c r="AC20" s="1503"/>
      <c r="AH20" s="1504"/>
      <c r="AJ20" s="1504"/>
      <c r="AK20" s="1503"/>
      <c r="AN20" s="641"/>
      <c r="AO20" s="641"/>
      <c r="AP20" s="641"/>
      <c r="AQ20" s="641"/>
      <c r="AR20" s="641"/>
    </row>
    <row s="11649" customFormat="1" customHeight="1" ht="14.25" hidden="1">
      <c r="L21" s="1466"/>
      <c r="M21" s="1499"/>
      <c r="N21" s="1499"/>
      <c r="O21" s="1499"/>
      <c r="P21" s="1499"/>
      <c r="Q21" s="1508"/>
      <c r="R21" s="1508"/>
      <c r="S21" s="859"/>
      <c r="AC21" s="1503"/>
      <c r="AK21" s="1503"/>
      <c r="AN21" s="641"/>
      <c r="AO21" s="641"/>
      <c r="AP21" s="641"/>
      <c r="AQ21" s="641"/>
      <c r="AR21" s="641"/>
    </row>
    <row s="11649" customFormat="1" customHeight="1" ht="14.25" hidden="1">
      <c r="L22" s="1466"/>
      <c r="M22" s="1499"/>
      <c r="N22" s="1499"/>
      <c r="O22" s="1501" t="s">
        <v>498</v>
      </c>
      <c r="P22" s="1499"/>
      <c r="Q22" s="1508"/>
      <c r="R22" s="1508"/>
      <c r="S22" s="859"/>
      <c r="T22" s="1292" t="s">
        <v>499</v>
      </c>
      <c r="AA22" s="316" t="s">
        <v>500</v>
      </c>
      <c r="AC22" s="316" t="s">
        <v>501</v>
      </c>
      <c r="AD22" s="1292" t="s">
        <v>499</v>
      </c>
      <c r="AI22" s="316" t="s">
        <v>502</v>
      </c>
      <c r="AK22" s="316" t="s">
        <v>501</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66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662" customFormat="1" customHeight="1" ht="18.75" hidden="1">
      <c r="A30" s="1505"/>
      <c r="B30" s="1505"/>
      <c r="C30" s="1505"/>
      <c r="D30" s="1505"/>
      <c r="E30" s="1505"/>
      <c r="F30" s="1505"/>
      <c r="G30" s="1505"/>
      <c r="H30" s="1505"/>
      <c r="I30" s="1505"/>
      <c r="J30" s="1505"/>
      <c r="K30" s="1505"/>
      <c r="L30" s="1506"/>
      <c r="M30" s="1505"/>
      <c r="N30" s="1505"/>
      <c r="O30" s="1505"/>
      <c r="S30" s="2289" t="s">
        <v>503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662" customFormat="1" customHeight="1" ht="18.75" hidden="1">
      <c r="A31" s="1505"/>
      <c r="B31" s="1505"/>
      <c r="C31" s="1505"/>
      <c r="D31" s="1505"/>
      <c r="E31" s="1505"/>
      <c r="F31" s="1505"/>
      <c r="G31" s="1505"/>
      <c r="H31" s="1505"/>
      <c r="I31" s="1505"/>
      <c r="J31" s="1505"/>
      <c r="K31" s="1505"/>
      <c r="L31" s="1506"/>
      <c r="M31" s="1505"/>
      <c r="N31" s="1505"/>
      <c r="O31" s="1505"/>
      <c r="S31" s="2289" t="s">
        <v>504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66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662" customFormat="1" customHeight="1" ht="18.75" hidden="1">
      <c r="A34" s="1505"/>
      <c r="B34" s="1505"/>
      <c r="C34" s="1505"/>
      <c r="D34" s="1505"/>
      <c r="E34" s="1505"/>
      <c r="F34" s="1505"/>
      <c r="G34" s="1505"/>
      <c r="H34" s="1505"/>
      <c r="I34" s="1505"/>
      <c r="J34" s="1505"/>
      <c r="K34" s="1505"/>
      <c r="L34" s="1506"/>
      <c r="M34" s="1505"/>
      <c r="N34" s="1505"/>
      <c r="O34" s="1505"/>
      <c r="S34" s="2289" t="s">
        <v>505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662" customFormat="1" customHeight="1" ht="18.75" hidden="1">
      <c r="A35" s="1505"/>
      <c r="B35" s="1505"/>
      <c r="C35" s="1505"/>
      <c r="D35" s="1505"/>
      <c r="E35" s="1505"/>
      <c r="F35" s="1505"/>
      <c r="G35" s="1505"/>
      <c r="H35" s="1505"/>
      <c r="I35" s="1505"/>
      <c r="J35" s="1505"/>
      <c r="K35" s="1505"/>
      <c r="L35" s="1506"/>
      <c r="M35" s="1505"/>
      <c r="N35" s="1505"/>
      <c r="O35" s="1505"/>
      <c r="S35" s="2289" t="s">
        <v>506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662"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507</v>
      </c>
      <c r="AD36" s="456"/>
      <c r="AE36" s="456"/>
      <c r="AF36" s="456"/>
      <c r="AG36" s="456"/>
      <c r="AH36" s="456"/>
      <c r="AI36" s="456"/>
      <c r="AJ36" s="456"/>
      <c r="AK36" s="408" t="s">
        <v>507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378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379</v>
      </c>
    </row>
    <row customHeight="1" ht="14.25">
      <c r="Q39" s="506"/>
      <c r="R39" s="506"/>
      <c r="S39" s="2312" t="s">
        <v>85</v>
      </c>
      <c r="T39" s="2248" t="s">
        <v>508</v>
      </c>
      <c r="U39" s="431"/>
      <c r="V39" s="2313" t="s">
        <v>509</v>
      </c>
      <c r="W39" s="2314"/>
      <c r="X39" s="2314"/>
      <c r="Y39" s="2314"/>
      <c r="Z39" s="2314"/>
      <c r="AA39" s="2314"/>
      <c r="AB39" s="2315"/>
      <c r="AC39" s="2316" t="s">
        <v>510</v>
      </c>
      <c r="AD39" s="2313" t="s">
        <v>509</v>
      </c>
      <c r="AE39" s="2314"/>
      <c r="AF39" s="2314"/>
      <c r="AG39" s="2314"/>
      <c r="AH39" s="2314"/>
      <c r="AI39" s="2314"/>
      <c r="AJ39" s="2315"/>
      <c r="AK39" s="2316" t="s">
        <v>511</v>
      </c>
      <c r="AL39" s="2319" t="s">
        <v>512</v>
      </c>
      <c r="AM39" s="2167"/>
    </row>
    <row customHeight="1" ht="33.75">
      <c r="Q40" s="506"/>
      <c r="R40" s="506"/>
      <c r="S40" s="2312"/>
      <c r="T40" s="2248"/>
      <c r="U40" s="1162"/>
      <c r="V40" s="2299" t="s">
        <v>513</v>
      </c>
      <c r="W40" s="2322" t="s">
        <v>514</v>
      </c>
      <c r="X40" s="2301" t="s">
        <v>515</v>
      </c>
      <c r="Y40" s="2302"/>
      <c r="Z40" s="2301" t="s">
        <v>516</v>
      </c>
      <c r="AA40" s="2308"/>
      <c r="AB40" s="2302"/>
      <c r="AC40" s="2317"/>
      <c r="AD40" s="2299" t="s">
        <v>513</v>
      </c>
      <c r="AE40" s="2322" t="s">
        <v>514</v>
      </c>
      <c r="AF40" s="2301" t="s">
        <v>515</v>
      </c>
      <c r="AG40" s="2302"/>
      <c r="AH40" s="2301" t="s">
        <v>516</v>
      </c>
      <c r="AI40" s="2308"/>
      <c r="AJ40" s="2302"/>
      <c r="AK40" s="2317"/>
      <c r="AL40" s="2320"/>
      <c r="AM40" s="2167"/>
    </row>
    <row customHeight="1" ht="33.75">
      <c r="A41" s="1507"/>
      <c r="B41" s="1507" t="s">
        <v>216</v>
      </c>
      <c r="C41" s="1507" t="s">
        <v>217</v>
      </c>
      <c r="D41" s="1507" t="s">
        <v>218</v>
      </c>
      <c r="E41" s="1501" t="s">
        <v>517</v>
      </c>
      <c r="F41" s="1501" t="s">
        <v>518</v>
      </c>
      <c r="G41" s="1501" t="s">
        <v>519</v>
      </c>
      <c r="H41" s="1501" t="s">
        <v>520</v>
      </c>
      <c r="I41" s="1501" t="s">
        <v>521</v>
      </c>
      <c r="J41" s="1501" t="s">
        <v>522</v>
      </c>
      <c r="K41" s="1501" t="s">
        <v>523</v>
      </c>
      <c r="L41" s="1501" t="s">
        <v>498</v>
      </c>
      <c r="Q41" s="506"/>
      <c r="R41" s="506"/>
      <c r="S41" s="2312"/>
      <c r="T41" s="2248"/>
      <c r="U41" s="432"/>
      <c r="V41" s="2300"/>
      <c r="W41" s="2323"/>
      <c r="X41" s="1358" t="s">
        <v>524</v>
      </c>
      <c r="Y41" s="1358" t="s">
        <v>525</v>
      </c>
      <c r="Z41" s="1357" t="s">
        <v>526</v>
      </c>
      <c r="AA41" s="2309" t="s">
        <v>527</v>
      </c>
      <c r="AB41" s="2310"/>
      <c r="AC41" s="2318"/>
      <c r="AD41" s="2300"/>
      <c r="AE41" s="2323"/>
      <c r="AF41" s="1358" t="s">
        <v>524</v>
      </c>
      <c r="AG41" s="1358" t="s">
        <v>525</v>
      </c>
      <c r="AH41" s="1450" t="s">
        <v>526</v>
      </c>
      <c r="AI41" s="2309" t="s">
        <v>527</v>
      </c>
      <c r="AJ41" s="2310"/>
      <c r="AK41" s="2318"/>
      <c r="AL41" s="2321"/>
      <c r="AM41" s="2167"/>
    </row>
    <row s="11482"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165</v>
      </c>
      <c r="T42" s="1391" t="s">
        <v>100</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236</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204</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236</v>
      </c>
      <c r="B44" s="1500" t="s">
        <v>237</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477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478</v>
      </c>
      <c r="AO44" s="630"/>
      <c r="AP44" s="630" t="str">
        <f>IF(T44="","",T44)</f>
        <v>Территория действия тарифа</v>
      </c>
      <c r="AQ44" s="630"/>
      <c r="AR44" s="630"/>
    </row>
    <row customHeight="1" ht="23.25">
      <c r="A45" s="1500" t="s">
        <v>236</v>
      </c>
      <c r="B45" s="1500" t="s">
        <v>237</v>
      </c>
      <c r="C45" s="1500" t="s">
        <v>238</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479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480</v>
      </c>
      <c r="AO45" s="630"/>
      <c r="AP45" s="630" t="str">
        <f>IF(T45="","",T45)</f>
        <v>Наименование системы теплоснабжения </v>
      </c>
      <c r="AQ45" s="630"/>
      <c r="AR45" s="630"/>
    </row>
    <row customHeight="1" ht="23.25">
      <c r="A46" s="1500" t="s">
        <v>236</v>
      </c>
      <c r="B46" s="1500" t="s">
        <v>237</v>
      </c>
      <c r="C46" s="1500" t="s">
        <v>238</v>
      </c>
      <c r="D46" s="1500" t="s">
        <v>239</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481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482</v>
      </c>
      <c r="AO46" s="630"/>
      <c r="AP46" s="630" t="str">
        <f>IF(T46="","",T46)</f>
        <v>Источник тепловой энергии  </v>
      </c>
      <c r="AQ46" s="630"/>
      <c r="AR46" s="630"/>
    </row>
    <row customHeight="1" ht="47.25">
      <c r="A47" s="1500" t="s">
        <v>236</v>
      </c>
      <c r="B47" s="1500" t="s">
        <v>237</v>
      </c>
      <c r="C47" s="1500" t="s">
        <v>238</v>
      </c>
      <c r="D47" s="1500" t="s">
        <v>239</v>
      </c>
      <c r="E47" s="2298"/>
      <c r="F47" s="2298"/>
      <c r="G47" s="2298"/>
      <c r="H47" s="2298"/>
      <c r="I47" s="2295" t="str">
        <f>S46&amp;".1"</f>
        <v>....1</v>
      </c>
      <c r="J47" s="1500"/>
      <c r="K47" s="1500"/>
      <c r="L47" s="1501" t="s">
        <v>483</v>
      </c>
      <c r="P47" s="2296">
        <v>1</v>
      </c>
      <c r="Q47" s="1356"/>
      <c r="R47" s="486"/>
      <c r="S47" s="1360" t="str">
        <f>$I47</f>
        <v>....1</v>
      </c>
      <c r="T47" s="415" t="s">
        <v>484</v>
      </c>
      <c r="U47" s="430"/>
      <c r="V47" s="2284"/>
      <c r="W47" s="2285"/>
      <c r="X47" s="2285"/>
      <c r="Y47" s="2285"/>
      <c r="Z47" s="2285"/>
      <c r="AA47" s="2285"/>
      <c r="AB47" s="2285"/>
      <c r="AC47" s="2286"/>
      <c r="AD47" s="2284"/>
      <c r="AE47" s="2285"/>
      <c r="AF47" s="2285"/>
      <c r="AG47" s="2285"/>
      <c r="AH47" s="2285"/>
      <c r="AI47" s="2285"/>
      <c r="AJ47" s="2285"/>
      <c r="AK47" s="2285"/>
      <c r="AL47" s="2286"/>
      <c r="AM47" s="1394" t="s">
        <v>485</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236</v>
      </c>
      <c r="B48" s="1500" t="s">
        <v>237</v>
      </c>
      <c r="C48" s="1500" t="s">
        <v>238</v>
      </c>
      <c r="D48" s="1500" t="s">
        <v>239</v>
      </c>
      <c r="E48" s="2298"/>
      <c r="F48" s="2298"/>
      <c r="G48" s="2298"/>
      <c r="H48" s="2298"/>
      <c r="I48" s="2325"/>
      <c r="J48" s="2295" t="str">
        <f>I47&amp;".1"</f>
        <v>....1.1</v>
      </c>
      <c r="K48" s="1500"/>
      <c r="L48" s="1501" t="s">
        <v>486</v>
      </c>
      <c r="P48" s="2296"/>
      <c r="Q48" s="2296">
        <v>1</v>
      </c>
      <c r="R48" s="487"/>
      <c r="S48" s="1360" t="str">
        <f>$J48</f>
        <v>....1.1</v>
      </c>
      <c r="T48" s="416" t="s">
        <v>487</v>
      </c>
      <c r="U48" s="430"/>
      <c r="V48" s="2284"/>
      <c r="W48" s="2285"/>
      <c r="X48" s="2285"/>
      <c r="Y48" s="2285"/>
      <c r="Z48" s="2285"/>
      <c r="AA48" s="2285"/>
      <c r="AB48" s="2285"/>
      <c r="AC48" s="2286"/>
      <c r="AD48" s="2284"/>
      <c r="AE48" s="2285"/>
      <c r="AF48" s="2285"/>
      <c r="AG48" s="2285"/>
      <c r="AH48" s="2285"/>
      <c r="AI48" s="2285"/>
      <c r="AJ48" s="2285"/>
      <c r="AK48" s="2285"/>
      <c r="AL48" s="2286"/>
      <c r="AM48" s="1394" t="s">
        <v>488</v>
      </c>
      <c r="AO48" s="630"/>
      <c r="AP48" s="630" t="str">
        <f>IF(T48="","",T48)</f>
        <v>Группа потребителей</v>
      </c>
      <c r="AQ48" s="630"/>
      <c r="AR48" s="630"/>
    </row>
    <row customHeight="1" ht="23.25">
      <c r="A49" s="1500" t="s">
        <v>236</v>
      </c>
      <c r="B49" s="1500" t="s">
        <v>237</v>
      </c>
      <c r="C49" s="1500" t="s">
        <v>238</v>
      </c>
      <c r="D49" s="1500" t="s">
        <v>239</v>
      </c>
      <c r="E49" s="2298"/>
      <c r="F49" s="2298"/>
      <c r="G49" s="2298"/>
      <c r="H49" s="2298"/>
      <c r="I49" s="2325"/>
      <c r="J49" s="2325"/>
      <c r="K49" s="2295" t="str">
        <f>J48&amp;".1"</f>
        <v>....1.1.1</v>
      </c>
      <c r="L49" s="1501" t="s">
        <v>489</v>
      </c>
      <c r="P49" s="2296"/>
      <c r="Q49" s="2296"/>
      <c r="R49" s="487">
        <v>1</v>
      </c>
      <c r="S49" s="1360"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490</v>
      </c>
      <c r="AN49" s="641">
        <f>STRCHECKDATE(V50:AL50)</f>
      </c>
      <c r="AO49" s="630"/>
      <c r="AP49" s="630" t="str">
        <f>IF(T49="","",T49)</f>
        <v/>
      </c>
      <c r="AQ49" s="630"/>
      <c r="AR49" s="630"/>
    </row>
    <row customHeight="1" ht="0.75">
      <c r="A50" s="1500" t="s">
        <v>236</v>
      </c>
      <c r="B50" s="1500" t="s">
        <v>237</v>
      </c>
      <c r="C50" s="1500" t="s">
        <v>238</v>
      </c>
      <c r="D50" s="1500" t="s">
        <v>239</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236</v>
      </c>
      <c r="B51" s="1500" t="s">
        <v>237</v>
      </c>
      <c r="C51" s="1500" t="s">
        <v>238</v>
      </c>
      <c r="D51" s="1500" t="s">
        <v>239</v>
      </c>
      <c r="E51" s="2298"/>
      <c r="F51" s="2298"/>
      <c r="G51" s="2298"/>
      <c r="H51" s="2298"/>
      <c r="I51" s="2325"/>
      <c r="J51" s="2295"/>
      <c r="K51" s="1500"/>
      <c r="L51" s="1501"/>
      <c r="P51" s="2296"/>
      <c r="Q51" s="2296"/>
      <c r="R51" s="486"/>
      <c r="S51" s="1415"/>
      <c r="T51" s="418" t="s">
        <v>491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236</v>
      </c>
      <c r="B52" s="1500" t="s">
        <v>237</v>
      </c>
      <c r="C52" s="1500" t="s">
        <v>238</v>
      </c>
      <c r="D52" s="1500" t="s">
        <v>239</v>
      </c>
      <c r="E52" s="2298"/>
      <c r="F52" s="2298"/>
      <c r="G52" s="2298"/>
      <c r="H52" s="2298"/>
      <c r="I52" s="2295"/>
      <c r="J52" s="1500"/>
      <c r="K52" s="1500"/>
      <c r="L52" s="1501"/>
      <c r="P52" s="2296"/>
      <c r="Q52" s="1356"/>
      <c r="R52" s="486"/>
      <c r="S52" s="1415"/>
      <c r="T52" s="417" t="s">
        <v>492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236</v>
      </c>
      <c r="B53" s="1500" t="s">
        <v>237</v>
      </c>
      <c r="C53" s="1500" t="s">
        <v>238</v>
      </c>
      <c r="D53" s="1500" t="s">
        <v>239</v>
      </c>
      <c r="E53" s="2298"/>
      <c r="F53" s="2298"/>
      <c r="G53" s="2298"/>
      <c r="H53" s="2297"/>
      <c r="I53" s="1500"/>
      <c r="J53" s="1500"/>
      <c r="K53" s="1500"/>
      <c r="L53" s="1501"/>
      <c r="M53" s="1502"/>
      <c r="N53" s="1502"/>
      <c r="O53" s="667"/>
      <c r="P53" s="490"/>
      <c r="Q53" s="505"/>
      <c r="R53" s="485"/>
      <c r="S53" s="1415"/>
      <c r="T53" s="495" t="s">
        <v>493</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630" customFormat="1" customHeight="1" ht="0.75">
      <c r="A54" s="1480" t="s">
        <v>236</v>
      </c>
      <c r="B54" s="1480" t="s">
        <v>237</v>
      </c>
      <c r="C54" s="1480" t="s">
        <v>238</v>
      </c>
      <c r="D54" s="1451"/>
      <c r="E54" s="2298"/>
      <c r="F54" s="2298"/>
      <c r="G54" s="2297"/>
      <c r="H54" s="1451"/>
      <c r="I54" s="1451"/>
      <c r="J54" s="1451"/>
      <c r="K54" s="1451"/>
      <c r="L54" s="1476"/>
      <c r="M54" s="1452"/>
      <c r="N54" s="1452"/>
      <c r="P54" s="1453"/>
      <c r="Q54" s="1454"/>
      <c r="R54" s="1453"/>
      <c r="S54" s="1459"/>
      <c r="T54" s="1462" t="s">
        <v>494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630" customFormat="1" customHeight="1" ht="0.75">
      <c r="A55" s="1480" t="s">
        <v>236</v>
      </c>
      <c r="B55" s="1480" t="s">
        <v>237</v>
      </c>
      <c r="C55" s="1451"/>
      <c r="D55" s="1451"/>
      <c r="E55" s="2298"/>
      <c r="F55" s="2297"/>
      <c r="G55" s="1451"/>
      <c r="H55" s="1451"/>
      <c r="I55" s="1451"/>
      <c r="J55" s="1451"/>
      <c r="K55" s="1451"/>
      <c r="L55" s="1476"/>
      <c r="M55" s="1458"/>
      <c r="N55" s="1458"/>
      <c r="P55" s="1453"/>
      <c r="Q55" s="1454"/>
      <c r="R55" s="1453"/>
      <c r="S55" s="1459"/>
      <c r="T55" s="1462" t="s">
        <v>495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721" customFormat="1" customHeight="1" ht="0.75">
      <c r="A56" s="1480" t="s">
        <v>236</v>
      </c>
      <c r="B56" s="1480"/>
      <c r="C56" s="1480"/>
      <c r="D56" s="1480"/>
      <c r="E56" s="2297"/>
      <c r="F56" s="1480"/>
      <c r="G56" s="1480"/>
      <c r="H56" s="1480"/>
      <c r="I56" s="1480"/>
      <c r="J56" s="1480"/>
      <c r="K56" s="1480"/>
      <c r="L56" s="1483"/>
      <c r="M56" s="1458"/>
      <c r="N56" s="1458"/>
      <c r="O56" s="648"/>
      <c r="P56" s="510"/>
      <c r="Q56" s="1481"/>
      <c r="R56" s="510"/>
      <c r="S56" s="1459"/>
      <c r="T56" s="1462" t="s">
        <v>496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630"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528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26B6C-A419-8169-515E-97C42BB10F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1" style="11649" width="11.421875" hidden="1" customWidth="1"/>
    <col min="12" max="12" style="11729" width="19.140625" hidden="1" customWidth="1"/>
    <col min="13" max="14" style="11730" width="12.28125" hidden="1" customWidth="1"/>
    <col min="15" max="15" style="11730" width="23.421875" hidden="1" customWidth="1"/>
    <col min="16" max="16" style="11742" width="3.7109375" customWidth="1"/>
    <col min="17" max="18" style="11732" width="3.7109375" customWidth="1"/>
    <col min="19" max="19" style="11733" width="12.7109375" customWidth="1"/>
    <col min="20" max="20" style="11734" width="32.00390625" customWidth="1"/>
    <col min="21" max="21" style="11734" width="0.140625" customWidth="1"/>
    <col min="22" max="22" style="11734" width="24.7109375" hidden="1" customWidth="1"/>
    <col min="23" max="23" style="11734" width="0.140625" hidden="1" customWidth="1"/>
    <col min="24" max="25" style="11734" width="24.7109375" hidden="1" customWidth="1"/>
    <col min="26" max="26" style="11734" width="11.7109375" hidden="1" customWidth="1"/>
    <col min="27" max="27" style="11734" width="3.7109375" hidden="1" customWidth="1"/>
    <col min="28" max="28" style="11734" width="11.7109375" hidden="1" customWidth="1"/>
    <col min="29" max="29" style="11734" width="8.57421875" hidden="1" customWidth="1"/>
    <col min="30" max="30" style="11734" width="24.7109375" customWidth="1"/>
    <col min="31" max="31" style="11734" width="0.140625" customWidth="1"/>
    <col min="32" max="33" style="11734" width="24.7109375" customWidth="1"/>
    <col min="34" max="34" style="11734" width="11.7109375" customWidth="1"/>
    <col min="35" max="35" style="11734" width="3.7109375" customWidth="1"/>
    <col min="36" max="36" style="11734" width="11.7109375" customWidth="1"/>
    <col min="37" max="37" style="11734" width="8.57421875" hidden="1" customWidth="1"/>
    <col min="38" max="38" style="11734" width="4.7109375" customWidth="1"/>
    <col min="39" max="39" style="11734" width="115.7109375" customWidth="1"/>
    <col min="40" max="41" style="11721" width="10.57421875"/>
    <col min="42" max="42" style="11721" width="11.140625" customWidth="1"/>
    <col min="43" max="44" style="1172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204</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476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477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478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479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480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481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482</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483</v>
      </c>
      <c r="M6" s="667"/>
      <c r="P6" s="2296">
        <v>1</v>
      </c>
      <c r="Q6" s="1468"/>
      <c r="R6" s="486"/>
      <c r="S6" s="1473">
        <f>$I6</f>
      </c>
      <c r="T6" s="415" t="s">
        <v>484</v>
      </c>
      <c r="U6" s="430"/>
      <c r="V6" s="2284"/>
      <c r="W6" s="2285"/>
      <c r="X6" s="2285"/>
      <c r="Y6" s="2285"/>
      <c r="Z6" s="2285"/>
      <c r="AA6" s="2285"/>
      <c r="AB6" s="2285"/>
      <c r="AC6" s="2286"/>
      <c r="AD6" s="2284"/>
      <c r="AE6" s="2285"/>
      <c r="AF6" s="2285"/>
      <c r="AG6" s="2285"/>
      <c r="AH6" s="2285"/>
      <c r="AI6" s="2285"/>
      <c r="AJ6" s="2285"/>
      <c r="AK6" s="2285"/>
      <c r="AL6" s="2286"/>
      <c r="AM6" s="1394" t="s">
        <v>485</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486</v>
      </c>
      <c r="M7" s="667"/>
      <c r="N7" s="1503"/>
      <c r="P7" s="2296"/>
      <c r="Q7" s="2296">
        <v>1</v>
      </c>
      <c r="R7" s="487"/>
      <c r="S7" s="1473">
        <f>$J7</f>
      </c>
      <c r="T7" s="416" t="s">
        <v>487</v>
      </c>
      <c r="U7" s="430"/>
      <c r="V7" s="2284"/>
      <c r="W7" s="2285"/>
      <c r="X7" s="2285"/>
      <c r="Y7" s="2285"/>
      <c r="Z7" s="2285"/>
      <c r="AA7" s="2285"/>
      <c r="AB7" s="2285"/>
      <c r="AC7" s="2286"/>
      <c r="AD7" s="2284"/>
      <c r="AE7" s="2285"/>
      <c r="AF7" s="2285"/>
      <c r="AG7" s="2285"/>
      <c r="AH7" s="2285"/>
      <c r="AI7" s="2285"/>
      <c r="AJ7" s="2285"/>
      <c r="AK7" s="2285"/>
      <c r="AL7" s="2286"/>
      <c r="AM7" s="1394" t="s">
        <v>488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489</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490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491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492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493</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630"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494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630"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495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630"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496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649" customFormat="1" customHeight="1" ht="22.5" hidden="1">
      <c r="L20" s="1466"/>
      <c r="M20" s="1499"/>
      <c r="N20" s="1499"/>
      <c r="O20" s="1504" t="s">
        <v>497</v>
      </c>
      <c r="P20" s="1499"/>
      <c r="Q20" s="1508"/>
      <c r="R20" s="1508"/>
      <c r="S20" s="859"/>
      <c r="Z20" s="1504"/>
      <c r="AB20" s="1504"/>
      <c r="AC20" s="1503"/>
      <c r="AH20" s="1504"/>
      <c r="AJ20" s="1504"/>
      <c r="AK20" s="1503"/>
      <c r="AN20" s="641"/>
      <c r="AO20" s="641"/>
      <c r="AP20" s="641"/>
      <c r="AQ20" s="641"/>
      <c r="AR20" s="641"/>
    </row>
    <row s="11649" customFormat="1" customHeight="1" ht="14.25" hidden="1">
      <c r="L21" s="1466"/>
      <c r="M21" s="1499"/>
      <c r="N21" s="1499"/>
      <c r="O21" s="1499"/>
      <c r="P21" s="1499"/>
      <c r="Q21" s="1508"/>
      <c r="R21" s="1508"/>
      <c r="S21" s="859"/>
      <c r="AC21" s="1503"/>
      <c r="AK21" s="1503"/>
      <c r="AN21" s="641"/>
      <c r="AO21" s="641"/>
      <c r="AP21" s="641"/>
      <c r="AQ21" s="641"/>
      <c r="AR21" s="641"/>
    </row>
    <row s="11649" customFormat="1" customHeight="1" ht="14.25" hidden="1">
      <c r="L22" s="1466"/>
      <c r="M22" s="1499"/>
      <c r="N22" s="1499"/>
      <c r="O22" s="1501" t="s">
        <v>498</v>
      </c>
      <c r="P22" s="1499"/>
      <c r="Q22" s="1508"/>
      <c r="R22" s="1508"/>
      <c r="S22" s="859"/>
      <c r="T22" s="1292" t="s">
        <v>499</v>
      </c>
      <c r="AA22" s="316" t="s">
        <v>500</v>
      </c>
      <c r="AC22" s="316" t="s">
        <v>501</v>
      </c>
      <c r="AD22" s="1292" t="s">
        <v>499</v>
      </c>
      <c r="AI22" s="316" t="s">
        <v>502</v>
      </c>
      <c r="AK22" s="316" t="s">
        <v>501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66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662" customFormat="1" customHeight="1" ht="18.75" hidden="1">
      <c r="A30" s="1505"/>
      <c r="B30" s="1505"/>
      <c r="C30" s="1505"/>
      <c r="D30" s="1505"/>
      <c r="E30" s="1505"/>
      <c r="F30" s="1505"/>
      <c r="G30" s="1505"/>
      <c r="H30" s="1505"/>
      <c r="I30" s="1505"/>
      <c r="J30" s="1505"/>
      <c r="K30" s="1505"/>
      <c r="L30" s="1506"/>
      <c r="M30" s="1505"/>
      <c r="N30" s="1505"/>
      <c r="O30" s="1505"/>
      <c r="S30" s="2289" t="s">
        <v>503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662" customFormat="1" customHeight="1" ht="18.75" hidden="1">
      <c r="A31" s="1505"/>
      <c r="B31" s="1505"/>
      <c r="C31" s="1505"/>
      <c r="D31" s="1505"/>
      <c r="E31" s="1505"/>
      <c r="F31" s="1505"/>
      <c r="G31" s="1505"/>
      <c r="H31" s="1505"/>
      <c r="I31" s="1505"/>
      <c r="J31" s="1505"/>
      <c r="K31" s="1505"/>
      <c r="L31" s="1506"/>
      <c r="M31" s="1505"/>
      <c r="N31" s="1505"/>
      <c r="O31" s="1505"/>
      <c r="S31" s="2289" t="s">
        <v>504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66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662" customFormat="1" customHeight="1" ht="18.75" hidden="1">
      <c r="A34" s="1505"/>
      <c r="B34" s="1505"/>
      <c r="C34" s="1505"/>
      <c r="D34" s="1505"/>
      <c r="E34" s="1505"/>
      <c r="F34" s="1505"/>
      <c r="G34" s="1505"/>
      <c r="H34" s="1505"/>
      <c r="I34" s="1505"/>
      <c r="J34" s="1505"/>
      <c r="K34" s="1505"/>
      <c r="L34" s="1506"/>
      <c r="M34" s="1505"/>
      <c r="N34" s="1505"/>
      <c r="O34" s="1505"/>
      <c r="S34" s="2289" t="s">
        <v>505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662" customFormat="1" customHeight="1" ht="18.75" hidden="1">
      <c r="A35" s="1505"/>
      <c r="B35" s="1505"/>
      <c r="C35" s="1505"/>
      <c r="D35" s="1505"/>
      <c r="E35" s="1505"/>
      <c r="F35" s="1505"/>
      <c r="G35" s="1505"/>
      <c r="H35" s="1505"/>
      <c r="I35" s="1505"/>
      <c r="J35" s="1505"/>
      <c r="K35" s="1505"/>
      <c r="L35" s="1506"/>
      <c r="M35" s="1505"/>
      <c r="N35" s="1505"/>
      <c r="O35" s="1505"/>
      <c r="S35" s="2289" t="s">
        <v>506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66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507</v>
      </c>
      <c r="AD36" s="456"/>
      <c r="AE36" s="456"/>
      <c r="AF36" s="456"/>
      <c r="AG36" s="456"/>
      <c r="AH36" s="456"/>
      <c r="AI36" s="456"/>
      <c r="AJ36" s="456"/>
      <c r="AK36" s="408" t="s">
        <v>507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378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379</v>
      </c>
    </row>
    <row customHeight="1" ht="14.25">
      <c r="Q39" s="506"/>
      <c r="R39" s="506"/>
      <c r="S39" s="2312" t="s">
        <v>85</v>
      </c>
      <c r="T39" s="2248" t="s">
        <v>508</v>
      </c>
      <c r="U39" s="431"/>
      <c r="V39" s="2313" t="s">
        <v>509</v>
      </c>
      <c r="W39" s="2314"/>
      <c r="X39" s="2314"/>
      <c r="Y39" s="2314"/>
      <c r="Z39" s="2314"/>
      <c r="AA39" s="2314"/>
      <c r="AB39" s="2315"/>
      <c r="AC39" s="2316" t="s">
        <v>510</v>
      </c>
      <c r="AD39" s="2313" t="s">
        <v>509</v>
      </c>
      <c r="AE39" s="2314"/>
      <c r="AF39" s="2314"/>
      <c r="AG39" s="2314"/>
      <c r="AH39" s="2314"/>
      <c r="AI39" s="2314"/>
      <c r="AJ39" s="2315"/>
      <c r="AK39" s="2316" t="s">
        <v>511</v>
      </c>
      <c r="AL39" s="2319" t="s">
        <v>512</v>
      </c>
      <c r="AM39" s="2167"/>
    </row>
    <row customHeight="1" ht="33.75">
      <c r="Q40" s="506"/>
      <c r="R40" s="506"/>
      <c r="S40" s="2312"/>
      <c r="T40" s="2248"/>
      <c r="U40" s="1162"/>
      <c r="V40" s="2299" t="s">
        <v>513</v>
      </c>
      <c r="W40" s="2322" t="s">
        <v>514</v>
      </c>
      <c r="X40" s="2301" t="s">
        <v>515</v>
      </c>
      <c r="Y40" s="2302"/>
      <c r="Z40" s="2301" t="s">
        <v>529</v>
      </c>
      <c r="AA40" s="2308"/>
      <c r="AB40" s="2302"/>
      <c r="AC40" s="2317"/>
      <c r="AD40" s="2299" t="s">
        <v>513</v>
      </c>
      <c r="AE40" s="2322" t="s">
        <v>514</v>
      </c>
      <c r="AF40" s="2301" t="s">
        <v>515</v>
      </c>
      <c r="AG40" s="2302"/>
      <c r="AH40" s="2301" t="s">
        <v>516</v>
      </c>
      <c r="AI40" s="2308"/>
      <c r="AJ40" s="2302"/>
      <c r="AK40" s="2317"/>
      <c r="AL40" s="2320"/>
      <c r="AM40" s="2167"/>
    </row>
    <row customHeight="1" ht="33.75">
      <c r="A41" s="1507"/>
      <c r="B41" s="1507" t="s">
        <v>216</v>
      </c>
      <c r="C41" s="1507" t="s">
        <v>217</v>
      </c>
      <c r="D41" s="1507" t="s">
        <v>218</v>
      </c>
      <c r="E41" s="1501" t="s">
        <v>517</v>
      </c>
      <c r="F41" s="1501" t="s">
        <v>518</v>
      </c>
      <c r="G41" s="1501" t="s">
        <v>519</v>
      </c>
      <c r="H41" s="1501" t="s">
        <v>520</v>
      </c>
      <c r="I41" s="1501" t="s">
        <v>521</v>
      </c>
      <c r="J41" s="1501" t="s">
        <v>522</v>
      </c>
      <c r="K41" s="1501" t="s">
        <v>523</v>
      </c>
      <c r="L41" s="1501" t="s">
        <v>498</v>
      </c>
      <c r="Q41" s="506"/>
      <c r="R41" s="506"/>
      <c r="S41" s="2312"/>
      <c r="T41" s="2248"/>
      <c r="U41" s="432"/>
      <c r="V41" s="2300"/>
      <c r="W41" s="2323"/>
      <c r="X41" s="1358" t="s">
        <v>524</v>
      </c>
      <c r="Y41" s="1358" t="s">
        <v>525</v>
      </c>
      <c r="Z41" s="1475" t="s">
        <v>526</v>
      </c>
      <c r="AA41" s="2309" t="s">
        <v>527</v>
      </c>
      <c r="AB41" s="2310"/>
      <c r="AC41" s="2318"/>
      <c r="AD41" s="2300"/>
      <c r="AE41" s="2323"/>
      <c r="AF41" s="1358" t="s">
        <v>524</v>
      </c>
      <c r="AG41" s="1358" t="s">
        <v>525</v>
      </c>
      <c r="AH41" s="1475" t="s">
        <v>526</v>
      </c>
      <c r="AI41" s="2309" t="s">
        <v>527</v>
      </c>
      <c r="AJ41" s="2310"/>
      <c r="AK41" s="2318"/>
      <c r="AL41" s="2321"/>
      <c r="AM41" s="2167"/>
    </row>
    <row s="11482"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165</v>
      </c>
      <c r="T42" s="1391" t="s">
        <v>100</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242</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204</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242</v>
      </c>
      <c r="B44" s="1500" t="s">
        <v>243</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477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478</v>
      </c>
      <c r="AO44" s="630"/>
      <c r="AP44" s="630" t="str">
        <f>IF(T44="","",T44)</f>
        <v>Территория действия тарифа</v>
      </c>
      <c r="AQ44" s="630"/>
      <c r="AR44" s="630"/>
    </row>
    <row customHeight="1" ht="23.25">
      <c r="A45" s="1500" t="s">
        <v>242</v>
      </c>
      <c r="B45" s="1500" t="s">
        <v>243</v>
      </c>
      <c r="C45" s="1500" t="s">
        <v>244</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479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480</v>
      </c>
      <c r="AO45" s="630"/>
      <c r="AP45" s="630" t="str">
        <f>IF(T45="","",T45)</f>
        <v>Наименование системы теплоснабжения </v>
      </c>
      <c r="AQ45" s="630"/>
      <c r="AR45" s="630"/>
    </row>
    <row customHeight="1" ht="21">
      <c r="A46" s="1500" t="s">
        <v>242</v>
      </c>
      <c r="B46" s="1500" t="s">
        <v>243</v>
      </c>
      <c r="C46" s="1500" t="s">
        <v>244</v>
      </c>
      <c r="D46" s="1500" t="s">
        <v>245</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481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482</v>
      </c>
      <c r="AO46" s="630"/>
      <c r="AP46" s="630" t="str">
        <f>IF(T46="","",T46)</f>
        <v>Источник тепловой энергии  </v>
      </c>
      <c r="AQ46" s="630"/>
      <c r="AR46" s="630"/>
    </row>
    <row customHeight="1" ht="47.25">
      <c r="A47" s="1500" t="s">
        <v>242</v>
      </c>
      <c r="B47" s="1500" t="s">
        <v>243</v>
      </c>
      <c r="C47" s="1500" t="s">
        <v>244</v>
      </c>
      <c r="D47" s="1500" t="s">
        <v>245</v>
      </c>
      <c r="E47" s="2298"/>
      <c r="F47" s="2298"/>
      <c r="G47" s="2298"/>
      <c r="H47" s="2298"/>
      <c r="I47" s="2295" t="str">
        <f>S46&amp;".1"</f>
        <v>....1</v>
      </c>
      <c r="J47" s="1500"/>
      <c r="K47" s="1500"/>
      <c r="L47" s="1501" t="s">
        <v>483</v>
      </c>
      <c r="P47" s="2296">
        <v>1</v>
      </c>
      <c r="Q47" s="1468"/>
      <c r="R47" s="486"/>
      <c r="S47" s="1473" t="str">
        <f>$I47</f>
        <v>....1</v>
      </c>
      <c r="T47" s="415" t="s">
        <v>484</v>
      </c>
      <c r="U47" s="430"/>
      <c r="V47" s="2284"/>
      <c r="W47" s="2285"/>
      <c r="X47" s="2285"/>
      <c r="Y47" s="2285"/>
      <c r="Z47" s="2285"/>
      <c r="AA47" s="2285"/>
      <c r="AB47" s="2285"/>
      <c r="AC47" s="2286"/>
      <c r="AD47" s="2284"/>
      <c r="AE47" s="2285"/>
      <c r="AF47" s="2285"/>
      <c r="AG47" s="2285"/>
      <c r="AH47" s="2285"/>
      <c r="AI47" s="2285"/>
      <c r="AJ47" s="2285"/>
      <c r="AK47" s="2285"/>
      <c r="AL47" s="2286"/>
      <c r="AM47" s="1394" t="s">
        <v>485</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242</v>
      </c>
      <c r="B48" s="1500" t="s">
        <v>243</v>
      </c>
      <c r="C48" s="1500" t="s">
        <v>244</v>
      </c>
      <c r="D48" s="1500" t="s">
        <v>245</v>
      </c>
      <c r="E48" s="2298"/>
      <c r="F48" s="2298"/>
      <c r="G48" s="2298"/>
      <c r="H48" s="2298"/>
      <c r="I48" s="2325"/>
      <c r="J48" s="2295" t="str">
        <f>I47&amp;".1"</f>
        <v>....1.1</v>
      </c>
      <c r="K48" s="1500"/>
      <c r="L48" s="1501" t="s">
        <v>486</v>
      </c>
      <c r="P48" s="2296"/>
      <c r="Q48" s="2296">
        <v>1</v>
      </c>
      <c r="R48" s="487"/>
      <c r="S48" s="1473" t="str">
        <f>$J48</f>
        <v>....1.1</v>
      </c>
      <c r="T48" s="416" t="s">
        <v>487</v>
      </c>
      <c r="U48" s="430"/>
      <c r="V48" s="2284"/>
      <c r="W48" s="2285"/>
      <c r="X48" s="2285"/>
      <c r="Y48" s="2285"/>
      <c r="Z48" s="2285"/>
      <c r="AA48" s="2285"/>
      <c r="AB48" s="2285"/>
      <c r="AC48" s="2286"/>
      <c r="AD48" s="2284"/>
      <c r="AE48" s="2285"/>
      <c r="AF48" s="2285"/>
      <c r="AG48" s="2285"/>
      <c r="AH48" s="2285"/>
      <c r="AI48" s="2285"/>
      <c r="AJ48" s="2285"/>
      <c r="AK48" s="2285"/>
      <c r="AL48" s="2286"/>
      <c r="AM48" s="1394" t="s">
        <v>488</v>
      </c>
      <c r="AO48" s="630"/>
      <c r="AP48" s="630" t="str">
        <f>IF(T48="","",T48)</f>
        <v>Группа потребителей</v>
      </c>
      <c r="AQ48" s="630"/>
      <c r="AR48" s="630"/>
    </row>
    <row customHeight="1" ht="21">
      <c r="A49" s="1500" t="s">
        <v>242</v>
      </c>
      <c r="B49" s="1500" t="s">
        <v>243</v>
      </c>
      <c r="C49" s="1500" t="s">
        <v>244</v>
      </c>
      <c r="D49" s="1500" t="s">
        <v>245</v>
      </c>
      <c r="E49" s="2298"/>
      <c r="F49" s="2298"/>
      <c r="G49" s="2298"/>
      <c r="H49" s="2298"/>
      <c r="I49" s="2325"/>
      <c r="J49" s="2325"/>
      <c r="K49" s="2295" t="str">
        <f>J48&amp;".1"</f>
        <v>....1.1.1</v>
      </c>
      <c r="L49" s="1501" t="s">
        <v>489</v>
      </c>
      <c r="P49" s="2296"/>
      <c r="Q49" s="2296"/>
      <c r="R49" s="487">
        <v>1</v>
      </c>
      <c r="S49" s="1473"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490</v>
      </c>
      <c r="AN49" s="641">
        <f>STRCHECKDATE(V50:AL50)</f>
      </c>
      <c r="AO49" s="630"/>
      <c r="AP49" s="630" t="str">
        <f>IF(T49="","",T49)</f>
        <v/>
      </c>
      <c r="AQ49" s="630"/>
      <c r="AR49" s="630"/>
    </row>
    <row customHeight="1" ht="0.75">
      <c r="A50" s="1500" t="s">
        <v>242</v>
      </c>
      <c r="B50" s="1500" t="s">
        <v>243</v>
      </c>
      <c r="C50" s="1500" t="s">
        <v>244</v>
      </c>
      <c r="D50" s="1500" t="s">
        <v>245</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242</v>
      </c>
      <c r="B51" s="1500" t="s">
        <v>243</v>
      </c>
      <c r="C51" s="1500" t="s">
        <v>244</v>
      </c>
      <c r="D51" s="1500" t="s">
        <v>245</v>
      </c>
      <c r="E51" s="2298"/>
      <c r="F51" s="2298"/>
      <c r="G51" s="2298"/>
      <c r="H51" s="2298"/>
      <c r="I51" s="2325"/>
      <c r="J51" s="2295"/>
      <c r="K51" s="1500"/>
      <c r="L51" s="1501"/>
      <c r="P51" s="2296"/>
      <c r="Q51" s="2296"/>
      <c r="R51" s="486"/>
      <c r="S51" s="1415"/>
      <c r="T51" s="418" t="s">
        <v>491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242</v>
      </c>
      <c r="B52" s="1500" t="s">
        <v>243</v>
      </c>
      <c r="C52" s="1500" t="s">
        <v>244</v>
      </c>
      <c r="D52" s="1500" t="s">
        <v>245</v>
      </c>
      <c r="E52" s="2298"/>
      <c r="F52" s="2298"/>
      <c r="G52" s="2298"/>
      <c r="H52" s="2298"/>
      <c r="I52" s="2295"/>
      <c r="J52" s="1500"/>
      <c r="K52" s="1500"/>
      <c r="L52" s="1501"/>
      <c r="P52" s="2296"/>
      <c r="Q52" s="1468"/>
      <c r="R52" s="486"/>
      <c r="S52" s="1415"/>
      <c r="T52" s="417" t="s">
        <v>492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242</v>
      </c>
      <c r="B53" s="1500" t="s">
        <v>243</v>
      </c>
      <c r="C53" s="1500" t="s">
        <v>244</v>
      </c>
      <c r="D53" s="1500" t="s">
        <v>245</v>
      </c>
      <c r="E53" s="2298"/>
      <c r="F53" s="2298"/>
      <c r="G53" s="2298"/>
      <c r="H53" s="2297"/>
      <c r="I53" s="1500"/>
      <c r="J53" s="1500"/>
      <c r="K53" s="1500"/>
      <c r="L53" s="1501"/>
      <c r="M53" s="1502"/>
      <c r="N53" s="1502"/>
      <c r="O53" s="667"/>
      <c r="P53" s="490"/>
      <c r="Q53" s="505"/>
      <c r="R53" s="485"/>
      <c r="S53" s="1415"/>
      <c r="T53" s="495" t="s">
        <v>493</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630" customFormat="1" customHeight="1" ht="0.75">
      <c r="A54" s="1480" t="s">
        <v>242</v>
      </c>
      <c r="B54" s="1480" t="s">
        <v>243</v>
      </c>
      <c r="C54" s="1480" t="s">
        <v>244</v>
      </c>
      <c r="D54" s="1451"/>
      <c r="E54" s="2298"/>
      <c r="F54" s="2298"/>
      <c r="G54" s="2297"/>
      <c r="H54" s="1451"/>
      <c r="I54" s="1451"/>
      <c r="J54" s="1451"/>
      <c r="K54" s="1451"/>
      <c r="L54" s="1476"/>
      <c r="M54" s="1452"/>
      <c r="N54" s="1452"/>
      <c r="P54" s="1453"/>
      <c r="Q54" s="1454"/>
      <c r="R54" s="1453"/>
      <c r="S54" s="1459"/>
      <c r="T54" s="1462" t="s">
        <v>494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630" customFormat="1" customHeight="1" ht="0.75">
      <c r="A55" s="1480" t="s">
        <v>242</v>
      </c>
      <c r="B55" s="1480" t="s">
        <v>243</v>
      </c>
      <c r="C55" s="1451"/>
      <c r="D55" s="1451"/>
      <c r="E55" s="2298"/>
      <c r="F55" s="2297"/>
      <c r="G55" s="1451"/>
      <c r="H55" s="1451"/>
      <c r="I55" s="1451"/>
      <c r="J55" s="1451"/>
      <c r="K55" s="1451"/>
      <c r="L55" s="1476"/>
      <c r="M55" s="1458"/>
      <c r="N55" s="1458"/>
      <c r="P55" s="1453"/>
      <c r="Q55" s="1454"/>
      <c r="R55" s="1453"/>
      <c r="S55" s="1459"/>
      <c r="T55" s="1462" t="s">
        <v>495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721" customFormat="1" customHeight="1" ht="0.75">
      <c r="A56" s="1480" t="s">
        <v>242</v>
      </c>
      <c r="B56" s="1480"/>
      <c r="C56" s="1480"/>
      <c r="D56" s="1480"/>
      <c r="E56" s="2297"/>
      <c r="F56" s="1480"/>
      <c r="G56" s="1480"/>
      <c r="H56" s="1480"/>
      <c r="I56" s="1480"/>
      <c r="J56" s="1480"/>
      <c r="K56" s="1480"/>
      <c r="L56" s="1483"/>
      <c r="M56" s="1458"/>
      <c r="N56" s="1458"/>
      <c r="O56" s="648"/>
      <c r="P56" s="510"/>
      <c r="Q56" s="1481"/>
      <c r="R56" s="510"/>
      <c r="S56" s="1459"/>
      <c r="T56" s="1462" t="s">
        <v>496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630"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528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2ECA1-54B2-0487-5E5C-BC0151CB8A0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775" width="10.57421875" hidden="1"/>
    <col min="2" max="2" style="11775" width="11.00390625" hidden="1" customWidth="1"/>
    <col min="3" max="3" style="11775" width="10.57421875" hidden="1"/>
    <col min="4" max="4" style="11775" width="11.8515625" hidden="1" customWidth="1"/>
    <col min="5" max="5" style="11775" width="10.00390625" hidden="1" customWidth="1"/>
    <col min="6" max="6" style="11775" width="8.7109375" hidden="1" customWidth="1"/>
    <col min="7" max="7" style="11775" width="7.57421875" hidden="1" customWidth="1"/>
    <col min="8" max="8" style="11775" width="11.421875" hidden="1" customWidth="1"/>
    <col min="9" max="9" style="11775" width="12.00390625" hidden="1" customWidth="1"/>
    <col min="10" max="10" style="11775" width="9.8515625" hidden="1" customWidth="1"/>
    <col min="11" max="11" style="11775" width="11.421875" hidden="1" customWidth="1"/>
    <col min="12" max="12" style="11776" width="19.140625" hidden="1" customWidth="1"/>
    <col min="13" max="14" style="11777" width="12.28125" hidden="1" customWidth="1"/>
    <col min="15" max="15" style="11777" width="23.421875" hidden="1" customWidth="1"/>
    <col min="16" max="16" style="11777" width="3.7109375" customWidth="1"/>
    <col min="17" max="18" style="11732" width="3.7109375" customWidth="1"/>
    <col min="19" max="19" style="11733" width="12.7109375" customWidth="1"/>
    <col min="20" max="20" style="11775" width="32.00390625" customWidth="1"/>
    <col min="21" max="21" style="11775" width="0.140625" customWidth="1"/>
    <col min="22" max="22" style="11775" width="24.7109375" hidden="1" customWidth="1"/>
    <col min="23" max="23" style="11775" width="0.140625" hidden="1" customWidth="1"/>
    <col min="24" max="25" style="11775" width="24.7109375" hidden="1" customWidth="1"/>
    <col min="26" max="26" style="11775" width="11.7109375" hidden="1" customWidth="1"/>
    <col min="27" max="27" style="11775" width="3.7109375" hidden="1" customWidth="1"/>
    <col min="28" max="28" style="11775" width="11.7109375" hidden="1" customWidth="1"/>
    <col min="29" max="29" style="11775" width="8.57421875" hidden="1" customWidth="1"/>
    <col min="30" max="30" style="11775" width="24.7109375" customWidth="1"/>
    <col min="31" max="31" style="11775" width="0.140625" customWidth="1"/>
    <col min="32" max="33" style="11775" width="24.7109375" customWidth="1"/>
    <col min="34" max="34" style="11775" width="11.7109375" customWidth="1"/>
    <col min="35" max="35" style="11775" width="3.7109375" customWidth="1"/>
    <col min="36" max="36" style="11775" width="11.7109375" customWidth="1"/>
    <col min="37" max="37" style="11775" width="8.57421875" hidden="1" customWidth="1"/>
    <col min="38" max="38" style="11775" width="4.7109375" customWidth="1"/>
    <col min="39" max="39" style="11775" width="115.7109375" customWidth="1"/>
    <col min="40" max="41" style="11773" width="10.57421875"/>
    <col min="42" max="42" style="11773" width="11.140625" customWidth="1"/>
    <col min="43" max="44" style="1177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204</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476</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477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478</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479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480</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481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482</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483</v>
      </c>
      <c r="M6" s="1772"/>
      <c r="P6" s="2296">
        <v>1</v>
      </c>
      <c r="Q6" s="2093"/>
      <c r="R6" s="486"/>
      <c r="S6" s="2097">
        <f>$I6</f>
      </c>
      <c r="T6" s="415" t="s">
        <v>484</v>
      </c>
      <c r="U6" s="430"/>
      <c r="V6" s="2284"/>
      <c r="W6" s="2285"/>
      <c r="X6" s="2285"/>
      <c r="Y6" s="2285"/>
      <c r="Z6" s="2285"/>
      <c r="AA6" s="2285"/>
      <c r="AB6" s="2285"/>
      <c r="AC6" s="2286"/>
      <c r="AD6" s="2284"/>
      <c r="AE6" s="2285"/>
      <c r="AF6" s="2285"/>
      <c r="AG6" s="2285"/>
      <c r="AH6" s="2285"/>
      <c r="AI6" s="2285"/>
      <c r="AJ6" s="2285"/>
      <c r="AK6" s="2285"/>
      <c r="AL6" s="2286"/>
      <c r="AM6" s="1394" t="s">
        <v>485</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486</v>
      </c>
      <c r="M7" s="1772"/>
      <c r="N7" s="1768"/>
      <c r="P7" s="2296"/>
      <c r="Q7" s="2296">
        <v>1</v>
      </c>
      <c r="R7" s="487"/>
      <c r="S7" s="2097">
        <f>$J7</f>
      </c>
      <c r="T7" s="416" t="s">
        <v>487</v>
      </c>
      <c r="U7" s="430"/>
      <c r="V7" s="2284"/>
      <c r="W7" s="2285"/>
      <c r="X7" s="2285"/>
      <c r="Y7" s="2285"/>
      <c r="Z7" s="2285"/>
      <c r="AA7" s="2285"/>
      <c r="AB7" s="2285"/>
      <c r="AC7" s="2286"/>
      <c r="AD7" s="2284"/>
      <c r="AE7" s="2285"/>
      <c r="AF7" s="2285"/>
      <c r="AG7" s="2285"/>
      <c r="AH7" s="2285"/>
      <c r="AI7" s="2285"/>
      <c r="AJ7" s="2285"/>
      <c r="AK7" s="2285"/>
      <c r="AL7" s="2286"/>
      <c r="AM7" s="1394" t="s">
        <v>488</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489</v>
      </c>
      <c r="M8" s="1772"/>
      <c r="N8" s="1768"/>
      <c r="O8" s="1768"/>
      <c r="P8" s="2296"/>
      <c r="Q8" s="2296"/>
      <c r="R8" s="487">
        <v>1</v>
      </c>
      <c r="S8" s="2097">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490</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491</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492</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493</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753"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494</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753"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495</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753"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496</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row s="11760" customFormat="1" customHeight="1" ht="14.25" hidden="1">
      <c r="A20" s="1768"/>
      <c r="B20" s="1768"/>
      <c r="C20" s="1768"/>
      <c r="D20" s="1768"/>
      <c r="E20" s="1768"/>
      <c r="F20" s="1768"/>
      <c r="G20" s="1768"/>
      <c r="H20" s="1768"/>
      <c r="I20" s="1768"/>
      <c r="J20" s="1768"/>
      <c r="K20" s="1768"/>
      <c r="L20" s="2078"/>
      <c r="M20" s="2107"/>
      <c r="N20" s="2107"/>
      <c r="O20" s="1482" t="s">
        <v>497</v>
      </c>
      <c r="P20" s="1499"/>
      <c r="Q20" s="1508"/>
      <c r="R20" s="1508"/>
      <c r="S20" s="859"/>
      <c r="Z20" s="1504"/>
      <c r="AB20" s="1504"/>
      <c r="AH20" s="1504"/>
      <c r="AJ20" s="1504"/>
      <c r="AN20" s="1773"/>
      <c r="AO20" s="1773"/>
      <c r="AP20" s="1773"/>
      <c r="AQ20" s="1773"/>
      <c r="AR20" s="1773"/>
    </row>
    <row s="11760"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760" customFormat="1" customHeight="1" ht="14.25" hidden="1">
      <c r="A22" s="1768"/>
      <c r="B22" s="1768"/>
      <c r="C22" s="1768"/>
      <c r="D22" s="1768"/>
      <c r="E22" s="1768"/>
      <c r="F22" s="1768"/>
      <c r="G22" s="1768"/>
      <c r="H22" s="1768"/>
      <c r="I22" s="1768"/>
      <c r="J22" s="1768"/>
      <c r="K22" s="1768"/>
      <c r="L22" s="2078"/>
      <c r="M22" s="2107"/>
      <c r="N22" s="2107"/>
      <c r="O22" s="1447" t="s">
        <v>498</v>
      </c>
      <c r="P22" s="1499"/>
      <c r="Q22" s="1508"/>
      <c r="R22" s="1508"/>
      <c r="S22" s="859"/>
      <c r="T22" s="1503" t="s">
        <v>499</v>
      </c>
      <c r="AA22" s="725" t="s">
        <v>500</v>
      </c>
      <c r="AC22" s="725" t="s">
        <v>501</v>
      </c>
      <c r="AD22" s="1503" t="s">
        <v>499</v>
      </c>
      <c r="AI22" s="725" t="s">
        <v>502</v>
      </c>
      <c r="AK22" s="725" t="s">
        <v>501</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662"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662" customFormat="1" customHeight="1" ht="18.75" hidden="1">
      <c r="A30" s="1384"/>
      <c r="B30" s="1384"/>
      <c r="C30" s="1384"/>
      <c r="D30" s="1384"/>
      <c r="E30" s="1384"/>
      <c r="F30" s="1384"/>
      <c r="G30" s="1384"/>
      <c r="H30" s="1384"/>
      <c r="I30" s="1384"/>
      <c r="J30" s="1384"/>
      <c r="K30" s="1384"/>
      <c r="L30" s="1517"/>
      <c r="M30" s="1384"/>
      <c r="N30" s="1384"/>
      <c r="O30" s="1384"/>
      <c r="S30" s="2289" t="s">
        <v>503</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662" customFormat="1" customHeight="1" ht="18.75" hidden="1">
      <c r="A31" s="1384"/>
      <c r="B31" s="1384"/>
      <c r="C31" s="1384"/>
      <c r="D31" s="1384"/>
      <c r="E31" s="1384"/>
      <c r="F31" s="1384"/>
      <c r="G31" s="1384"/>
      <c r="H31" s="1384"/>
      <c r="I31" s="1384"/>
      <c r="J31" s="1384"/>
      <c r="K31" s="1384"/>
      <c r="L31" s="1517"/>
      <c r="M31" s="1384"/>
      <c r="N31" s="1384"/>
      <c r="O31" s="1384"/>
      <c r="S31" s="2289" t="s">
        <v>504</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662"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662" customFormat="1" customHeight="1" ht="18.75" hidden="1">
      <c r="A34" s="1384"/>
      <c r="B34" s="1384"/>
      <c r="C34" s="1384"/>
      <c r="D34" s="1384"/>
      <c r="E34" s="1384"/>
      <c r="F34" s="1384"/>
      <c r="G34" s="1384"/>
      <c r="H34" s="1384"/>
      <c r="I34" s="1384"/>
      <c r="J34" s="1384"/>
      <c r="K34" s="1384"/>
      <c r="L34" s="1517"/>
      <c r="M34" s="1384"/>
      <c r="N34" s="1384"/>
      <c r="O34" s="1384"/>
      <c r="S34" s="2289" t="s">
        <v>505</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662" customFormat="1" customHeight="1" ht="18.75" hidden="1">
      <c r="A35" s="1384"/>
      <c r="B35" s="1384"/>
      <c r="C35" s="1384"/>
      <c r="D35" s="1384"/>
      <c r="E35" s="1384"/>
      <c r="F35" s="1384"/>
      <c r="G35" s="1384"/>
      <c r="H35" s="1384"/>
      <c r="I35" s="1384"/>
      <c r="J35" s="1384"/>
      <c r="K35" s="1384"/>
      <c r="L35" s="1517"/>
      <c r="M35" s="1384"/>
      <c r="N35" s="1384"/>
      <c r="O35" s="1384"/>
      <c r="S35" s="2289" t="s">
        <v>506</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662"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507</v>
      </c>
      <c r="AD36" s="1772"/>
      <c r="AE36" s="1772"/>
      <c r="AF36" s="1772"/>
      <c r="AG36" s="1772"/>
      <c r="AH36" s="1772"/>
      <c r="AI36" s="1772"/>
      <c r="AJ36" s="1772"/>
      <c r="AK36" s="1779" t="s">
        <v>507</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378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379</v>
      </c>
    </row>
    <row customHeight="1" ht="14.25">
      <c r="Q39" s="506"/>
      <c r="R39" s="506"/>
      <c r="S39" s="2312" t="s">
        <v>85</v>
      </c>
      <c r="T39" s="2248" t="s">
        <v>508</v>
      </c>
      <c r="U39" s="467"/>
      <c r="V39" s="2313" t="s">
        <v>509</v>
      </c>
      <c r="W39" s="2314"/>
      <c r="X39" s="2314"/>
      <c r="Y39" s="2314"/>
      <c r="Z39" s="2314"/>
      <c r="AA39" s="2314"/>
      <c r="AB39" s="2315"/>
      <c r="AC39" s="2316" t="s">
        <v>510</v>
      </c>
      <c r="AD39" s="2313" t="s">
        <v>509</v>
      </c>
      <c r="AE39" s="2314"/>
      <c r="AF39" s="2314"/>
      <c r="AG39" s="2314"/>
      <c r="AH39" s="2314"/>
      <c r="AI39" s="2314"/>
      <c r="AJ39" s="2315"/>
      <c r="AK39" s="2316" t="s">
        <v>511</v>
      </c>
      <c r="AL39" s="2319" t="s">
        <v>512</v>
      </c>
      <c r="AM39" s="2167"/>
    </row>
    <row customHeight="1" ht="33.75">
      <c r="Q40" s="506"/>
      <c r="R40" s="506"/>
      <c r="S40" s="2312"/>
      <c r="T40" s="2248"/>
      <c r="U40" s="1162"/>
      <c r="V40" s="2299" t="s">
        <v>513</v>
      </c>
      <c r="W40" s="2322" t="s">
        <v>514</v>
      </c>
      <c r="X40" s="2301" t="s">
        <v>515</v>
      </c>
      <c r="Y40" s="2302"/>
      <c r="Z40" s="2301" t="s">
        <v>529</v>
      </c>
      <c r="AA40" s="2308"/>
      <c r="AB40" s="2302"/>
      <c r="AC40" s="2317"/>
      <c r="AD40" s="2299" t="s">
        <v>513</v>
      </c>
      <c r="AE40" s="2322" t="s">
        <v>514</v>
      </c>
      <c r="AF40" s="2301" t="s">
        <v>515</v>
      </c>
      <c r="AG40" s="2302"/>
      <c r="AH40" s="2301" t="s">
        <v>516</v>
      </c>
      <c r="AI40" s="2308"/>
      <c r="AJ40" s="2302"/>
      <c r="AK40" s="2317"/>
      <c r="AL40" s="2320"/>
      <c r="AM40" s="2167"/>
    </row>
    <row customHeight="1" ht="33.75">
      <c r="A41" s="1403"/>
      <c r="B41" s="1403" t="s">
        <v>216</v>
      </c>
      <c r="C41" s="1403" t="s">
        <v>217</v>
      </c>
      <c r="D41" s="1403" t="s">
        <v>218</v>
      </c>
      <c r="E41" s="1447" t="s">
        <v>517</v>
      </c>
      <c r="F41" s="1447" t="s">
        <v>518</v>
      </c>
      <c r="G41" s="1447" t="s">
        <v>519</v>
      </c>
      <c r="H41" s="1447" t="s">
        <v>520</v>
      </c>
      <c r="I41" s="1447" t="s">
        <v>521</v>
      </c>
      <c r="J41" s="1447" t="s">
        <v>522</v>
      </c>
      <c r="K41" s="1447" t="s">
        <v>523</v>
      </c>
      <c r="L41" s="1447" t="s">
        <v>498</v>
      </c>
      <c r="Q41" s="506"/>
      <c r="R41" s="506"/>
      <c r="S41" s="2312"/>
      <c r="T41" s="2248"/>
      <c r="U41" s="432"/>
      <c r="V41" s="2300"/>
      <c r="W41" s="2323"/>
      <c r="X41" s="2077" t="s">
        <v>524</v>
      </c>
      <c r="Y41" s="2077" t="s">
        <v>525</v>
      </c>
      <c r="Z41" s="2077" t="s">
        <v>526</v>
      </c>
      <c r="AA41" s="2309" t="s">
        <v>527</v>
      </c>
      <c r="AB41" s="2310"/>
      <c r="AC41" s="2318"/>
      <c r="AD41" s="2300"/>
      <c r="AE41" s="2323"/>
      <c r="AF41" s="2077" t="s">
        <v>524</v>
      </c>
      <c r="AG41" s="2077" t="s">
        <v>525</v>
      </c>
      <c r="AH41" s="2077" t="s">
        <v>526</v>
      </c>
      <c r="AI41" s="2309" t="s">
        <v>527</v>
      </c>
      <c r="AJ41" s="2310"/>
      <c r="AK41" s="2318"/>
      <c r="AL41" s="2321"/>
      <c r="AM41" s="2167"/>
    </row>
    <row s="11770"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165</v>
      </c>
      <c r="T42" s="1391" t="s">
        <v>100</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290</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204</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290</v>
      </c>
      <c r="B44" s="1404" t="s">
        <v>291</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477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478</v>
      </c>
      <c r="AO44" s="1761"/>
      <c r="AP44" s="1761" t="str">
        <f>IF(T44="","",T44)</f>
        <v>Территория действия тарифа</v>
      </c>
      <c r="AQ44" s="1761"/>
      <c r="AR44" s="1761"/>
    </row>
    <row customHeight="1" ht="23.25">
      <c r="A45" s="1404" t="s">
        <v>290</v>
      </c>
      <c r="B45" s="1404" t="s">
        <v>291</v>
      </c>
      <c r="C45" s="1404" t="s">
        <v>292</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479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480</v>
      </c>
      <c r="AO45" s="1761"/>
      <c r="AP45" s="1761" t="str">
        <f>IF(T45="","",T45)</f>
        <v>Наименование системы теплоснабжения </v>
      </c>
      <c r="AQ45" s="1761"/>
      <c r="AR45" s="1761"/>
    </row>
    <row customHeight="1" ht="21">
      <c r="A46" s="1404" t="s">
        <v>290</v>
      </c>
      <c r="B46" s="1404" t="s">
        <v>291</v>
      </c>
      <c r="C46" s="1404" t="s">
        <v>292</v>
      </c>
      <c r="D46" s="1404" t="s">
        <v>293</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481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482</v>
      </c>
      <c r="AO46" s="1761"/>
      <c r="AP46" s="1761" t="str">
        <f>IF(T46="","",T46)</f>
        <v>Источник тепловой энергии  </v>
      </c>
      <c r="AQ46" s="1761"/>
      <c r="AR46" s="1761"/>
    </row>
    <row customHeight="1" ht="47.25">
      <c r="A47" s="1404" t="s">
        <v>290</v>
      </c>
      <c r="B47" s="1404" t="s">
        <v>291</v>
      </c>
      <c r="C47" s="1404" t="s">
        <v>292</v>
      </c>
      <c r="D47" s="1404" t="s">
        <v>293</v>
      </c>
      <c r="E47" s="2339"/>
      <c r="F47" s="2339"/>
      <c r="G47" s="2339"/>
      <c r="H47" s="2339"/>
      <c r="I47" s="2167" t="str">
        <f>S46&amp;".1"</f>
        <v>....1</v>
      </c>
      <c r="J47" s="1404"/>
      <c r="K47" s="1404"/>
      <c r="L47" s="1447" t="s">
        <v>483</v>
      </c>
      <c r="P47" s="2296">
        <v>1</v>
      </c>
      <c r="Q47" s="2093"/>
      <c r="R47" s="486"/>
      <c r="S47" s="2097" t="str">
        <f>$I47</f>
        <v>....1</v>
      </c>
      <c r="T47" s="415" t="s">
        <v>484</v>
      </c>
      <c r="U47" s="430"/>
      <c r="V47" s="2284"/>
      <c r="W47" s="2285"/>
      <c r="X47" s="2285"/>
      <c r="Y47" s="2285"/>
      <c r="Z47" s="2285"/>
      <c r="AA47" s="2285"/>
      <c r="AB47" s="2285"/>
      <c r="AC47" s="2286"/>
      <c r="AD47" s="2284"/>
      <c r="AE47" s="2285"/>
      <c r="AF47" s="2285"/>
      <c r="AG47" s="2285"/>
      <c r="AH47" s="2285"/>
      <c r="AI47" s="2285"/>
      <c r="AJ47" s="2285"/>
      <c r="AK47" s="2285"/>
      <c r="AL47" s="2286"/>
      <c r="AM47" s="1394" t="s">
        <v>485</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290</v>
      </c>
      <c r="B48" s="1404" t="s">
        <v>291</v>
      </c>
      <c r="C48" s="1404" t="s">
        <v>292</v>
      </c>
      <c r="D48" s="1404" t="s">
        <v>293</v>
      </c>
      <c r="E48" s="2339"/>
      <c r="F48" s="2339"/>
      <c r="G48" s="2339"/>
      <c r="H48" s="2339"/>
      <c r="I48" s="2141"/>
      <c r="J48" s="2167" t="str">
        <f>I47&amp;".1"</f>
        <v>....1.1</v>
      </c>
      <c r="K48" s="1404"/>
      <c r="L48" s="1447" t="s">
        <v>486</v>
      </c>
      <c r="P48" s="2296"/>
      <c r="Q48" s="2296">
        <v>1</v>
      </c>
      <c r="R48" s="487"/>
      <c r="S48" s="2097" t="str">
        <f>$J48</f>
        <v>....1.1</v>
      </c>
      <c r="T48" s="416" t="s">
        <v>487</v>
      </c>
      <c r="U48" s="430"/>
      <c r="V48" s="2284"/>
      <c r="W48" s="2285"/>
      <c r="X48" s="2285"/>
      <c r="Y48" s="2285"/>
      <c r="Z48" s="2285"/>
      <c r="AA48" s="2285"/>
      <c r="AB48" s="2285"/>
      <c r="AC48" s="2286"/>
      <c r="AD48" s="2284"/>
      <c r="AE48" s="2285"/>
      <c r="AF48" s="2285"/>
      <c r="AG48" s="2285"/>
      <c r="AH48" s="2285"/>
      <c r="AI48" s="2285"/>
      <c r="AJ48" s="2285"/>
      <c r="AK48" s="2285"/>
      <c r="AL48" s="2286"/>
      <c r="AM48" s="1394" t="s">
        <v>488</v>
      </c>
      <c r="AO48" s="1761"/>
      <c r="AP48" s="1761" t="str">
        <f>IF(T48="","",T48)</f>
        <v>Группа потребителей</v>
      </c>
      <c r="AQ48" s="1761"/>
      <c r="AR48" s="1761"/>
    </row>
    <row customHeight="1" ht="21">
      <c r="A49" s="1404" t="s">
        <v>290</v>
      </c>
      <c r="B49" s="1404" t="s">
        <v>291</v>
      </c>
      <c r="C49" s="1404" t="s">
        <v>292</v>
      </c>
      <c r="D49" s="1404" t="s">
        <v>293</v>
      </c>
      <c r="E49" s="2339"/>
      <c r="F49" s="2339"/>
      <c r="G49" s="2339"/>
      <c r="H49" s="2339"/>
      <c r="I49" s="2141"/>
      <c r="J49" s="2141"/>
      <c r="K49" s="2167" t="str">
        <f>J48&amp;".1"</f>
        <v>....1.1.1</v>
      </c>
      <c r="L49" s="1447" t="s">
        <v>489</v>
      </c>
      <c r="P49" s="2296"/>
      <c r="Q49" s="2296"/>
      <c r="R49" s="487">
        <v>1</v>
      </c>
      <c r="S49" s="2097"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490</v>
      </c>
      <c r="AN49" s="1773">
        <f>STRCHECKDATE(V50:AL50)</f>
      </c>
      <c r="AO49" s="1761"/>
      <c r="AP49" s="1761" t="str">
        <f>IF(T49="","",T49)</f>
        <v/>
      </c>
      <c r="AQ49" s="1761"/>
      <c r="AR49" s="1761"/>
    </row>
    <row customHeight="1" ht="0.75">
      <c r="A50" s="1404" t="s">
        <v>290</v>
      </c>
      <c r="B50" s="1404" t="s">
        <v>291</v>
      </c>
      <c r="C50" s="1404" t="s">
        <v>292</v>
      </c>
      <c r="D50" s="1404" t="s">
        <v>293</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290</v>
      </c>
      <c r="B51" s="1404" t="s">
        <v>291</v>
      </c>
      <c r="C51" s="1404" t="s">
        <v>292</v>
      </c>
      <c r="D51" s="1404" t="s">
        <v>293</v>
      </c>
      <c r="E51" s="2339"/>
      <c r="F51" s="2339"/>
      <c r="G51" s="2339"/>
      <c r="H51" s="2339"/>
      <c r="I51" s="2141"/>
      <c r="J51" s="2167"/>
      <c r="K51" s="1404"/>
      <c r="L51" s="1447"/>
      <c r="P51" s="2296"/>
      <c r="Q51" s="2296"/>
      <c r="R51" s="486"/>
      <c r="S51" s="1415"/>
      <c r="T51" s="418" t="s">
        <v>491</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290</v>
      </c>
      <c r="B52" s="1404" t="s">
        <v>291</v>
      </c>
      <c r="C52" s="1404" t="s">
        <v>292</v>
      </c>
      <c r="D52" s="1404" t="s">
        <v>293</v>
      </c>
      <c r="E52" s="2339"/>
      <c r="F52" s="2339"/>
      <c r="G52" s="2339"/>
      <c r="H52" s="2339"/>
      <c r="I52" s="2167"/>
      <c r="J52" s="1404"/>
      <c r="K52" s="1404"/>
      <c r="L52" s="1447"/>
      <c r="P52" s="2296"/>
      <c r="Q52" s="2093"/>
      <c r="R52" s="486"/>
      <c r="S52" s="1415"/>
      <c r="T52" s="417" t="s">
        <v>492</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290</v>
      </c>
      <c r="B53" s="1404" t="s">
        <v>291</v>
      </c>
      <c r="C53" s="1404" t="s">
        <v>292</v>
      </c>
      <c r="D53" s="1404" t="s">
        <v>293</v>
      </c>
      <c r="E53" s="2339"/>
      <c r="F53" s="2339"/>
      <c r="G53" s="2339"/>
      <c r="H53" s="2338"/>
      <c r="I53" s="1404"/>
      <c r="J53" s="1404"/>
      <c r="K53" s="1404"/>
      <c r="L53" s="1447"/>
      <c r="M53" s="1747"/>
      <c r="N53" s="1747"/>
      <c r="O53" s="1772"/>
      <c r="P53" s="490"/>
      <c r="Q53" s="505"/>
      <c r="R53" s="485"/>
      <c r="S53" s="1415"/>
      <c r="T53" s="495" t="s">
        <v>493</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753" customFormat="1" customHeight="1" ht="0.75">
      <c r="A54" s="1512" t="s">
        <v>290</v>
      </c>
      <c r="B54" s="1512" t="s">
        <v>291</v>
      </c>
      <c r="C54" s="1512" t="s">
        <v>292</v>
      </c>
      <c r="D54" s="1511"/>
      <c r="E54" s="2339"/>
      <c r="F54" s="2339"/>
      <c r="G54" s="2338"/>
      <c r="H54" s="1511"/>
      <c r="I54" s="1511"/>
      <c r="J54" s="1511"/>
      <c r="K54" s="1511"/>
      <c r="L54" s="1514"/>
      <c r="M54" s="1515"/>
      <c r="N54" s="1515"/>
      <c r="O54" s="481"/>
      <c r="P54" s="1453"/>
      <c r="Q54" s="1454"/>
      <c r="R54" s="1453"/>
      <c r="S54" s="1459"/>
      <c r="T54" s="1462" t="s">
        <v>494</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753" customFormat="1" customHeight="1" ht="0.75">
      <c r="A55" s="1512" t="s">
        <v>290</v>
      </c>
      <c r="B55" s="1512" t="s">
        <v>291</v>
      </c>
      <c r="C55" s="1511"/>
      <c r="D55" s="1511"/>
      <c r="E55" s="2339"/>
      <c r="F55" s="2338"/>
      <c r="G55" s="1511"/>
      <c r="H55" s="1511"/>
      <c r="I55" s="1511"/>
      <c r="J55" s="1511"/>
      <c r="K55" s="1511"/>
      <c r="L55" s="1514"/>
      <c r="M55" s="1516"/>
      <c r="N55" s="1516"/>
      <c r="O55" s="481"/>
      <c r="P55" s="1453"/>
      <c r="Q55" s="1454"/>
      <c r="R55" s="1453"/>
      <c r="S55" s="1459"/>
      <c r="T55" s="1462" t="s">
        <v>495</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773" customFormat="1" customHeight="1" ht="0.75">
      <c r="A56" s="1512" t="s">
        <v>290</v>
      </c>
      <c r="B56" s="1512"/>
      <c r="C56" s="1512"/>
      <c r="D56" s="1512"/>
      <c r="E56" s="2338"/>
      <c r="F56" s="1512"/>
      <c r="G56" s="1512"/>
      <c r="H56" s="1512"/>
      <c r="I56" s="1512"/>
      <c r="J56" s="1512"/>
      <c r="K56" s="1512"/>
      <c r="L56" s="1518"/>
      <c r="M56" s="1516"/>
      <c r="N56" s="1516"/>
      <c r="O56" s="481"/>
      <c r="P56" s="510"/>
      <c r="Q56" s="1481"/>
      <c r="R56" s="510"/>
      <c r="S56" s="1459"/>
      <c r="T56" s="1462" t="s">
        <v>496</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753"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528</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E1DED-6681-6A63-FE6E-B6C194A65B5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775" width="10.57421875" hidden="1"/>
    <col min="2" max="2" style="11775" width="11.00390625" hidden="1" customWidth="1"/>
    <col min="3" max="3" style="11775" width="10.57421875" hidden="1"/>
    <col min="4" max="4" style="11775" width="11.8515625" hidden="1" customWidth="1"/>
    <col min="5" max="5" style="11775" width="10.00390625" hidden="1" customWidth="1"/>
    <col min="6" max="6" style="11775" width="8.7109375" hidden="1" customWidth="1"/>
    <col min="7" max="7" style="11775" width="7.57421875" hidden="1" customWidth="1"/>
    <col min="8" max="8" style="11775" width="11.421875" hidden="1" customWidth="1"/>
    <col min="9" max="9" style="11775" width="12.00390625" hidden="1" customWidth="1"/>
    <col min="10" max="10" style="11775" width="9.8515625" hidden="1" customWidth="1"/>
    <col min="11" max="11" style="11775" width="11.421875" hidden="1" customWidth="1"/>
    <col min="12" max="12" style="11776" width="19.140625" hidden="1" customWidth="1"/>
    <col min="13" max="14" style="11777" width="12.28125" hidden="1" customWidth="1"/>
    <col min="15" max="15" style="11777" width="23.421875" hidden="1" customWidth="1"/>
    <col min="16" max="16" style="11777" width="3.7109375" customWidth="1"/>
    <col min="17" max="18" style="11732" width="3.7109375" customWidth="1"/>
    <col min="19" max="19" style="11733" width="12.7109375" customWidth="1"/>
    <col min="20" max="20" style="11775" width="32.00390625" customWidth="1"/>
    <col min="21" max="21" style="11775" width="0.140625" customWidth="1"/>
    <col min="22" max="22" style="11775" width="24.7109375" hidden="1" customWidth="1"/>
    <col min="23" max="23" style="11775" width="0.140625" hidden="1" customWidth="1"/>
    <col min="24" max="25" style="11775" width="24.7109375" hidden="1" customWidth="1"/>
    <col min="26" max="26" style="11775" width="11.7109375" hidden="1" customWidth="1"/>
    <col min="27" max="27" style="11775" width="3.7109375" hidden="1" customWidth="1"/>
    <col min="28" max="28" style="11775" width="11.7109375" hidden="1" customWidth="1"/>
    <col min="29" max="29" style="11775" width="8.57421875" hidden="1" customWidth="1"/>
    <col min="30" max="30" style="11775" width="24.7109375" customWidth="1"/>
    <col min="31" max="31" style="11775" width="0.140625" customWidth="1"/>
    <col min="32" max="33" style="11775" width="24.7109375" customWidth="1"/>
    <col min="34" max="34" style="11775" width="11.7109375" customWidth="1"/>
    <col min="35" max="35" style="11775" width="3.7109375" customWidth="1"/>
    <col min="36" max="36" style="11775" width="11.7109375" customWidth="1"/>
    <col min="37" max="37" style="11775" width="8.57421875" hidden="1" customWidth="1"/>
    <col min="38" max="38" style="11775" width="4.7109375" customWidth="1"/>
    <col min="39" max="39" style="11775" width="115.7109375" customWidth="1"/>
    <col min="40" max="41" style="11773" width="10.57421875"/>
    <col min="42" max="42" style="11773" width="11.140625" customWidth="1"/>
    <col min="43" max="44" style="1177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204</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476</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477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478</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479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480</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481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482</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483</v>
      </c>
      <c r="M6" s="1772"/>
      <c r="P6" s="2296">
        <v>1</v>
      </c>
      <c r="Q6" s="2093"/>
      <c r="R6" s="486"/>
      <c r="S6" s="2097">
        <f>$I6</f>
      </c>
      <c r="T6" s="415" t="s">
        <v>484</v>
      </c>
      <c r="U6" s="430"/>
      <c r="V6" s="2284"/>
      <c r="W6" s="2285"/>
      <c r="X6" s="2285"/>
      <c r="Y6" s="2285"/>
      <c r="Z6" s="2285"/>
      <c r="AA6" s="2285"/>
      <c r="AB6" s="2285"/>
      <c r="AC6" s="2286"/>
      <c r="AD6" s="2284"/>
      <c r="AE6" s="2285"/>
      <c r="AF6" s="2285"/>
      <c r="AG6" s="2285"/>
      <c r="AH6" s="2285"/>
      <c r="AI6" s="2285"/>
      <c r="AJ6" s="2285"/>
      <c r="AK6" s="2285"/>
      <c r="AL6" s="2286"/>
      <c r="AM6" s="1394" t="s">
        <v>485</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486</v>
      </c>
      <c r="M7" s="1772"/>
      <c r="N7" s="1768"/>
      <c r="P7" s="2296"/>
      <c r="Q7" s="2296">
        <v>1</v>
      </c>
      <c r="R7" s="487"/>
      <c r="S7" s="2097">
        <f>$J7</f>
      </c>
      <c r="T7" s="416" t="s">
        <v>487</v>
      </c>
      <c r="U7" s="430"/>
      <c r="V7" s="2284"/>
      <c r="W7" s="2285"/>
      <c r="X7" s="2285"/>
      <c r="Y7" s="2285"/>
      <c r="Z7" s="2285"/>
      <c r="AA7" s="2285"/>
      <c r="AB7" s="2285"/>
      <c r="AC7" s="2286"/>
      <c r="AD7" s="2284"/>
      <c r="AE7" s="2285"/>
      <c r="AF7" s="2285"/>
      <c r="AG7" s="2285"/>
      <c r="AH7" s="2285"/>
      <c r="AI7" s="2285"/>
      <c r="AJ7" s="2285"/>
      <c r="AK7" s="2285"/>
      <c r="AL7" s="2286"/>
      <c r="AM7" s="1394" t="s">
        <v>488</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489</v>
      </c>
      <c r="M8" s="1772"/>
      <c r="N8" s="1768"/>
      <c r="O8" s="1768"/>
      <c r="P8" s="2296"/>
      <c r="Q8" s="2296"/>
      <c r="R8" s="487">
        <v>1</v>
      </c>
      <c r="S8" s="2097">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490</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491</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492</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493</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753"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494</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753"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495</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753"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496</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row s="11760" customFormat="1" customHeight="1" ht="14.25" hidden="1">
      <c r="A20" s="1768"/>
      <c r="B20" s="1768"/>
      <c r="C20" s="1768"/>
      <c r="D20" s="1768"/>
      <c r="E20" s="1768"/>
      <c r="F20" s="1768"/>
      <c r="G20" s="1768"/>
      <c r="H20" s="1768"/>
      <c r="I20" s="1768"/>
      <c r="J20" s="1768"/>
      <c r="K20" s="1768"/>
      <c r="L20" s="2078"/>
      <c r="M20" s="2107"/>
      <c r="N20" s="2107"/>
      <c r="O20" s="1482" t="s">
        <v>497</v>
      </c>
      <c r="P20" s="1499"/>
      <c r="Q20" s="1508"/>
      <c r="R20" s="1508"/>
      <c r="S20" s="859"/>
      <c r="Z20" s="1504"/>
      <c r="AB20" s="1504"/>
      <c r="AH20" s="1504"/>
      <c r="AJ20" s="1504"/>
      <c r="AN20" s="1773"/>
      <c r="AO20" s="1773"/>
      <c r="AP20" s="1773"/>
      <c r="AQ20" s="1773"/>
      <c r="AR20" s="1773"/>
    </row>
    <row s="11760"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760" customFormat="1" customHeight="1" ht="14.25" hidden="1">
      <c r="A22" s="1768"/>
      <c r="B22" s="1768"/>
      <c r="C22" s="1768"/>
      <c r="D22" s="1768"/>
      <c r="E22" s="1768"/>
      <c r="F22" s="1768"/>
      <c r="G22" s="1768"/>
      <c r="H22" s="1768"/>
      <c r="I22" s="1768"/>
      <c r="J22" s="1768"/>
      <c r="K22" s="1768"/>
      <c r="L22" s="2078"/>
      <c r="M22" s="2107"/>
      <c r="N22" s="2107"/>
      <c r="O22" s="1447" t="s">
        <v>498</v>
      </c>
      <c r="P22" s="1499"/>
      <c r="Q22" s="1508"/>
      <c r="R22" s="1508"/>
      <c r="S22" s="859"/>
      <c r="T22" s="1503" t="s">
        <v>499</v>
      </c>
      <c r="AA22" s="725" t="s">
        <v>500</v>
      </c>
      <c r="AC22" s="725" t="s">
        <v>501</v>
      </c>
      <c r="AD22" s="1503" t="s">
        <v>499</v>
      </c>
      <c r="AI22" s="725" t="s">
        <v>502</v>
      </c>
      <c r="AK22" s="725" t="s">
        <v>501</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662"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662" customFormat="1" customHeight="1" ht="18.75" hidden="1">
      <c r="A30" s="1384"/>
      <c r="B30" s="1384"/>
      <c r="C30" s="1384"/>
      <c r="D30" s="1384"/>
      <c r="E30" s="1384"/>
      <c r="F30" s="1384"/>
      <c r="G30" s="1384"/>
      <c r="H30" s="1384"/>
      <c r="I30" s="1384"/>
      <c r="J30" s="1384"/>
      <c r="K30" s="1384"/>
      <c r="L30" s="1517"/>
      <c r="M30" s="1384"/>
      <c r="N30" s="1384"/>
      <c r="O30" s="1384"/>
      <c r="S30" s="2289" t="s">
        <v>503</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662" customFormat="1" customHeight="1" ht="18.75" hidden="1">
      <c r="A31" s="1384"/>
      <c r="B31" s="1384"/>
      <c r="C31" s="1384"/>
      <c r="D31" s="1384"/>
      <c r="E31" s="1384"/>
      <c r="F31" s="1384"/>
      <c r="G31" s="1384"/>
      <c r="H31" s="1384"/>
      <c r="I31" s="1384"/>
      <c r="J31" s="1384"/>
      <c r="K31" s="1384"/>
      <c r="L31" s="1517"/>
      <c r="M31" s="1384"/>
      <c r="N31" s="1384"/>
      <c r="O31" s="1384"/>
      <c r="S31" s="2289" t="s">
        <v>504</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662"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662" customFormat="1" customHeight="1" ht="18.75" hidden="1">
      <c r="A34" s="1384"/>
      <c r="B34" s="1384"/>
      <c r="C34" s="1384"/>
      <c r="D34" s="1384"/>
      <c r="E34" s="1384"/>
      <c r="F34" s="1384"/>
      <c r="G34" s="1384"/>
      <c r="H34" s="1384"/>
      <c r="I34" s="1384"/>
      <c r="J34" s="1384"/>
      <c r="K34" s="1384"/>
      <c r="L34" s="1517"/>
      <c r="M34" s="1384"/>
      <c r="N34" s="1384"/>
      <c r="O34" s="1384"/>
      <c r="S34" s="2289" t="s">
        <v>505</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662" customFormat="1" customHeight="1" ht="18.75" hidden="1">
      <c r="A35" s="1384"/>
      <c r="B35" s="1384"/>
      <c r="C35" s="1384"/>
      <c r="D35" s="1384"/>
      <c r="E35" s="1384"/>
      <c r="F35" s="1384"/>
      <c r="G35" s="1384"/>
      <c r="H35" s="1384"/>
      <c r="I35" s="1384"/>
      <c r="J35" s="1384"/>
      <c r="K35" s="1384"/>
      <c r="L35" s="1517"/>
      <c r="M35" s="1384"/>
      <c r="N35" s="1384"/>
      <c r="O35" s="1384"/>
      <c r="S35" s="2289" t="s">
        <v>506</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662"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507</v>
      </c>
      <c r="AD36" s="1772"/>
      <c r="AE36" s="1772"/>
      <c r="AF36" s="1772"/>
      <c r="AG36" s="1772"/>
      <c r="AH36" s="1772"/>
      <c r="AI36" s="1772"/>
      <c r="AJ36" s="1772"/>
      <c r="AK36" s="1779" t="s">
        <v>507</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378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379</v>
      </c>
    </row>
    <row customHeight="1" ht="14.25">
      <c r="Q39" s="506"/>
      <c r="R39" s="506"/>
      <c r="S39" s="2312" t="s">
        <v>85</v>
      </c>
      <c r="T39" s="2248" t="s">
        <v>508</v>
      </c>
      <c r="U39" s="467"/>
      <c r="V39" s="2313" t="s">
        <v>509</v>
      </c>
      <c r="W39" s="2314"/>
      <c r="X39" s="2314"/>
      <c r="Y39" s="2314"/>
      <c r="Z39" s="2314"/>
      <c r="AA39" s="2314"/>
      <c r="AB39" s="2315"/>
      <c r="AC39" s="2316" t="s">
        <v>510</v>
      </c>
      <c r="AD39" s="2313" t="s">
        <v>509</v>
      </c>
      <c r="AE39" s="2314"/>
      <c r="AF39" s="2314"/>
      <c r="AG39" s="2314"/>
      <c r="AH39" s="2314"/>
      <c r="AI39" s="2314"/>
      <c r="AJ39" s="2315"/>
      <c r="AK39" s="2316" t="s">
        <v>511</v>
      </c>
      <c r="AL39" s="2319" t="s">
        <v>512</v>
      </c>
      <c r="AM39" s="2167"/>
    </row>
    <row customHeight="1" ht="33.75">
      <c r="Q40" s="506"/>
      <c r="R40" s="506"/>
      <c r="S40" s="2312"/>
      <c r="T40" s="2248"/>
      <c r="U40" s="1162"/>
      <c r="V40" s="2299" t="s">
        <v>513</v>
      </c>
      <c r="W40" s="2322" t="s">
        <v>514</v>
      </c>
      <c r="X40" s="2301" t="s">
        <v>515</v>
      </c>
      <c r="Y40" s="2302"/>
      <c r="Z40" s="2301" t="s">
        <v>529</v>
      </c>
      <c r="AA40" s="2308"/>
      <c r="AB40" s="2302"/>
      <c r="AC40" s="2317"/>
      <c r="AD40" s="2299" t="s">
        <v>513</v>
      </c>
      <c r="AE40" s="2322" t="s">
        <v>514</v>
      </c>
      <c r="AF40" s="2301" t="s">
        <v>515</v>
      </c>
      <c r="AG40" s="2302"/>
      <c r="AH40" s="2301" t="s">
        <v>516</v>
      </c>
      <c r="AI40" s="2308"/>
      <c r="AJ40" s="2302"/>
      <c r="AK40" s="2317"/>
      <c r="AL40" s="2320"/>
      <c r="AM40" s="2167"/>
    </row>
    <row customHeight="1" ht="33.75">
      <c r="A41" s="1403"/>
      <c r="B41" s="1403" t="s">
        <v>216</v>
      </c>
      <c r="C41" s="1403" t="s">
        <v>217</v>
      </c>
      <c r="D41" s="1403" t="s">
        <v>218</v>
      </c>
      <c r="E41" s="1447" t="s">
        <v>517</v>
      </c>
      <c r="F41" s="1447" t="s">
        <v>518</v>
      </c>
      <c r="G41" s="1447" t="s">
        <v>519</v>
      </c>
      <c r="H41" s="1447" t="s">
        <v>520</v>
      </c>
      <c r="I41" s="1447" t="s">
        <v>521</v>
      </c>
      <c r="J41" s="1447" t="s">
        <v>522</v>
      </c>
      <c r="K41" s="1447" t="s">
        <v>523</v>
      </c>
      <c r="L41" s="1447" t="s">
        <v>498</v>
      </c>
      <c r="Q41" s="506"/>
      <c r="R41" s="506"/>
      <c r="S41" s="2312"/>
      <c r="T41" s="2248"/>
      <c r="U41" s="432"/>
      <c r="V41" s="2300"/>
      <c r="W41" s="2323"/>
      <c r="X41" s="2077" t="s">
        <v>524</v>
      </c>
      <c r="Y41" s="2077" t="s">
        <v>525</v>
      </c>
      <c r="Z41" s="2077" t="s">
        <v>526</v>
      </c>
      <c r="AA41" s="2309" t="s">
        <v>527</v>
      </c>
      <c r="AB41" s="2310"/>
      <c r="AC41" s="2318"/>
      <c r="AD41" s="2300"/>
      <c r="AE41" s="2323"/>
      <c r="AF41" s="2077" t="s">
        <v>524</v>
      </c>
      <c r="AG41" s="2077" t="s">
        <v>525</v>
      </c>
      <c r="AH41" s="2077" t="s">
        <v>526</v>
      </c>
      <c r="AI41" s="2309" t="s">
        <v>527</v>
      </c>
      <c r="AJ41" s="2310"/>
      <c r="AK41" s="2318"/>
      <c r="AL41" s="2321"/>
      <c r="AM41" s="2167"/>
    </row>
    <row s="11770"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165</v>
      </c>
      <c r="T42" s="1391" t="s">
        <v>100</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290</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204</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290</v>
      </c>
      <c r="B44" s="1404" t="s">
        <v>291</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477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478</v>
      </c>
      <c r="AO44" s="1761"/>
      <c r="AP44" s="1761" t="str">
        <f>IF(T44="","",T44)</f>
        <v>Территория действия тарифа</v>
      </c>
      <c r="AQ44" s="1761"/>
      <c r="AR44" s="1761"/>
    </row>
    <row customHeight="1" ht="23.25">
      <c r="A45" s="1404" t="s">
        <v>290</v>
      </c>
      <c r="B45" s="1404" t="s">
        <v>291</v>
      </c>
      <c r="C45" s="1404" t="s">
        <v>292</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479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480</v>
      </c>
      <c r="AO45" s="1761"/>
      <c r="AP45" s="1761" t="str">
        <f>IF(T45="","",T45)</f>
        <v>Наименование системы теплоснабжения </v>
      </c>
      <c r="AQ45" s="1761"/>
      <c r="AR45" s="1761"/>
    </row>
    <row customHeight="1" ht="21">
      <c r="A46" s="1404" t="s">
        <v>290</v>
      </c>
      <c r="B46" s="1404" t="s">
        <v>291</v>
      </c>
      <c r="C46" s="1404" t="s">
        <v>292</v>
      </c>
      <c r="D46" s="1404" t="s">
        <v>293</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481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482</v>
      </c>
      <c r="AO46" s="1761"/>
      <c r="AP46" s="1761" t="str">
        <f>IF(T46="","",T46)</f>
        <v>Источник тепловой энергии  </v>
      </c>
      <c r="AQ46" s="1761"/>
      <c r="AR46" s="1761"/>
    </row>
    <row customHeight="1" ht="47.25">
      <c r="A47" s="1404" t="s">
        <v>290</v>
      </c>
      <c r="B47" s="1404" t="s">
        <v>291</v>
      </c>
      <c r="C47" s="1404" t="s">
        <v>292</v>
      </c>
      <c r="D47" s="1404" t="s">
        <v>293</v>
      </c>
      <c r="E47" s="2339"/>
      <c r="F47" s="2339"/>
      <c r="G47" s="2339"/>
      <c r="H47" s="2339"/>
      <c r="I47" s="2167" t="str">
        <f>S46&amp;".1"</f>
        <v>....1</v>
      </c>
      <c r="J47" s="1404"/>
      <c r="K47" s="1404"/>
      <c r="L47" s="1447" t="s">
        <v>483</v>
      </c>
      <c r="P47" s="2296">
        <v>1</v>
      </c>
      <c r="Q47" s="2093"/>
      <c r="R47" s="486"/>
      <c r="S47" s="2097" t="str">
        <f>$I47</f>
        <v>....1</v>
      </c>
      <c r="T47" s="415" t="s">
        <v>484</v>
      </c>
      <c r="U47" s="430"/>
      <c r="V47" s="2284"/>
      <c r="W47" s="2285"/>
      <c r="X47" s="2285"/>
      <c r="Y47" s="2285"/>
      <c r="Z47" s="2285"/>
      <c r="AA47" s="2285"/>
      <c r="AB47" s="2285"/>
      <c r="AC47" s="2286"/>
      <c r="AD47" s="2284"/>
      <c r="AE47" s="2285"/>
      <c r="AF47" s="2285"/>
      <c r="AG47" s="2285"/>
      <c r="AH47" s="2285"/>
      <c r="AI47" s="2285"/>
      <c r="AJ47" s="2285"/>
      <c r="AK47" s="2285"/>
      <c r="AL47" s="2286"/>
      <c r="AM47" s="1394" t="s">
        <v>485</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290</v>
      </c>
      <c r="B48" s="1404" t="s">
        <v>291</v>
      </c>
      <c r="C48" s="1404" t="s">
        <v>292</v>
      </c>
      <c r="D48" s="1404" t="s">
        <v>293</v>
      </c>
      <c r="E48" s="2339"/>
      <c r="F48" s="2339"/>
      <c r="G48" s="2339"/>
      <c r="H48" s="2339"/>
      <c r="I48" s="2141"/>
      <c r="J48" s="2167" t="str">
        <f>I47&amp;".1"</f>
        <v>....1.1</v>
      </c>
      <c r="K48" s="1404"/>
      <c r="L48" s="1447" t="s">
        <v>486</v>
      </c>
      <c r="P48" s="2296"/>
      <c r="Q48" s="2296">
        <v>1</v>
      </c>
      <c r="R48" s="487"/>
      <c r="S48" s="2097" t="str">
        <f>$J48</f>
        <v>....1.1</v>
      </c>
      <c r="T48" s="416" t="s">
        <v>487</v>
      </c>
      <c r="U48" s="430"/>
      <c r="V48" s="2284"/>
      <c r="W48" s="2285"/>
      <c r="X48" s="2285"/>
      <c r="Y48" s="2285"/>
      <c r="Z48" s="2285"/>
      <c r="AA48" s="2285"/>
      <c r="AB48" s="2285"/>
      <c r="AC48" s="2286"/>
      <c r="AD48" s="2284"/>
      <c r="AE48" s="2285"/>
      <c r="AF48" s="2285"/>
      <c r="AG48" s="2285"/>
      <c r="AH48" s="2285"/>
      <c r="AI48" s="2285"/>
      <c r="AJ48" s="2285"/>
      <c r="AK48" s="2285"/>
      <c r="AL48" s="2286"/>
      <c r="AM48" s="1394" t="s">
        <v>488</v>
      </c>
      <c r="AO48" s="1761"/>
      <c r="AP48" s="1761" t="str">
        <f>IF(T48="","",T48)</f>
        <v>Группа потребителей</v>
      </c>
      <c r="AQ48" s="1761"/>
      <c r="AR48" s="1761"/>
    </row>
    <row customHeight="1" ht="21">
      <c r="A49" s="1404" t="s">
        <v>290</v>
      </c>
      <c r="B49" s="1404" t="s">
        <v>291</v>
      </c>
      <c r="C49" s="1404" t="s">
        <v>292</v>
      </c>
      <c r="D49" s="1404" t="s">
        <v>293</v>
      </c>
      <c r="E49" s="2339"/>
      <c r="F49" s="2339"/>
      <c r="G49" s="2339"/>
      <c r="H49" s="2339"/>
      <c r="I49" s="2141"/>
      <c r="J49" s="2141"/>
      <c r="K49" s="2167" t="str">
        <f>J48&amp;".1"</f>
        <v>....1.1.1</v>
      </c>
      <c r="L49" s="1447" t="s">
        <v>489</v>
      </c>
      <c r="P49" s="2296"/>
      <c r="Q49" s="2296"/>
      <c r="R49" s="487">
        <v>1</v>
      </c>
      <c r="S49" s="2097"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490</v>
      </c>
      <c r="AN49" s="1773">
        <f>STRCHECKDATE(V50:AL50)</f>
      </c>
      <c r="AO49" s="1761"/>
      <c r="AP49" s="1761" t="str">
        <f>IF(T49="","",T49)</f>
        <v/>
      </c>
      <c r="AQ49" s="1761"/>
      <c r="AR49" s="1761"/>
    </row>
    <row customHeight="1" ht="0.75">
      <c r="A50" s="1404" t="s">
        <v>290</v>
      </c>
      <c r="B50" s="1404" t="s">
        <v>291</v>
      </c>
      <c r="C50" s="1404" t="s">
        <v>292</v>
      </c>
      <c r="D50" s="1404" t="s">
        <v>293</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290</v>
      </c>
      <c r="B51" s="1404" t="s">
        <v>291</v>
      </c>
      <c r="C51" s="1404" t="s">
        <v>292</v>
      </c>
      <c r="D51" s="1404" t="s">
        <v>293</v>
      </c>
      <c r="E51" s="2339"/>
      <c r="F51" s="2339"/>
      <c r="G51" s="2339"/>
      <c r="H51" s="2339"/>
      <c r="I51" s="2141"/>
      <c r="J51" s="2167"/>
      <c r="K51" s="1404"/>
      <c r="L51" s="1447"/>
      <c r="P51" s="2296"/>
      <c r="Q51" s="2296"/>
      <c r="R51" s="486"/>
      <c r="S51" s="1415"/>
      <c r="T51" s="418" t="s">
        <v>491</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290</v>
      </c>
      <c r="B52" s="1404" t="s">
        <v>291</v>
      </c>
      <c r="C52" s="1404" t="s">
        <v>292</v>
      </c>
      <c r="D52" s="1404" t="s">
        <v>293</v>
      </c>
      <c r="E52" s="2339"/>
      <c r="F52" s="2339"/>
      <c r="G52" s="2339"/>
      <c r="H52" s="2339"/>
      <c r="I52" s="2167"/>
      <c r="J52" s="1404"/>
      <c r="K52" s="1404"/>
      <c r="L52" s="1447"/>
      <c r="P52" s="2296"/>
      <c r="Q52" s="2093"/>
      <c r="R52" s="486"/>
      <c r="S52" s="1415"/>
      <c r="T52" s="417" t="s">
        <v>492</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290</v>
      </c>
      <c r="B53" s="1404" t="s">
        <v>291</v>
      </c>
      <c r="C53" s="1404" t="s">
        <v>292</v>
      </c>
      <c r="D53" s="1404" t="s">
        <v>293</v>
      </c>
      <c r="E53" s="2339"/>
      <c r="F53" s="2339"/>
      <c r="G53" s="2339"/>
      <c r="H53" s="2338"/>
      <c r="I53" s="1404"/>
      <c r="J53" s="1404"/>
      <c r="K53" s="1404"/>
      <c r="L53" s="1447"/>
      <c r="M53" s="1747"/>
      <c r="N53" s="1747"/>
      <c r="O53" s="1772"/>
      <c r="P53" s="490"/>
      <c r="Q53" s="505"/>
      <c r="R53" s="485"/>
      <c r="S53" s="1415"/>
      <c r="T53" s="495" t="s">
        <v>493</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753" customFormat="1" customHeight="1" ht="0.75">
      <c r="A54" s="1404" t="s">
        <v>290</v>
      </c>
      <c r="B54" s="1404" t="s">
        <v>291</v>
      </c>
      <c r="C54" s="1404" t="s">
        <v>292</v>
      </c>
      <c r="D54" s="2634"/>
      <c r="E54" s="2339"/>
      <c r="F54" s="2339"/>
      <c r="G54" s="2338"/>
      <c r="H54" s="2634"/>
      <c r="I54" s="2634"/>
      <c r="J54" s="2634"/>
      <c r="K54" s="2634"/>
      <c r="L54" s="1517"/>
      <c r="M54" s="1747"/>
      <c r="N54" s="1747"/>
      <c r="O54" s="1772"/>
      <c r="P54" s="1453"/>
      <c r="Q54" s="1454"/>
      <c r="R54" s="1453"/>
      <c r="S54" s="1459"/>
      <c r="T54" s="1462" t="s">
        <v>494</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753" customFormat="1" customHeight="1" ht="0.75">
      <c r="A55" s="1404" t="s">
        <v>290</v>
      </c>
      <c r="B55" s="1404" t="s">
        <v>291</v>
      </c>
      <c r="C55" s="2634"/>
      <c r="D55" s="2634"/>
      <c r="E55" s="2339"/>
      <c r="F55" s="2338"/>
      <c r="G55" s="2634"/>
      <c r="H55" s="2634"/>
      <c r="I55" s="2634"/>
      <c r="J55" s="2634"/>
      <c r="K55" s="2634"/>
      <c r="L55" s="1517"/>
      <c r="M55" s="2635"/>
      <c r="N55" s="2635"/>
      <c r="O55" s="1772"/>
      <c r="P55" s="1453"/>
      <c r="Q55" s="1454"/>
      <c r="R55" s="1453"/>
      <c r="S55" s="1459"/>
      <c r="T55" s="1462" t="s">
        <v>495</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773" customFormat="1" customHeight="1" ht="0.75">
      <c r="A56" s="1404" t="s">
        <v>290</v>
      </c>
      <c r="B56" s="1404"/>
      <c r="C56" s="1404"/>
      <c r="D56" s="1404"/>
      <c r="E56" s="2338"/>
      <c r="F56" s="1404"/>
      <c r="G56" s="1404"/>
      <c r="H56" s="1404"/>
      <c r="I56" s="1404"/>
      <c r="J56" s="1404"/>
      <c r="K56" s="1404"/>
      <c r="L56" s="1447"/>
      <c r="M56" s="2635"/>
      <c r="N56" s="2635"/>
      <c r="O56" s="1772"/>
      <c r="P56" s="510"/>
      <c r="Q56" s="1481"/>
      <c r="R56" s="510"/>
      <c r="S56" s="1459"/>
      <c r="T56" s="1462" t="s">
        <v>496</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753"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528</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CCE35-D70A-FA9A-FB25-653287BB57F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1" style="11649" width="11.421875" hidden="1" customWidth="1"/>
    <col min="12" max="12" style="11729" width="19.140625" hidden="1" customWidth="1"/>
    <col min="13" max="14" style="11730" width="12.28125" hidden="1" customWidth="1"/>
    <col min="15" max="15" style="11730" width="23.421875" hidden="1" customWidth="1"/>
    <col min="16" max="16" style="11742" width="3.7109375" customWidth="1"/>
    <col min="17" max="18" style="11732" width="3.7109375" customWidth="1"/>
    <col min="19" max="19" style="11733" width="12.7109375" customWidth="1"/>
    <col min="20" max="20" style="11734" width="32.00390625" customWidth="1"/>
    <col min="21" max="21" style="11734" width="0.7109375" hidden="1" customWidth="1"/>
    <col min="22" max="22" style="11734" width="1.7109375" hidden="1" customWidth="1"/>
    <col min="23" max="23" style="11734" width="24.7109375" hidden="1" customWidth="1"/>
    <col min="24" max="25" style="11734" width="0.140625" hidden="1" customWidth="1"/>
    <col min="26" max="26" style="11734" width="11.7109375" hidden="1" customWidth="1"/>
    <col min="27" max="27" style="11734" width="3.7109375" hidden="1" customWidth="1"/>
    <col min="28" max="28" style="11734" width="11.7109375" hidden="1" customWidth="1"/>
    <col min="29" max="29" style="11734" width="8.57421875" hidden="1" customWidth="1"/>
    <col min="30" max="30" style="11734" width="0.140625" customWidth="1"/>
    <col min="31" max="31" style="11734" width="24.7109375" customWidth="1"/>
    <col min="32" max="33" style="11734" width="0.140625" customWidth="1"/>
    <col min="34" max="34" style="11734" width="11.7109375" customWidth="1"/>
    <col min="35" max="35" style="11734" width="3.7109375" customWidth="1"/>
    <col min="36" max="36" style="11734" width="11.7109375" customWidth="1"/>
    <col min="37" max="37" style="11734" width="8.57421875" hidden="1" customWidth="1"/>
    <col min="38" max="38" style="11734" width="4.7109375" customWidth="1"/>
    <col min="39" max="39" style="11734" width="115.7109375" customWidth="1"/>
    <col min="40" max="41" style="11721" width="10.57421875"/>
    <col min="42" max="42" style="11721" width="11.140625" customWidth="1"/>
    <col min="43" max="44" style="1172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204</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476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477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478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479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480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481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482</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483</v>
      </c>
      <c r="M6" s="667"/>
      <c r="P6" s="2296">
        <v>1</v>
      </c>
      <c r="Q6" s="1468"/>
      <c r="R6" s="486"/>
      <c r="S6" s="1473">
        <f>$I6</f>
      </c>
      <c r="T6" s="415" t="s">
        <v>484</v>
      </c>
      <c r="U6" s="430"/>
      <c r="V6" s="2284"/>
      <c r="W6" s="2285"/>
      <c r="X6" s="2285"/>
      <c r="Y6" s="2285"/>
      <c r="Z6" s="2285"/>
      <c r="AA6" s="2285"/>
      <c r="AB6" s="2285"/>
      <c r="AC6" s="2286"/>
      <c r="AD6" s="2284"/>
      <c r="AE6" s="2285"/>
      <c r="AF6" s="2285"/>
      <c r="AG6" s="2285"/>
      <c r="AH6" s="2285"/>
      <c r="AI6" s="2285"/>
      <c r="AJ6" s="2285"/>
      <c r="AK6" s="2285"/>
      <c r="AL6" s="2286"/>
      <c r="AM6" s="1394" t="s">
        <v>485</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486</v>
      </c>
      <c r="M7" s="667"/>
      <c r="N7" s="1503"/>
      <c r="P7" s="2296"/>
      <c r="Q7" s="2296">
        <v>1</v>
      </c>
      <c r="R7" s="487"/>
      <c r="S7" s="1473">
        <f>$J7</f>
      </c>
      <c r="T7" s="416" t="s">
        <v>487</v>
      </c>
      <c r="U7" s="430"/>
      <c r="V7" s="2284"/>
      <c r="W7" s="2285"/>
      <c r="X7" s="2285"/>
      <c r="Y7" s="2285"/>
      <c r="Z7" s="2285"/>
      <c r="AA7" s="2285"/>
      <c r="AB7" s="2285"/>
      <c r="AC7" s="2286"/>
      <c r="AD7" s="2284"/>
      <c r="AE7" s="2285"/>
      <c r="AF7" s="2285"/>
      <c r="AG7" s="2285"/>
      <c r="AH7" s="2285"/>
      <c r="AI7" s="2285"/>
      <c r="AJ7" s="2285"/>
      <c r="AK7" s="2285"/>
      <c r="AL7" s="2286"/>
      <c r="AM7" s="1394" t="s">
        <v>488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489</v>
      </c>
      <c r="M8" s="667"/>
      <c r="N8" s="1503"/>
      <c r="O8" s="1503"/>
      <c r="P8" s="2296"/>
      <c r="Q8" s="2296"/>
      <c r="R8" s="487">
        <v>1</v>
      </c>
      <c r="S8" s="1473">
        <f>$K8</f>
      </c>
      <c r="T8" s="1484"/>
      <c r="U8" s="430"/>
      <c r="V8" s="455"/>
      <c r="W8" s="881"/>
      <c r="X8" s="455"/>
      <c r="Y8" s="514"/>
      <c r="Z8" s="2304"/>
      <c r="AA8" s="2147" t="s">
        <v>64</v>
      </c>
      <c r="AB8" s="2304"/>
      <c r="AC8" s="2147" t="s">
        <v>64</v>
      </c>
      <c r="AD8" s="455"/>
      <c r="AE8" s="881"/>
      <c r="AF8" s="455"/>
      <c r="AG8" s="514"/>
      <c r="AH8" s="2304"/>
      <c r="AI8" s="2147" t="s">
        <v>64</v>
      </c>
      <c r="AJ8" s="2304"/>
      <c r="AK8" s="2147" t="s">
        <v>64</v>
      </c>
      <c r="AL8" s="455"/>
      <c r="AM8" s="2292" t="s">
        <v>490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491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492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493</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630"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494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630"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495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630"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496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649" customFormat="1" customHeight="1" ht="22.5" hidden="1">
      <c r="L20" s="1466"/>
      <c r="M20" s="1499"/>
      <c r="N20" s="1499"/>
      <c r="O20" s="1504" t="s">
        <v>497</v>
      </c>
      <c r="P20" s="1499"/>
      <c r="Q20" s="1508"/>
      <c r="R20" s="1508"/>
      <c r="S20" s="859"/>
      <c r="Z20" s="1504"/>
      <c r="AB20" s="1504"/>
      <c r="AC20" s="1503"/>
      <c r="AH20" s="1504"/>
      <c r="AJ20" s="1504"/>
      <c r="AK20" s="1503"/>
      <c r="AN20" s="641"/>
      <c r="AO20" s="641"/>
      <c r="AP20" s="641"/>
      <c r="AQ20" s="641"/>
      <c r="AR20" s="641"/>
    </row>
    <row s="11649" customFormat="1" customHeight="1" ht="14.25" hidden="1">
      <c r="L21" s="1466"/>
      <c r="M21" s="1499"/>
      <c r="N21" s="1499"/>
      <c r="O21" s="1499"/>
      <c r="P21" s="1499"/>
      <c r="Q21" s="1508"/>
      <c r="R21" s="1508"/>
      <c r="S21" s="859"/>
      <c r="AC21" s="1503"/>
      <c r="AK21" s="1503"/>
      <c r="AN21" s="641"/>
      <c r="AO21" s="641"/>
      <c r="AP21" s="641"/>
      <c r="AQ21" s="641"/>
      <c r="AR21" s="641"/>
    </row>
    <row s="11649" customFormat="1" customHeight="1" ht="33.75" hidden="1">
      <c r="L22" s="1466"/>
      <c r="M22" s="1499"/>
      <c r="N22" s="1499"/>
      <c r="O22" s="1501" t="s">
        <v>498</v>
      </c>
      <c r="P22" s="1499"/>
      <c r="Q22" s="1508"/>
      <c r="R22" s="1508"/>
      <c r="S22" s="859"/>
      <c r="T22" s="1292" t="s">
        <v>499</v>
      </c>
      <c r="AA22" s="316" t="s">
        <v>500</v>
      </c>
      <c r="AC22" s="316" t="s">
        <v>501</v>
      </c>
      <c r="AD22" s="1292" t="s">
        <v>499</v>
      </c>
      <c r="AI22" s="316" t="s">
        <v>502</v>
      </c>
      <c r="AK22" s="316" t="s">
        <v>501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66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662" customFormat="1" customHeight="1" ht="18.75" hidden="1">
      <c r="A30" s="1505"/>
      <c r="B30" s="1505"/>
      <c r="C30" s="1505"/>
      <c r="D30" s="1505"/>
      <c r="E30" s="1505"/>
      <c r="F30" s="1505"/>
      <c r="G30" s="1505"/>
      <c r="H30" s="1505"/>
      <c r="I30" s="1505"/>
      <c r="J30" s="1505"/>
      <c r="K30" s="1505"/>
      <c r="L30" s="1506"/>
      <c r="M30" s="1505"/>
      <c r="N30" s="1505"/>
      <c r="O30" s="1505"/>
      <c r="S30" s="2289" t="s">
        <v>503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662" customFormat="1" customHeight="1" ht="18.75" hidden="1">
      <c r="A31" s="1505"/>
      <c r="B31" s="1505"/>
      <c r="C31" s="1505"/>
      <c r="D31" s="1505"/>
      <c r="E31" s="1505"/>
      <c r="F31" s="1505"/>
      <c r="G31" s="1505"/>
      <c r="H31" s="1505"/>
      <c r="I31" s="1505"/>
      <c r="J31" s="1505"/>
      <c r="K31" s="1505"/>
      <c r="L31" s="1506"/>
      <c r="M31" s="1505"/>
      <c r="N31" s="1505"/>
      <c r="O31" s="1505"/>
      <c r="S31" s="2289" t="s">
        <v>504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66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662" customFormat="1" customHeight="1" ht="18.75" hidden="1">
      <c r="A34" s="1505"/>
      <c r="B34" s="1505"/>
      <c r="C34" s="1505"/>
      <c r="D34" s="1505"/>
      <c r="E34" s="1505"/>
      <c r="F34" s="1505"/>
      <c r="G34" s="1505"/>
      <c r="H34" s="1505"/>
      <c r="I34" s="1505"/>
      <c r="J34" s="1505"/>
      <c r="K34" s="1505"/>
      <c r="L34" s="1506"/>
      <c r="M34" s="1505"/>
      <c r="N34" s="1505"/>
      <c r="O34" s="1505"/>
      <c r="S34" s="2289" t="s">
        <v>505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662" customFormat="1" customHeight="1" ht="18.75" hidden="1">
      <c r="A35" s="1505"/>
      <c r="B35" s="1505"/>
      <c r="C35" s="1505"/>
      <c r="D35" s="1505"/>
      <c r="E35" s="1505"/>
      <c r="F35" s="1505"/>
      <c r="G35" s="1505"/>
      <c r="H35" s="1505"/>
      <c r="I35" s="1505"/>
      <c r="J35" s="1505"/>
      <c r="K35" s="1505"/>
      <c r="L35" s="1506"/>
      <c r="M35" s="1505"/>
      <c r="N35" s="1505"/>
      <c r="O35" s="1505"/>
      <c r="S35" s="2289" t="s">
        <v>506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66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507</v>
      </c>
      <c r="AD36" s="456"/>
      <c r="AE36" s="456"/>
      <c r="AF36" s="456"/>
      <c r="AG36" s="456"/>
      <c r="AH36" s="456"/>
      <c r="AI36" s="456"/>
      <c r="AJ36" s="456"/>
      <c r="AK36" s="408" t="s">
        <v>507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378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379</v>
      </c>
    </row>
    <row customHeight="1" ht="14.25">
      <c r="Q39" s="506"/>
      <c r="R39" s="506"/>
      <c r="S39" s="2312" t="s">
        <v>85</v>
      </c>
      <c r="T39" s="2248" t="s">
        <v>508</v>
      </c>
      <c r="U39" s="431"/>
      <c r="V39" s="2313" t="s">
        <v>509</v>
      </c>
      <c r="W39" s="2314"/>
      <c r="X39" s="2328"/>
      <c r="Y39" s="2328"/>
      <c r="Z39" s="2314"/>
      <c r="AA39" s="2314"/>
      <c r="AB39" s="2315"/>
      <c r="AC39" s="2316" t="s">
        <v>510</v>
      </c>
      <c r="AD39" s="2313" t="s">
        <v>509</v>
      </c>
      <c r="AE39" s="2314"/>
      <c r="AF39" s="2328"/>
      <c r="AG39" s="2328"/>
      <c r="AH39" s="2314"/>
      <c r="AI39" s="2314"/>
      <c r="AJ39" s="2315"/>
      <c r="AK39" s="2316" t="s">
        <v>511</v>
      </c>
      <c r="AL39" s="2319" t="s">
        <v>512</v>
      </c>
      <c r="AM39" s="2167"/>
    </row>
    <row customHeight="1" ht="23.25">
      <c r="Q40" s="506"/>
      <c r="R40" s="506"/>
      <c r="S40" s="2312"/>
      <c r="T40" s="2248"/>
      <c r="U40" s="1162"/>
      <c r="V40" s="2329" t="s">
        <v>513</v>
      </c>
      <c r="W40" s="2331" t="s">
        <v>514</v>
      </c>
      <c r="X40" s="1513" t="s">
        <v>515</v>
      </c>
      <c r="Y40" s="1513"/>
      <c r="Z40" s="2308" t="s">
        <v>516</v>
      </c>
      <c r="AA40" s="2308"/>
      <c r="AB40" s="2302"/>
      <c r="AC40" s="2317"/>
      <c r="AD40" s="2329" t="s">
        <v>513</v>
      </c>
      <c r="AE40" s="2331" t="s">
        <v>514</v>
      </c>
      <c r="AF40" s="1513" t="s">
        <v>515</v>
      </c>
      <c r="AG40" s="1513"/>
      <c r="AH40" s="2308" t="s">
        <v>516</v>
      </c>
      <c r="AI40" s="2308"/>
      <c r="AJ40" s="2302"/>
      <c r="AK40" s="2317"/>
      <c r="AL40" s="2320"/>
      <c r="AM40" s="2167"/>
    </row>
    <row s="11785" customFormat="1" customHeight="1" ht="23.25">
      <c r="A41" s="1507"/>
      <c r="B41" s="1507" t="s">
        <v>216</v>
      </c>
      <c r="C41" s="1507" t="s">
        <v>217</v>
      </c>
      <c r="D41" s="1507" t="s">
        <v>218</v>
      </c>
      <c r="E41" s="1501" t="s">
        <v>517</v>
      </c>
      <c r="F41" s="1501" t="s">
        <v>518</v>
      </c>
      <c r="G41" s="1501" t="s">
        <v>519</v>
      </c>
      <c r="H41" s="1501" t="s">
        <v>520</v>
      </c>
      <c r="I41" s="1501" t="s">
        <v>521</v>
      </c>
      <c r="J41" s="1501" t="s">
        <v>522</v>
      </c>
      <c r="K41" s="1501" t="s">
        <v>523</v>
      </c>
      <c r="L41" s="1501" t="s">
        <v>498</v>
      </c>
      <c r="M41" s="1499"/>
      <c r="N41" s="1499"/>
      <c r="O41" s="1499"/>
      <c r="P41" s="1465"/>
      <c r="Q41" s="506"/>
      <c r="R41" s="506"/>
      <c r="S41" s="2312"/>
      <c r="T41" s="2248"/>
      <c r="U41" s="432"/>
      <c r="V41" s="2330"/>
      <c r="W41" s="2332"/>
      <c r="X41" s="1510" t="s">
        <v>524</v>
      </c>
      <c r="Y41" s="1510" t="s">
        <v>525</v>
      </c>
      <c r="Z41" s="1471" t="s">
        <v>526</v>
      </c>
      <c r="AA41" s="2309" t="s">
        <v>527</v>
      </c>
      <c r="AB41" s="2310"/>
      <c r="AC41" s="2318"/>
      <c r="AD41" s="2330"/>
      <c r="AE41" s="2332"/>
      <c r="AF41" s="1510" t="s">
        <v>524</v>
      </c>
      <c r="AG41" s="1510" t="s">
        <v>525</v>
      </c>
      <c r="AH41" s="1471" t="s">
        <v>526</v>
      </c>
      <c r="AI41" s="2309" t="s">
        <v>527</v>
      </c>
      <c r="AJ41" s="2310"/>
      <c r="AK41" s="2318"/>
      <c r="AL41" s="2321"/>
      <c r="AM41" s="2167"/>
      <c r="AN41" s="641"/>
      <c r="AO41" s="630"/>
      <c r="AP41" s="630"/>
      <c r="AQ41" s="630"/>
      <c r="AR41" s="630"/>
    </row>
    <row s="11482"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165</v>
      </c>
      <c r="T42" s="1391" t="s">
        <v>100</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272</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204</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272</v>
      </c>
      <c r="B44" s="1500" t="s">
        <v>273</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477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478</v>
      </c>
      <c r="AO44" s="630"/>
      <c r="AP44" s="630" t="str">
        <f>IF(T44="","",T44)</f>
        <v>Территория действия тарифа</v>
      </c>
      <c r="AQ44" s="630"/>
      <c r="AR44" s="630"/>
    </row>
    <row customHeight="1" ht="23.25">
      <c r="A45" s="1500" t="s">
        <v>272</v>
      </c>
      <c r="B45" s="1500" t="s">
        <v>273</v>
      </c>
      <c r="C45" s="1500" t="s">
        <v>274</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479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480</v>
      </c>
      <c r="AO45" s="630"/>
      <c r="AP45" s="630" t="str">
        <f>IF(T45="","",T45)</f>
        <v>Наименование системы теплоснабжения </v>
      </c>
      <c r="AQ45" s="630"/>
      <c r="AR45" s="630"/>
    </row>
    <row customHeight="1" ht="21">
      <c r="A46" s="1500" t="s">
        <v>272</v>
      </c>
      <c r="B46" s="1500" t="s">
        <v>273</v>
      </c>
      <c r="C46" s="1500" t="s">
        <v>274</v>
      </c>
      <c r="D46" s="1500" t="s">
        <v>275</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481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482</v>
      </c>
      <c r="AO46" s="630"/>
      <c r="AP46" s="630" t="str">
        <f>IF(T46="","",T46)</f>
        <v>Источник тепловой энергии  </v>
      </c>
      <c r="AQ46" s="630"/>
      <c r="AR46" s="630"/>
    </row>
    <row customHeight="1" ht="47.25">
      <c r="A47" s="1500" t="s">
        <v>272</v>
      </c>
      <c r="B47" s="1500" t="s">
        <v>273</v>
      </c>
      <c r="C47" s="1500" t="s">
        <v>274</v>
      </c>
      <c r="D47" s="1500" t="s">
        <v>275</v>
      </c>
      <c r="E47" s="2298"/>
      <c r="F47" s="2298"/>
      <c r="G47" s="2298"/>
      <c r="H47" s="2298"/>
      <c r="I47" s="2295" t="str">
        <f>S46&amp;".1"</f>
        <v>....1</v>
      </c>
      <c r="J47" s="1500"/>
      <c r="K47" s="1500"/>
      <c r="L47" s="1501" t="s">
        <v>483</v>
      </c>
      <c r="P47" s="2296">
        <v>1</v>
      </c>
      <c r="Q47" s="1468"/>
      <c r="R47" s="486"/>
      <c r="S47" s="1473" t="str">
        <f>$I47</f>
        <v>....1</v>
      </c>
      <c r="T47" s="415" t="s">
        <v>484</v>
      </c>
      <c r="U47" s="430"/>
      <c r="V47" s="2284"/>
      <c r="W47" s="2285"/>
      <c r="X47" s="2285"/>
      <c r="Y47" s="2285"/>
      <c r="Z47" s="2285"/>
      <c r="AA47" s="2285"/>
      <c r="AB47" s="2285"/>
      <c r="AC47" s="2286"/>
      <c r="AD47" s="2284"/>
      <c r="AE47" s="2285"/>
      <c r="AF47" s="2285"/>
      <c r="AG47" s="2285"/>
      <c r="AH47" s="2285"/>
      <c r="AI47" s="2285"/>
      <c r="AJ47" s="2285"/>
      <c r="AK47" s="2285"/>
      <c r="AL47" s="2286"/>
      <c r="AM47" s="1394" t="s">
        <v>485</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272</v>
      </c>
      <c r="B48" s="1500" t="s">
        <v>273</v>
      </c>
      <c r="C48" s="1500" t="s">
        <v>274</v>
      </c>
      <c r="D48" s="1500" t="s">
        <v>275</v>
      </c>
      <c r="E48" s="2298"/>
      <c r="F48" s="2298"/>
      <c r="G48" s="2298"/>
      <c r="H48" s="2298"/>
      <c r="I48" s="2325"/>
      <c r="J48" s="2295" t="str">
        <f>I47&amp;".1"</f>
        <v>....1.1</v>
      </c>
      <c r="K48" s="1500"/>
      <c r="L48" s="1501" t="s">
        <v>486</v>
      </c>
      <c r="P48" s="2296"/>
      <c r="Q48" s="2296">
        <v>1</v>
      </c>
      <c r="R48" s="487"/>
      <c r="S48" s="1473" t="str">
        <f>$J48</f>
        <v>....1.1</v>
      </c>
      <c r="T48" s="416" t="s">
        <v>487</v>
      </c>
      <c r="U48" s="430"/>
      <c r="V48" s="2284"/>
      <c r="W48" s="2285"/>
      <c r="X48" s="2285"/>
      <c r="Y48" s="2285"/>
      <c r="Z48" s="2285"/>
      <c r="AA48" s="2285"/>
      <c r="AB48" s="2285"/>
      <c r="AC48" s="2286"/>
      <c r="AD48" s="2284"/>
      <c r="AE48" s="2285"/>
      <c r="AF48" s="2285"/>
      <c r="AG48" s="2285"/>
      <c r="AH48" s="2285"/>
      <c r="AI48" s="2285"/>
      <c r="AJ48" s="2285"/>
      <c r="AK48" s="2285"/>
      <c r="AL48" s="2286"/>
      <c r="AM48" s="1394" t="s">
        <v>488</v>
      </c>
      <c r="AO48" s="630"/>
      <c r="AP48" s="630" t="str">
        <f>IF(T48="","",T48)</f>
        <v>Группа потребителей</v>
      </c>
      <c r="AQ48" s="630"/>
      <c r="AR48" s="630"/>
    </row>
    <row customHeight="1" ht="21">
      <c r="A49" s="1500" t="s">
        <v>272</v>
      </c>
      <c r="B49" s="1500" t="s">
        <v>273</v>
      </c>
      <c r="C49" s="1500" t="s">
        <v>274</v>
      </c>
      <c r="D49" s="1500" t="s">
        <v>275</v>
      </c>
      <c r="E49" s="2298"/>
      <c r="F49" s="2298"/>
      <c r="G49" s="2298"/>
      <c r="H49" s="2298"/>
      <c r="I49" s="2325"/>
      <c r="J49" s="2325"/>
      <c r="K49" s="2295" t="str">
        <f>J48&amp;".1"</f>
        <v>....1.1.1</v>
      </c>
      <c r="L49" s="1501" t="s">
        <v>489</v>
      </c>
      <c r="P49" s="2296"/>
      <c r="Q49" s="2296"/>
      <c r="R49" s="487">
        <v>1</v>
      </c>
      <c r="S49" s="1473" t="str">
        <f>$K49</f>
        <v>....1.1.1</v>
      </c>
      <c r="T49" s="1484"/>
      <c r="U49" s="430"/>
      <c r="V49" s="455"/>
      <c r="W49" s="881"/>
      <c r="X49" s="455"/>
      <c r="Y49" s="514"/>
      <c r="Z49" s="2304"/>
      <c r="AA49" s="2147" t="s">
        <v>64</v>
      </c>
      <c r="AB49" s="2304"/>
      <c r="AC49" s="2147" t="s">
        <v>64</v>
      </c>
      <c r="AD49" s="455"/>
      <c r="AE49" s="881"/>
      <c r="AF49" s="455"/>
      <c r="AG49" s="514"/>
      <c r="AH49" s="2304"/>
      <c r="AI49" s="2147" t="s">
        <v>64</v>
      </c>
      <c r="AJ49" s="2326"/>
      <c r="AK49" s="2147" t="s">
        <v>64</v>
      </c>
      <c r="AL49" s="1485"/>
      <c r="AM49" s="2292" t="s">
        <v>490</v>
      </c>
      <c r="AN49" s="641">
        <f>STRCHECKDATE(V50:AL50)</f>
      </c>
      <c r="AO49" s="630"/>
      <c r="AP49" s="630" t="str">
        <f>IF(T49="","",T49)</f>
        <v/>
      </c>
      <c r="AQ49" s="630"/>
      <c r="AR49" s="630"/>
    </row>
    <row customHeight="1" ht="0.75">
      <c r="A50" s="1500" t="s">
        <v>272</v>
      </c>
      <c r="B50" s="1500" t="s">
        <v>273</v>
      </c>
      <c r="C50" s="1500" t="s">
        <v>274</v>
      </c>
      <c r="D50" s="1500" t="s">
        <v>275</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272</v>
      </c>
      <c r="B51" s="1500" t="s">
        <v>273</v>
      </c>
      <c r="C51" s="1500" t="s">
        <v>274</v>
      </c>
      <c r="D51" s="1500" t="s">
        <v>275</v>
      </c>
      <c r="E51" s="2298"/>
      <c r="F51" s="2298"/>
      <c r="G51" s="2298"/>
      <c r="H51" s="2298"/>
      <c r="I51" s="2325"/>
      <c r="J51" s="2295"/>
      <c r="K51" s="1500"/>
      <c r="L51" s="1501"/>
      <c r="P51" s="2296"/>
      <c r="Q51" s="2296"/>
      <c r="R51" s="486"/>
      <c r="S51" s="1415"/>
      <c r="T51" s="418" t="s">
        <v>491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272</v>
      </c>
      <c r="B52" s="1500" t="s">
        <v>273</v>
      </c>
      <c r="C52" s="1500" t="s">
        <v>274</v>
      </c>
      <c r="D52" s="1500" t="s">
        <v>275</v>
      </c>
      <c r="E52" s="2298"/>
      <c r="F52" s="2298"/>
      <c r="G52" s="2298"/>
      <c r="H52" s="2298"/>
      <c r="I52" s="2295"/>
      <c r="J52" s="1500"/>
      <c r="K52" s="1500"/>
      <c r="L52" s="1501"/>
      <c r="P52" s="2296"/>
      <c r="Q52" s="1468"/>
      <c r="R52" s="486"/>
      <c r="S52" s="1415"/>
      <c r="T52" s="417" t="s">
        <v>492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272</v>
      </c>
      <c r="B53" s="1500" t="s">
        <v>273</v>
      </c>
      <c r="C53" s="1500" t="s">
        <v>274</v>
      </c>
      <c r="D53" s="1500" t="s">
        <v>275</v>
      </c>
      <c r="E53" s="2298"/>
      <c r="F53" s="2298"/>
      <c r="G53" s="2298"/>
      <c r="H53" s="2297"/>
      <c r="I53" s="1500"/>
      <c r="J53" s="1500"/>
      <c r="K53" s="1500"/>
      <c r="L53" s="1501"/>
      <c r="M53" s="1502"/>
      <c r="N53" s="1502"/>
      <c r="O53" s="667"/>
      <c r="P53" s="490"/>
      <c r="Q53" s="505"/>
      <c r="R53" s="485"/>
      <c r="S53" s="1415"/>
      <c r="T53" s="495" t="s">
        <v>493</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630" customFormat="1" customHeight="1" ht="0.75">
      <c r="A54" s="1480" t="s">
        <v>272</v>
      </c>
      <c r="B54" s="1480" t="s">
        <v>273</v>
      </c>
      <c r="C54" s="1480" t="s">
        <v>274</v>
      </c>
      <c r="D54" s="1451"/>
      <c r="E54" s="2298"/>
      <c r="F54" s="2298"/>
      <c r="G54" s="2297"/>
      <c r="H54" s="1451"/>
      <c r="I54" s="1451"/>
      <c r="J54" s="1451"/>
      <c r="K54" s="1451"/>
      <c r="L54" s="1476"/>
      <c r="M54" s="1452"/>
      <c r="N54" s="1452"/>
      <c r="P54" s="1453"/>
      <c r="Q54" s="1454"/>
      <c r="R54" s="1453"/>
      <c r="S54" s="1459"/>
      <c r="T54" s="1462" t="s">
        <v>494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630" customFormat="1" customHeight="1" ht="0.75">
      <c r="A55" s="1480" t="s">
        <v>272</v>
      </c>
      <c r="B55" s="1480" t="s">
        <v>273</v>
      </c>
      <c r="C55" s="1451"/>
      <c r="D55" s="1451"/>
      <c r="E55" s="2298"/>
      <c r="F55" s="2297"/>
      <c r="G55" s="1451"/>
      <c r="H55" s="1451"/>
      <c r="I55" s="1451"/>
      <c r="J55" s="1451"/>
      <c r="K55" s="1451"/>
      <c r="L55" s="1476"/>
      <c r="M55" s="1458"/>
      <c r="N55" s="1458"/>
      <c r="P55" s="1453"/>
      <c r="Q55" s="1454"/>
      <c r="R55" s="1453"/>
      <c r="S55" s="1459"/>
      <c r="T55" s="1462" t="s">
        <v>495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721" customFormat="1" customHeight="1" ht="0.75">
      <c r="A56" s="1480" t="s">
        <v>272</v>
      </c>
      <c r="B56" s="1480"/>
      <c r="C56" s="1480"/>
      <c r="D56" s="1480"/>
      <c r="E56" s="2297"/>
      <c r="F56" s="1480"/>
      <c r="G56" s="1480"/>
      <c r="H56" s="1480"/>
      <c r="I56" s="1480"/>
      <c r="J56" s="1480"/>
      <c r="K56" s="1480"/>
      <c r="L56" s="1483"/>
      <c r="M56" s="1458"/>
      <c r="N56" s="1458"/>
      <c r="O56" s="648"/>
      <c r="P56" s="510"/>
      <c r="Q56" s="1481"/>
      <c r="R56" s="510"/>
      <c r="S56" s="1459"/>
      <c r="T56" s="1462" t="s">
        <v>496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630"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528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B8B75-9C28-AD83-EB8F-F092A3B11AC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1" style="11649" width="11.421875" hidden="1" customWidth="1"/>
    <col min="12" max="12" style="11729" width="19.140625" hidden="1" customWidth="1"/>
    <col min="13" max="14" style="11730" width="12.28125" hidden="1" customWidth="1"/>
    <col min="15" max="15" style="11730" width="23.421875" hidden="1" customWidth="1"/>
    <col min="16" max="16" style="11742" width="3.7109375" hidden="1" customWidth="1"/>
    <col min="17" max="18" style="11732" width="3.7109375" customWidth="1"/>
    <col min="19" max="19" style="11733" width="12.7109375" customWidth="1"/>
    <col min="20" max="20" style="11734" width="32.00390625" customWidth="1"/>
    <col min="21" max="21" style="11734" width="0.140625" customWidth="1"/>
    <col min="22" max="22" style="11734" width="24.7109375" hidden="1" customWidth="1"/>
    <col min="23" max="23" style="11734" width="0.140625" hidden="1" customWidth="1"/>
    <col min="24" max="25" style="11734" width="24.7109375" hidden="1" customWidth="1"/>
    <col min="26" max="26" style="11734" width="11.7109375" hidden="1" customWidth="1"/>
    <col min="27" max="27" style="11734" width="3.7109375" hidden="1" customWidth="1"/>
    <col min="28" max="28" style="11734" width="11.7109375" hidden="1" customWidth="1"/>
    <col min="29" max="29" style="11734" width="8.57421875" hidden="1" customWidth="1"/>
    <col min="30" max="30" style="11734" width="24.7109375" customWidth="1"/>
    <col min="31" max="31" style="11734" width="0.140625" customWidth="1"/>
    <col min="32" max="33" style="11734" width="24.7109375" customWidth="1"/>
    <col min="34" max="34" style="11734" width="11.7109375" customWidth="1"/>
    <col min="35" max="35" style="11734" width="3.7109375" customWidth="1"/>
    <col min="36" max="36" style="11734" width="11.7109375" customWidth="1"/>
    <col min="37" max="37" style="11734" width="8.57421875" hidden="1" customWidth="1"/>
    <col min="38" max="38" style="11734" width="4.7109375" customWidth="1"/>
    <col min="39" max="39" style="11734" width="115.7109375" customWidth="1"/>
    <col min="40" max="41" style="11721" width="10.57421875"/>
    <col min="42" max="42" style="11721" width="11.140625" customWidth="1"/>
    <col min="43" max="44" style="1172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204</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476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477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478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479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480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481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482</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483</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486</v>
      </c>
      <c r="M7" s="667"/>
      <c r="N7" s="1503"/>
      <c r="P7" s="2296"/>
      <c r="Q7" s="2296">
        <v>1</v>
      </c>
      <c r="R7" s="487"/>
      <c r="S7" s="1473">
        <f>$J7</f>
      </c>
      <c r="T7" s="416" t="s">
        <v>487</v>
      </c>
      <c r="U7" s="430"/>
      <c r="V7" s="2284"/>
      <c r="W7" s="2285"/>
      <c r="X7" s="2285"/>
      <c r="Y7" s="2285"/>
      <c r="Z7" s="2285"/>
      <c r="AA7" s="2285"/>
      <c r="AB7" s="2285"/>
      <c r="AC7" s="2286"/>
      <c r="AD7" s="2284"/>
      <c r="AE7" s="2285"/>
      <c r="AF7" s="2285"/>
      <c r="AG7" s="2285"/>
      <c r="AH7" s="2285"/>
      <c r="AI7" s="2285"/>
      <c r="AJ7" s="2285"/>
      <c r="AK7" s="2285"/>
      <c r="AL7" s="2286"/>
      <c r="AM7" s="1394" t="s">
        <v>488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489</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490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491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492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630"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494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630"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495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630"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496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649" customFormat="1" customHeight="1" ht="22.5" hidden="1">
      <c r="L20" s="1466"/>
      <c r="M20" s="1499"/>
      <c r="N20" s="1499"/>
      <c r="O20" s="1504" t="s">
        <v>497</v>
      </c>
      <c r="P20" s="1499"/>
      <c r="Q20" s="1508"/>
      <c r="R20" s="1508"/>
      <c r="S20" s="859"/>
      <c r="Z20" s="1504"/>
      <c r="AB20" s="1504"/>
      <c r="AC20" s="1503"/>
      <c r="AH20" s="1504"/>
      <c r="AJ20" s="1504"/>
      <c r="AK20" s="1503"/>
      <c r="AN20" s="641"/>
      <c r="AO20" s="641"/>
      <c r="AP20" s="641"/>
      <c r="AQ20" s="641"/>
      <c r="AR20" s="641"/>
    </row>
    <row s="11649" customFormat="1" customHeight="1" ht="14.25" hidden="1">
      <c r="L21" s="1466"/>
      <c r="M21" s="1499"/>
      <c r="N21" s="1499"/>
      <c r="O21" s="1499"/>
      <c r="P21" s="1499"/>
      <c r="Q21" s="1508"/>
      <c r="R21" s="1508"/>
      <c r="S21" s="859"/>
      <c r="AC21" s="1503"/>
      <c r="AK21" s="1503"/>
      <c r="AN21" s="641"/>
      <c r="AO21" s="641"/>
      <c r="AP21" s="641"/>
      <c r="AQ21" s="641"/>
      <c r="AR21" s="641"/>
    </row>
    <row s="11649" customFormat="1" customHeight="1" ht="14.25" hidden="1">
      <c r="L22" s="1466"/>
      <c r="M22" s="1499"/>
      <c r="N22" s="1499"/>
      <c r="O22" s="1501" t="s">
        <v>498</v>
      </c>
      <c r="P22" s="1499"/>
      <c r="Q22" s="1508"/>
      <c r="R22" s="1508"/>
      <c r="S22" s="859"/>
      <c r="T22" s="1292" t="s">
        <v>499</v>
      </c>
      <c r="AA22" s="316" t="s">
        <v>500</v>
      </c>
      <c r="AC22" s="316" t="s">
        <v>501</v>
      </c>
      <c r="AD22" s="1292" t="s">
        <v>499</v>
      </c>
      <c r="AI22" s="316" t="s">
        <v>502</v>
      </c>
      <c r="AK22" s="316" t="s">
        <v>501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66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662" customFormat="1" customHeight="1" ht="18.75" hidden="1">
      <c r="A30" s="1505"/>
      <c r="B30" s="1505"/>
      <c r="C30" s="1505"/>
      <c r="D30" s="1505"/>
      <c r="E30" s="1505"/>
      <c r="F30" s="1505"/>
      <c r="G30" s="1505"/>
      <c r="H30" s="1505"/>
      <c r="I30" s="1505"/>
      <c r="J30" s="1505"/>
      <c r="K30" s="1505"/>
      <c r="L30" s="1506"/>
      <c r="M30" s="1505"/>
      <c r="N30" s="1505"/>
      <c r="O30" s="1505"/>
      <c r="S30" s="2289" t="s">
        <v>503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662" customFormat="1" customHeight="1" ht="18.75" hidden="1">
      <c r="A31" s="1505"/>
      <c r="B31" s="1505"/>
      <c r="C31" s="1505"/>
      <c r="D31" s="1505"/>
      <c r="E31" s="1505"/>
      <c r="F31" s="1505"/>
      <c r="G31" s="1505"/>
      <c r="H31" s="1505"/>
      <c r="I31" s="1505"/>
      <c r="J31" s="1505"/>
      <c r="K31" s="1505"/>
      <c r="L31" s="1506"/>
      <c r="M31" s="1505"/>
      <c r="N31" s="1505"/>
      <c r="O31" s="1505"/>
      <c r="S31" s="2289" t="s">
        <v>504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66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662" customFormat="1" customHeight="1" ht="18.75" hidden="1">
      <c r="A34" s="1505"/>
      <c r="B34" s="1505"/>
      <c r="C34" s="1505"/>
      <c r="D34" s="1505"/>
      <c r="E34" s="1505"/>
      <c r="F34" s="1505"/>
      <c r="G34" s="1505"/>
      <c r="H34" s="1505"/>
      <c r="I34" s="1505"/>
      <c r="J34" s="1505"/>
      <c r="K34" s="1505"/>
      <c r="L34" s="1506"/>
      <c r="M34" s="1505"/>
      <c r="N34" s="1505"/>
      <c r="O34" s="1505"/>
      <c r="S34" s="2289" t="s">
        <v>505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662" customFormat="1" customHeight="1" ht="18.75" hidden="1">
      <c r="A35" s="1505"/>
      <c r="B35" s="1505"/>
      <c r="C35" s="1505"/>
      <c r="D35" s="1505"/>
      <c r="E35" s="1505"/>
      <c r="F35" s="1505"/>
      <c r="G35" s="1505"/>
      <c r="H35" s="1505"/>
      <c r="I35" s="1505"/>
      <c r="J35" s="1505"/>
      <c r="K35" s="1505"/>
      <c r="L35" s="1506"/>
      <c r="M35" s="1505"/>
      <c r="N35" s="1505"/>
      <c r="O35" s="1505"/>
      <c r="S35" s="2289" t="s">
        <v>506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66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507</v>
      </c>
      <c r="AD36" s="456"/>
      <c r="AE36" s="456"/>
      <c r="AF36" s="456"/>
      <c r="AG36" s="456"/>
      <c r="AH36" s="456"/>
      <c r="AI36" s="456"/>
      <c r="AJ36" s="456"/>
      <c r="AK36" s="408" t="s">
        <v>507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378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379</v>
      </c>
    </row>
    <row customHeight="1" ht="14.25">
      <c r="Q39" s="506"/>
      <c r="R39" s="506"/>
      <c r="S39" s="2312" t="s">
        <v>85</v>
      </c>
      <c r="T39" s="2248" t="s">
        <v>508</v>
      </c>
      <c r="U39" s="431"/>
      <c r="V39" s="2313" t="s">
        <v>509</v>
      </c>
      <c r="W39" s="2314"/>
      <c r="X39" s="2314"/>
      <c r="Y39" s="2314"/>
      <c r="Z39" s="2314"/>
      <c r="AA39" s="2314"/>
      <c r="AB39" s="2315"/>
      <c r="AC39" s="2316" t="s">
        <v>510</v>
      </c>
      <c r="AD39" s="2313" t="s">
        <v>509</v>
      </c>
      <c r="AE39" s="2314"/>
      <c r="AF39" s="2314"/>
      <c r="AG39" s="2314"/>
      <c r="AH39" s="2314"/>
      <c r="AI39" s="2314"/>
      <c r="AJ39" s="2315"/>
      <c r="AK39" s="2316" t="s">
        <v>511</v>
      </c>
      <c r="AL39" s="2319" t="s">
        <v>512</v>
      </c>
      <c r="AM39" s="2167"/>
    </row>
    <row customHeight="1" ht="33.75">
      <c r="Q40" s="506"/>
      <c r="R40" s="506"/>
      <c r="S40" s="2312"/>
      <c r="T40" s="2248"/>
      <c r="U40" s="1162"/>
      <c r="V40" s="2299" t="s">
        <v>513</v>
      </c>
      <c r="W40" s="2322"/>
      <c r="X40" s="2301" t="s">
        <v>515</v>
      </c>
      <c r="Y40" s="2302"/>
      <c r="Z40" s="2301" t="s">
        <v>516</v>
      </c>
      <c r="AA40" s="2308"/>
      <c r="AB40" s="2302"/>
      <c r="AC40" s="2317"/>
      <c r="AD40" s="2299" t="s">
        <v>530</v>
      </c>
      <c r="AE40" s="2322"/>
      <c r="AF40" s="2301" t="s">
        <v>515</v>
      </c>
      <c r="AG40" s="2302"/>
      <c r="AH40" s="2301" t="s">
        <v>516</v>
      </c>
      <c r="AI40" s="2308"/>
      <c r="AJ40" s="2302"/>
      <c r="AK40" s="2317"/>
      <c r="AL40" s="2320"/>
      <c r="AM40" s="2167"/>
    </row>
    <row customHeight="1" ht="33.75">
      <c r="A41" s="1507"/>
      <c r="B41" s="1507" t="s">
        <v>216</v>
      </c>
      <c r="C41" s="1507" t="s">
        <v>217</v>
      </c>
      <c r="D41" s="1507" t="s">
        <v>218</v>
      </c>
      <c r="E41" s="1501" t="s">
        <v>517</v>
      </c>
      <c r="F41" s="1501" t="s">
        <v>518</v>
      </c>
      <c r="G41" s="1501" t="s">
        <v>519</v>
      </c>
      <c r="H41" s="1501" t="s">
        <v>520</v>
      </c>
      <c r="I41" s="1501" t="s">
        <v>521</v>
      </c>
      <c r="J41" s="1501" t="s">
        <v>522</v>
      </c>
      <c r="K41" s="1501" t="s">
        <v>523</v>
      </c>
      <c r="L41" s="1501" t="s">
        <v>498</v>
      </c>
      <c r="Q41" s="506"/>
      <c r="R41" s="506"/>
      <c r="S41" s="2312"/>
      <c r="T41" s="2248"/>
      <c r="U41" s="432"/>
      <c r="V41" s="2300"/>
      <c r="W41" s="2323"/>
      <c r="X41" s="1358" t="s">
        <v>524</v>
      </c>
      <c r="Y41" s="1358" t="s">
        <v>525</v>
      </c>
      <c r="Z41" s="1475" t="s">
        <v>526</v>
      </c>
      <c r="AA41" s="2309" t="s">
        <v>527</v>
      </c>
      <c r="AB41" s="2310"/>
      <c r="AC41" s="2318"/>
      <c r="AD41" s="2300"/>
      <c r="AE41" s="2323"/>
      <c r="AF41" s="1358" t="s">
        <v>524</v>
      </c>
      <c r="AG41" s="1358" t="s">
        <v>525</v>
      </c>
      <c r="AH41" s="1475" t="s">
        <v>526</v>
      </c>
      <c r="AI41" s="2309" t="s">
        <v>527</v>
      </c>
      <c r="AJ41" s="2310"/>
      <c r="AK41" s="2318"/>
      <c r="AL41" s="2321"/>
      <c r="AM41" s="2167"/>
    </row>
    <row s="11482"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165</v>
      </c>
      <c r="T42" s="1391" t="s">
        <v>100</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248</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204</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248</v>
      </c>
      <c r="B44" s="1500" t="s">
        <v>249</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477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478</v>
      </c>
      <c r="AO44" s="630"/>
      <c r="AP44" s="630" t="str">
        <f>IF(T44="","",T44)</f>
        <v>Территория действия тарифа</v>
      </c>
      <c r="AQ44" s="630"/>
      <c r="AR44" s="630"/>
    </row>
    <row customHeight="1" ht="23.25">
      <c r="A45" s="1500" t="s">
        <v>248</v>
      </c>
      <c r="B45" s="1500" t="s">
        <v>249</v>
      </c>
      <c r="C45" s="1500" t="s">
        <v>250</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479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480</v>
      </c>
      <c r="AO45" s="630"/>
      <c r="AP45" s="630" t="str">
        <f>IF(T45="","",T45)</f>
        <v>Наименование системы теплоснабжения </v>
      </c>
      <c r="AQ45" s="630"/>
      <c r="AR45" s="630"/>
    </row>
    <row customHeight="1" ht="21">
      <c r="A46" s="1500" t="s">
        <v>248</v>
      </c>
      <c r="B46" s="1500" t="s">
        <v>249</v>
      </c>
      <c r="C46" s="1500" t="s">
        <v>250</v>
      </c>
      <c r="D46" s="1500" t="s">
        <v>251</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481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482</v>
      </c>
      <c r="AO46" s="630"/>
      <c r="AP46" s="630" t="str">
        <f>IF(T46="","",T46)</f>
        <v>Источник тепловой энергии  </v>
      </c>
      <c r="AQ46" s="630"/>
      <c r="AR46" s="630"/>
    </row>
    <row s="11721" customFormat="1" customHeight="1" ht="0">
      <c r="A47" s="1480" t="s">
        <v>248</v>
      </c>
      <c r="B47" s="1480" t="s">
        <v>249</v>
      </c>
      <c r="C47" s="1480" t="s">
        <v>250</v>
      </c>
      <c r="D47" s="1480" t="s">
        <v>251</v>
      </c>
      <c r="E47" s="2298"/>
      <c r="F47" s="2298"/>
      <c r="G47" s="2298"/>
      <c r="H47" s="2298"/>
      <c r="I47" s="2295" t="str">
        <f>S46&amp;".1"</f>
        <v>....1</v>
      </c>
      <c r="J47" s="1480"/>
      <c r="K47" s="1480"/>
      <c r="L47" s="1483" t="s">
        <v>483</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248</v>
      </c>
      <c r="B48" s="1500" t="s">
        <v>249</v>
      </c>
      <c r="C48" s="1500" t="s">
        <v>250</v>
      </c>
      <c r="D48" s="1500" t="s">
        <v>251</v>
      </c>
      <c r="E48" s="2298"/>
      <c r="F48" s="2298"/>
      <c r="G48" s="2298"/>
      <c r="H48" s="2298"/>
      <c r="I48" s="2325"/>
      <c r="J48" s="2295" t="str">
        <f>S46&amp;".1"</f>
        <v>....1</v>
      </c>
      <c r="K48" s="1500"/>
      <c r="L48" s="1501" t="s">
        <v>486</v>
      </c>
      <c r="P48" s="2296"/>
      <c r="Q48" s="2296">
        <v>1</v>
      </c>
      <c r="R48" s="487"/>
      <c r="S48" s="1473" t="str">
        <f>$J48</f>
        <v>....1</v>
      </c>
      <c r="T48" s="416" t="s">
        <v>487</v>
      </c>
      <c r="U48" s="430"/>
      <c r="V48" s="2284"/>
      <c r="W48" s="2285"/>
      <c r="X48" s="2285"/>
      <c r="Y48" s="2285"/>
      <c r="Z48" s="2285"/>
      <c r="AA48" s="2285"/>
      <c r="AB48" s="2285"/>
      <c r="AC48" s="2286"/>
      <c r="AD48" s="2284"/>
      <c r="AE48" s="2285"/>
      <c r="AF48" s="2285"/>
      <c r="AG48" s="2285"/>
      <c r="AH48" s="2285"/>
      <c r="AI48" s="2285"/>
      <c r="AJ48" s="2285"/>
      <c r="AK48" s="2285"/>
      <c r="AL48" s="2286"/>
      <c r="AM48" s="1394" t="s">
        <v>488</v>
      </c>
      <c r="AO48" s="630"/>
      <c r="AP48" s="630" t="str">
        <f>IF(T48="","",T48)</f>
        <v>Группа потребителей</v>
      </c>
      <c r="AQ48" s="630"/>
      <c r="AR48" s="630"/>
    </row>
    <row customHeight="1" ht="21">
      <c r="A49" s="1500" t="s">
        <v>248</v>
      </c>
      <c r="B49" s="1500" t="s">
        <v>249</v>
      </c>
      <c r="C49" s="1500" t="s">
        <v>250</v>
      </c>
      <c r="D49" s="1500" t="s">
        <v>251</v>
      </c>
      <c r="E49" s="2298"/>
      <c r="F49" s="2298"/>
      <c r="G49" s="2298"/>
      <c r="H49" s="2298"/>
      <c r="I49" s="2325"/>
      <c r="J49" s="2325"/>
      <c r="K49" s="2295" t="str">
        <f>J48&amp;".1"</f>
        <v>....1.1</v>
      </c>
      <c r="L49" s="1501" t="s">
        <v>489</v>
      </c>
      <c r="P49" s="2296"/>
      <c r="Q49" s="2296"/>
      <c r="R49" s="487">
        <v>1</v>
      </c>
      <c r="S49" s="1473" t="str">
        <f>$K49</f>
        <v>....1.1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531</v>
      </c>
      <c r="AN49" s="641">
        <f>STRCHECKDATE(V50:AL50)</f>
      </c>
      <c r="AO49" s="630"/>
      <c r="AP49" s="630" t="str">
        <f>IF(T49="","",T49)</f>
        <v/>
      </c>
      <c r="AQ49" s="630"/>
      <c r="AR49" s="630"/>
    </row>
    <row customHeight="1" ht="0.75">
      <c r="A50" s="1500" t="s">
        <v>248</v>
      </c>
      <c r="B50" s="1500" t="s">
        <v>249</v>
      </c>
      <c r="C50" s="1500" t="s">
        <v>250</v>
      </c>
      <c r="D50" s="1500" t="s">
        <v>251</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248</v>
      </c>
      <c r="B51" s="1500" t="s">
        <v>249</v>
      </c>
      <c r="C51" s="1500" t="s">
        <v>250</v>
      </c>
      <c r="D51" s="1500" t="s">
        <v>251</v>
      </c>
      <c r="E51" s="2298"/>
      <c r="F51" s="2298"/>
      <c r="G51" s="2298"/>
      <c r="H51" s="2298"/>
      <c r="I51" s="2325"/>
      <c r="J51" s="2295"/>
      <c r="K51" s="1500"/>
      <c r="L51" s="1501"/>
      <c r="P51" s="2296"/>
      <c r="Q51" s="2296"/>
      <c r="R51" s="486"/>
      <c r="S51" s="1415"/>
      <c r="T51" s="417" t="s">
        <v>491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248</v>
      </c>
      <c r="B52" s="1500" t="s">
        <v>249</v>
      </c>
      <c r="C52" s="1500" t="s">
        <v>250</v>
      </c>
      <c r="D52" s="1500" t="s">
        <v>251</v>
      </c>
      <c r="E52" s="2298"/>
      <c r="F52" s="2298"/>
      <c r="G52" s="2298"/>
      <c r="H52" s="2298"/>
      <c r="I52" s="2295"/>
      <c r="J52" s="1500"/>
      <c r="K52" s="1500"/>
      <c r="L52" s="1501"/>
      <c r="P52" s="2296"/>
      <c r="Q52" s="1468"/>
      <c r="R52" s="486"/>
      <c r="S52" s="1415"/>
      <c r="T52" s="495" t="s">
        <v>492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248</v>
      </c>
      <c r="B53" s="1500" t="s">
        <v>249</v>
      </c>
      <c r="C53" s="1500" t="s">
        <v>250</v>
      </c>
      <c r="D53" s="1500" t="s">
        <v>251</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630" customFormat="1" customHeight="1" ht="0.75">
      <c r="A54" s="1480" t="s">
        <v>248</v>
      </c>
      <c r="B54" s="1480" t="s">
        <v>249</v>
      </c>
      <c r="C54" s="1480" t="s">
        <v>250</v>
      </c>
      <c r="D54" s="1451"/>
      <c r="E54" s="2298"/>
      <c r="F54" s="2298"/>
      <c r="G54" s="2297"/>
      <c r="H54" s="1451"/>
      <c r="I54" s="1451"/>
      <c r="J54" s="1451"/>
      <c r="K54" s="1451"/>
      <c r="L54" s="1476"/>
      <c r="M54" s="1452"/>
      <c r="N54" s="1452"/>
      <c r="P54" s="1453"/>
      <c r="Q54" s="1454"/>
      <c r="R54" s="1453"/>
      <c r="S54" s="1459"/>
      <c r="T54" s="1462" t="s">
        <v>494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630" customFormat="1" customHeight="1" ht="0.75">
      <c r="A55" s="1480" t="s">
        <v>248</v>
      </c>
      <c r="B55" s="1480" t="s">
        <v>249</v>
      </c>
      <c r="C55" s="1451"/>
      <c r="D55" s="1451"/>
      <c r="E55" s="2298"/>
      <c r="F55" s="2297"/>
      <c r="G55" s="1451"/>
      <c r="H55" s="1451"/>
      <c r="I55" s="1451"/>
      <c r="J55" s="1451"/>
      <c r="K55" s="1451"/>
      <c r="L55" s="1476"/>
      <c r="M55" s="1458"/>
      <c r="N55" s="1458"/>
      <c r="P55" s="1453"/>
      <c r="Q55" s="1454"/>
      <c r="R55" s="1453"/>
      <c r="S55" s="1459"/>
      <c r="T55" s="1462" t="s">
        <v>495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721" customFormat="1" customHeight="1" ht="0.75">
      <c r="A56" s="1480" t="s">
        <v>248</v>
      </c>
      <c r="B56" s="1480"/>
      <c r="C56" s="1480"/>
      <c r="D56" s="1480"/>
      <c r="E56" s="2297"/>
      <c r="F56" s="1480"/>
      <c r="G56" s="1480"/>
      <c r="H56" s="1480"/>
      <c r="I56" s="1480"/>
      <c r="J56" s="1480"/>
      <c r="K56" s="1480"/>
      <c r="L56" s="1483"/>
      <c r="M56" s="1458"/>
      <c r="N56" s="1458"/>
      <c r="O56" s="648"/>
      <c r="P56" s="510"/>
      <c r="Q56" s="1481"/>
      <c r="R56" s="510"/>
      <c r="S56" s="1459"/>
      <c r="T56" s="1462" t="s">
        <v>496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630"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528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6DE64-7D7D-7248-D961-431429ED945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1" style="11649" width="11.421875" hidden="1" customWidth="1"/>
    <col min="12" max="12" style="11729" width="19.140625" hidden="1" customWidth="1"/>
    <col min="13" max="14" style="11730" width="12.28125" hidden="1" customWidth="1"/>
    <col min="15" max="15" style="11730" width="23.421875" hidden="1" customWidth="1"/>
    <col min="16" max="16" style="11742" width="3.7109375" hidden="1" customWidth="1"/>
    <col min="17" max="18" style="11732" width="3.7109375" customWidth="1"/>
    <col min="19" max="19" style="11733" width="12.7109375" customWidth="1"/>
    <col min="20" max="20" style="11734" width="32.00390625" customWidth="1"/>
    <col min="21" max="21" style="11734" width="0.140625" customWidth="1"/>
    <col min="22" max="22" style="11734" width="24.7109375" hidden="1" customWidth="1"/>
    <col min="23" max="23" style="11734" width="0.140625" hidden="1" customWidth="1"/>
    <col min="24" max="25" style="11734" width="24.7109375" hidden="1" customWidth="1"/>
    <col min="26" max="26" style="11734" width="11.7109375" hidden="1" customWidth="1"/>
    <col min="27" max="27" style="11734" width="3.7109375" hidden="1" customWidth="1"/>
    <col min="28" max="28" style="11734" width="11.7109375" hidden="1" customWidth="1"/>
    <col min="29" max="29" style="11734" width="8.57421875" hidden="1" customWidth="1"/>
    <col min="30" max="30" style="11734" width="24.7109375" customWidth="1"/>
    <col min="31" max="31" style="11734" width="0.140625" customWidth="1"/>
    <col min="32" max="33" style="11734" width="24.7109375" customWidth="1"/>
    <col min="34" max="34" style="11734" width="11.7109375" customWidth="1"/>
    <col min="35" max="35" style="11734" width="3.7109375" customWidth="1"/>
    <col min="36" max="36" style="11734" width="11.7109375" customWidth="1"/>
    <col min="37" max="37" style="11734" width="8.57421875" hidden="1" customWidth="1"/>
    <col min="38" max="38" style="11734" width="4.7109375" customWidth="1"/>
    <col min="39" max="39" style="11734" width="115.7109375" customWidth="1"/>
    <col min="40" max="41" style="11721" width="10.57421875"/>
    <col min="42" max="42" style="11721" width="11.140625" customWidth="1"/>
    <col min="43" max="44" style="11721"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204</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476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477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478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479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480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481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482</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483</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486</v>
      </c>
      <c r="M7" s="667"/>
      <c r="N7" s="1503"/>
      <c r="P7" s="2296"/>
      <c r="Q7" s="2296">
        <v>1</v>
      </c>
      <c r="R7" s="487"/>
      <c r="S7" s="1473">
        <f>$J7</f>
      </c>
      <c r="T7" s="416" t="s">
        <v>487</v>
      </c>
      <c r="U7" s="430"/>
      <c r="V7" s="2284"/>
      <c r="W7" s="2285"/>
      <c r="X7" s="2285"/>
      <c r="Y7" s="2285"/>
      <c r="Z7" s="2285"/>
      <c r="AA7" s="2285"/>
      <c r="AB7" s="2285"/>
      <c r="AC7" s="2286"/>
      <c r="AD7" s="2284"/>
      <c r="AE7" s="2285"/>
      <c r="AF7" s="2285"/>
      <c r="AG7" s="2285"/>
      <c r="AH7" s="2285"/>
      <c r="AI7" s="2285"/>
      <c r="AJ7" s="2285"/>
      <c r="AK7" s="2285"/>
      <c r="AL7" s="2286"/>
      <c r="AM7" s="1394" t="s">
        <v>488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489</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490</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491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492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630"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494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630"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495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630"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496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649" customFormat="1" customHeight="1" ht="22.5" hidden="1">
      <c r="L20" s="1466"/>
      <c r="M20" s="1499"/>
      <c r="N20" s="1499"/>
      <c r="O20" s="1504" t="s">
        <v>497</v>
      </c>
      <c r="P20" s="1499"/>
      <c r="Q20" s="1508"/>
      <c r="R20" s="1508"/>
      <c r="S20" s="859"/>
      <c r="Z20" s="1504"/>
      <c r="AB20" s="1504"/>
      <c r="AC20" s="1503"/>
      <c r="AH20" s="1504"/>
      <c r="AJ20" s="1504"/>
      <c r="AK20" s="1503"/>
      <c r="AN20" s="641"/>
      <c r="AO20" s="641"/>
      <c r="AP20" s="641"/>
      <c r="AQ20" s="641"/>
      <c r="AR20" s="641"/>
    </row>
    <row s="11649" customFormat="1" customHeight="1" ht="14.25" hidden="1">
      <c r="L21" s="1466"/>
      <c r="M21" s="1499"/>
      <c r="N21" s="1499"/>
      <c r="O21" s="1499"/>
      <c r="P21" s="1499"/>
      <c r="Q21" s="1508"/>
      <c r="R21" s="1508"/>
      <c r="S21" s="859"/>
      <c r="AC21" s="1503"/>
      <c r="AK21" s="1503"/>
      <c r="AN21" s="641"/>
      <c r="AO21" s="641"/>
      <c r="AP21" s="641"/>
      <c r="AQ21" s="641"/>
      <c r="AR21" s="641"/>
    </row>
    <row s="11649" customFormat="1" customHeight="1" ht="14.25" hidden="1">
      <c r="L22" s="1466"/>
      <c r="M22" s="1499"/>
      <c r="N22" s="1499"/>
      <c r="O22" s="1501" t="s">
        <v>498</v>
      </c>
      <c r="P22" s="1499"/>
      <c r="Q22" s="1508"/>
      <c r="R22" s="1508"/>
      <c r="S22" s="859"/>
      <c r="T22" s="1292" t="s">
        <v>499</v>
      </c>
      <c r="AA22" s="316" t="s">
        <v>500</v>
      </c>
      <c r="AC22" s="316" t="s">
        <v>501</v>
      </c>
      <c r="AD22" s="1292" t="s">
        <v>499</v>
      </c>
      <c r="AI22" s="316" t="s">
        <v>502</v>
      </c>
      <c r="AK22" s="316" t="s">
        <v>501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66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662" customFormat="1" customHeight="1" ht="18.75" hidden="1">
      <c r="A30" s="1505"/>
      <c r="B30" s="1505"/>
      <c r="C30" s="1505"/>
      <c r="D30" s="1505"/>
      <c r="E30" s="1505"/>
      <c r="F30" s="1505"/>
      <c r="G30" s="1505"/>
      <c r="H30" s="1505"/>
      <c r="I30" s="1505"/>
      <c r="J30" s="1505"/>
      <c r="K30" s="1505"/>
      <c r="L30" s="1506"/>
      <c r="M30" s="1505"/>
      <c r="N30" s="1505"/>
      <c r="O30" s="1505"/>
      <c r="S30" s="2289" t="s">
        <v>503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662" customFormat="1" customHeight="1" ht="18.75" hidden="1">
      <c r="A31" s="1505"/>
      <c r="B31" s="1505"/>
      <c r="C31" s="1505"/>
      <c r="D31" s="1505"/>
      <c r="E31" s="1505"/>
      <c r="F31" s="1505"/>
      <c r="G31" s="1505"/>
      <c r="H31" s="1505"/>
      <c r="I31" s="1505"/>
      <c r="J31" s="1505"/>
      <c r="K31" s="1505"/>
      <c r="L31" s="1506"/>
      <c r="M31" s="1505"/>
      <c r="N31" s="1505"/>
      <c r="O31" s="1505"/>
      <c r="S31" s="2289" t="s">
        <v>504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66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662" customFormat="1" customHeight="1" ht="18.75" hidden="1">
      <c r="A34" s="1505"/>
      <c r="B34" s="1505"/>
      <c r="C34" s="1505"/>
      <c r="D34" s="1505"/>
      <c r="E34" s="1505"/>
      <c r="F34" s="1505"/>
      <c r="G34" s="1505"/>
      <c r="H34" s="1505"/>
      <c r="I34" s="1505"/>
      <c r="J34" s="1505"/>
      <c r="K34" s="1505"/>
      <c r="L34" s="1506"/>
      <c r="M34" s="1505"/>
      <c r="N34" s="1505"/>
      <c r="O34" s="1505"/>
      <c r="S34" s="2289" t="s">
        <v>505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662" customFormat="1" customHeight="1" ht="18.75" hidden="1">
      <c r="A35" s="1505"/>
      <c r="B35" s="1505"/>
      <c r="C35" s="1505"/>
      <c r="D35" s="1505"/>
      <c r="E35" s="1505"/>
      <c r="F35" s="1505"/>
      <c r="G35" s="1505"/>
      <c r="H35" s="1505"/>
      <c r="I35" s="1505"/>
      <c r="J35" s="1505"/>
      <c r="K35" s="1505"/>
      <c r="L35" s="1506"/>
      <c r="M35" s="1505"/>
      <c r="N35" s="1505"/>
      <c r="O35" s="1505"/>
      <c r="S35" s="2289" t="s">
        <v>506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66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507</v>
      </c>
      <c r="AD36" s="456"/>
      <c r="AE36" s="456"/>
      <c r="AF36" s="456"/>
      <c r="AG36" s="456"/>
      <c r="AH36" s="456"/>
      <c r="AI36" s="456"/>
      <c r="AJ36" s="456"/>
      <c r="AK36" s="408" t="s">
        <v>507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378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379</v>
      </c>
    </row>
    <row customHeight="1" ht="14.25">
      <c r="Q39" s="506"/>
      <c r="R39" s="506"/>
      <c r="S39" s="2312" t="s">
        <v>85</v>
      </c>
      <c r="T39" s="2248" t="s">
        <v>508</v>
      </c>
      <c r="U39" s="431"/>
      <c r="V39" s="2313" t="s">
        <v>509</v>
      </c>
      <c r="W39" s="2314"/>
      <c r="X39" s="2314"/>
      <c r="Y39" s="2314"/>
      <c r="Z39" s="2314"/>
      <c r="AA39" s="2314"/>
      <c r="AB39" s="2315"/>
      <c r="AC39" s="2316" t="s">
        <v>510</v>
      </c>
      <c r="AD39" s="2313" t="s">
        <v>509</v>
      </c>
      <c r="AE39" s="2314"/>
      <c r="AF39" s="2314"/>
      <c r="AG39" s="2314"/>
      <c r="AH39" s="2314"/>
      <c r="AI39" s="2314"/>
      <c r="AJ39" s="2315"/>
      <c r="AK39" s="2316" t="s">
        <v>511</v>
      </c>
      <c r="AL39" s="2319" t="s">
        <v>512</v>
      </c>
      <c r="AM39" s="2167"/>
    </row>
    <row customHeight="1" ht="33.75">
      <c r="Q40" s="506"/>
      <c r="R40" s="506"/>
      <c r="S40" s="2312"/>
      <c r="T40" s="2248"/>
      <c r="U40" s="1162"/>
      <c r="V40" s="2299" t="s">
        <v>513</v>
      </c>
      <c r="W40" s="2322"/>
      <c r="X40" s="2301" t="s">
        <v>515</v>
      </c>
      <c r="Y40" s="2302"/>
      <c r="Z40" s="2301" t="s">
        <v>516</v>
      </c>
      <c r="AA40" s="2308"/>
      <c r="AB40" s="2302"/>
      <c r="AC40" s="2317"/>
      <c r="AD40" s="2299" t="s">
        <v>530</v>
      </c>
      <c r="AE40" s="2322"/>
      <c r="AF40" s="2301" t="s">
        <v>515</v>
      </c>
      <c r="AG40" s="2302"/>
      <c r="AH40" s="2301" t="s">
        <v>516</v>
      </c>
      <c r="AI40" s="2308"/>
      <c r="AJ40" s="2302"/>
      <c r="AK40" s="2317"/>
      <c r="AL40" s="2320"/>
      <c r="AM40" s="2167"/>
    </row>
    <row customHeight="1" ht="33.75">
      <c r="A41" s="1507"/>
      <c r="B41" s="1507" t="s">
        <v>216</v>
      </c>
      <c r="C41" s="1507" t="s">
        <v>217</v>
      </c>
      <c r="D41" s="1507" t="s">
        <v>218</v>
      </c>
      <c r="E41" s="1501" t="s">
        <v>517</v>
      </c>
      <c r="F41" s="1501" t="s">
        <v>518</v>
      </c>
      <c r="G41" s="1501" t="s">
        <v>519</v>
      </c>
      <c r="H41" s="1501" t="s">
        <v>520</v>
      </c>
      <c r="I41" s="1501" t="s">
        <v>521</v>
      </c>
      <c r="J41" s="1501" t="s">
        <v>522</v>
      </c>
      <c r="K41" s="1501" t="s">
        <v>523</v>
      </c>
      <c r="L41" s="1501" t="s">
        <v>498</v>
      </c>
      <c r="Q41" s="506"/>
      <c r="R41" s="506"/>
      <c r="S41" s="2312"/>
      <c r="T41" s="2248"/>
      <c r="U41" s="432"/>
      <c r="V41" s="2300"/>
      <c r="W41" s="2323"/>
      <c r="X41" s="1358" t="s">
        <v>524</v>
      </c>
      <c r="Y41" s="1358" t="s">
        <v>525</v>
      </c>
      <c r="Z41" s="1475" t="s">
        <v>526</v>
      </c>
      <c r="AA41" s="2309" t="s">
        <v>527</v>
      </c>
      <c r="AB41" s="2310"/>
      <c r="AC41" s="2318"/>
      <c r="AD41" s="2300"/>
      <c r="AE41" s="2323"/>
      <c r="AF41" s="1358" t="s">
        <v>524</v>
      </c>
      <c r="AG41" s="1358" t="s">
        <v>525</v>
      </c>
      <c r="AH41" s="1475" t="s">
        <v>526</v>
      </c>
      <c r="AI41" s="2309" t="s">
        <v>527</v>
      </c>
      <c r="AJ41" s="2310"/>
      <c r="AK41" s="2318"/>
      <c r="AL41" s="2321"/>
      <c r="AM41" s="2167"/>
    </row>
    <row s="11482"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165</v>
      </c>
      <c r="T42" s="1391" t="s">
        <v>100</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260</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204</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260</v>
      </c>
      <c r="B44" s="1500" t="s">
        <v>261</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477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478</v>
      </c>
      <c r="AO44" s="630"/>
      <c r="AP44" s="630" t="str">
        <f>IF(T44="","",T44)</f>
        <v>Территория действия тарифа</v>
      </c>
      <c r="AQ44" s="630"/>
      <c r="AR44" s="630"/>
    </row>
    <row customHeight="1" ht="23.25">
      <c r="A45" s="1500" t="s">
        <v>260</v>
      </c>
      <c r="B45" s="1500" t="s">
        <v>261</v>
      </c>
      <c r="C45" s="1500" t="s">
        <v>262</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479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480</v>
      </c>
      <c r="AO45" s="630"/>
      <c r="AP45" s="630" t="str">
        <f>IF(T45="","",T45)</f>
        <v>Наименование системы теплоснабжения </v>
      </c>
      <c r="AQ45" s="630"/>
      <c r="AR45" s="630"/>
    </row>
    <row customHeight="1" ht="21">
      <c r="A46" s="1500" t="s">
        <v>260</v>
      </c>
      <c r="B46" s="1500" t="s">
        <v>261</v>
      </c>
      <c r="C46" s="1500" t="s">
        <v>262</v>
      </c>
      <c r="D46" s="1500" t="s">
        <v>263</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481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482</v>
      </c>
      <c r="AO46" s="630"/>
      <c r="AP46" s="630" t="str">
        <f>IF(T46="","",T46)</f>
        <v>Источник тепловой энергии  </v>
      </c>
      <c r="AQ46" s="630"/>
      <c r="AR46" s="630"/>
    </row>
    <row s="11721" customFormat="1" customHeight="1" ht="0">
      <c r="A47" s="1480" t="s">
        <v>260</v>
      </c>
      <c r="B47" s="1480" t="s">
        <v>261</v>
      </c>
      <c r="C47" s="1480" t="s">
        <v>262</v>
      </c>
      <c r="D47" s="1480" t="s">
        <v>263</v>
      </c>
      <c r="E47" s="2298"/>
      <c r="F47" s="2298"/>
      <c r="G47" s="2298"/>
      <c r="H47" s="2298"/>
      <c r="I47" s="2295" t="str">
        <f>S46&amp;".1"</f>
        <v>....1</v>
      </c>
      <c r="J47" s="1480"/>
      <c r="K47" s="1480"/>
      <c r="L47" s="1483" t="s">
        <v>483</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260</v>
      </c>
      <c r="B48" s="1500" t="s">
        <v>261</v>
      </c>
      <c r="C48" s="1500" t="s">
        <v>262</v>
      </c>
      <c r="D48" s="1500" t="s">
        <v>263</v>
      </c>
      <c r="E48" s="2298"/>
      <c r="F48" s="2298"/>
      <c r="G48" s="2298"/>
      <c r="H48" s="2298"/>
      <c r="I48" s="2325"/>
      <c r="J48" s="2295" t="str">
        <f>S46&amp;".1"</f>
        <v>....1</v>
      </c>
      <c r="K48" s="1500"/>
      <c r="L48" s="1501" t="s">
        <v>486</v>
      </c>
      <c r="P48" s="2296"/>
      <c r="Q48" s="2296">
        <v>1</v>
      </c>
      <c r="R48" s="487"/>
      <c r="S48" s="1473" t="str">
        <f>$J48</f>
        <v>....1</v>
      </c>
      <c r="T48" s="416" t="s">
        <v>487</v>
      </c>
      <c r="U48" s="430"/>
      <c r="V48" s="2284"/>
      <c r="W48" s="2285"/>
      <c r="X48" s="2285"/>
      <c r="Y48" s="2285"/>
      <c r="Z48" s="2285"/>
      <c r="AA48" s="2285"/>
      <c r="AB48" s="2285"/>
      <c r="AC48" s="2286"/>
      <c r="AD48" s="2284"/>
      <c r="AE48" s="2285"/>
      <c r="AF48" s="2285"/>
      <c r="AG48" s="2285"/>
      <c r="AH48" s="2285"/>
      <c r="AI48" s="2285"/>
      <c r="AJ48" s="2285"/>
      <c r="AK48" s="2285"/>
      <c r="AL48" s="2286"/>
      <c r="AM48" s="1394" t="s">
        <v>488</v>
      </c>
      <c r="AO48" s="630"/>
      <c r="AP48" s="630" t="str">
        <f>IF(T48="","",T48)</f>
        <v>Группа потребителей</v>
      </c>
      <c r="AQ48" s="630"/>
      <c r="AR48" s="630"/>
    </row>
    <row customHeight="1" ht="21">
      <c r="A49" s="1500" t="s">
        <v>260</v>
      </c>
      <c r="B49" s="1500" t="s">
        <v>261</v>
      </c>
      <c r="C49" s="1500" t="s">
        <v>262</v>
      </c>
      <c r="D49" s="1500" t="s">
        <v>263</v>
      </c>
      <c r="E49" s="2298"/>
      <c r="F49" s="2298"/>
      <c r="G49" s="2298"/>
      <c r="H49" s="2298"/>
      <c r="I49" s="2325"/>
      <c r="J49" s="2325"/>
      <c r="K49" s="2295" t="str">
        <f>J48&amp;".1"</f>
        <v>....1.1</v>
      </c>
      <c r="L49" s="1501" t="s">
        <v>489</v>
      </c>
      <c r="P49" s="2296"/>
      <c r="Q49" s="2296"/>
      <c r="R49" s="487">
        <v>1</v>
      </c>
      <c r="S49" s="1473" t="str">
        <f>$K49</f>
        <v>....1.1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531</v>
      </c>
      <c r="AN49" s="641">
        <f>STRCHECKDATE(V50:AL50)</f>
      </c>
      <c r="AO49" s="630"/>
      <c r="AP49" s="630" t="str">
        <f>IF(T49="","",T49)</f>
        <v/>
      </c>
      <c r="AQ49" s="630"/>
      <c r="AR49" s="630"/>
    </row>
    <row customHeight="1" ht="0.75">
      <c r="A50" s="1500" t="s">
        <v>260</v>
      </c>
      <c r="B50" s="1500" t="s">
        <v>261</v>
      </c>
      <c r="C50" s="1500" t="s">
        <v>262</v>
      </c>
      <c r="D50" s="1500" t="s">
        <v>263</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260</v>
      </c>
      <c r="B51" s="1500" t="s">
        <v>261</v>
      </c>
      <c r="C51" s="1500" t="s">
        <v>262</v>
      </c>
      <c r="D51" s="1500" t="s">
        <v>263</v>
      </c>
      <c r="E51" s="2298"/>
      <c r="F51" s="2298"/>
      <c r="G51" s="2298"/>
      <c r="H51" s="2298"/>
      <c r="I51" s="2325"/>
      <c r="J51" s="2295"/>
      <c r="K51" s="1500"/>
      <c r="L51" s="1501"/>
      <c r="P51" s="2296"/>
      <c r="Q51" s="2296"/>
      <c r="R51" s="486"/>
      <c r="S51" s="1415"/>
      <c r="T51" s="417" t="s">
        <v>491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260</v>
      </c>
      <c r="B52" s="1500" t="s">
        <v>261</v>
      </c>
      <c r="C52" s="1500" t="s">
        <v>262</v>
      </c>
      <c r="D52" s="1500" t="s">
        <v>263</v>
      </c>
      <c r="E52" s="2298"/>
      <c r="F52" s="2298"/>
      <c r="G52" s="2298"/>
      <c r="H52" s="2298"/>
      <c r="I52" s="2295"/>
      <c r="J52" s="1500"/>
      <c r="K52" s="1500"/>
      <c r="L52" s="1501"/>
      <c r="P52" s="2296"/>
      <c r="Q52" s="1468"/>
      <c r="R52" s="486"/>
      <c r="S52" s="1415"/>
      <c r="T52" s="495" t="s">
        <v>492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260</v>
      </c>
      <c r="B53" s="1500" t="s">
        <v>261</v>
      </c>
      <c r="C53" s="1500" t="s">
        <v>262</v>
      </c>
      <c r="D53" s="1500" t="s">
        <v>263</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630" customFormat="1" customHeight="1" ht="0.75">
      <c r="A54" s="1480" t="s">
        <v>260</v>
      </c>
      <c r="B54" s="1480" t="s">
        <v>261</v>
      </c>
      <c r="C54" s="1480" t="s">
        <v>262</v>
      </c>
      <c r="D54" s="1451"/>
      <c r="E54" s="2298"/>
      <c r="F54" s="2298"/>
      <c r="G54" s="2297"/>
      <c r="H54" s="1451"/>
      <c r="I54" s="1451"/>
      <c r="J54" s="1451"/>
      <c r="K54" s="1451"/>
      <c r="L54" s="1476"/>
      <c r="M54" s="1452"/>
      <c r="N54" s="1452"/>
      <c r="P54" s="1453"/>
      <c r="Q54" s="1454"/>
      <c r="R54" s="1453"/>
      <c r="S54" s="1459"/>
      <c r="T54" s="1462" t="s">
        <v>494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630" customFormat="1" customHeight="1" ht="0.75">
      <c r="A55" s="1480" t="s">
        <v>260</v>
      </c>
      <c r="B55" s="1480" t="s">
        <v>261</v>
      </c>
      <c r="C55" s="1451"/>
      <c r="D55" s="1451"/>
      <c r="E55" s="2298"/>
      <c r="F55" s="2297"/>
      <c r="G55" s="1451"/>
      <c r="H55" s="1451"/>
      <c r="I55" s="1451"/>
      <c r="J55" s="1451"/>
      <c r="K55" s="1451"/>
      <c r="L55" s="1476"/>
      <c r="M55" s="1458"/>
      <c r="N55" s="1458"/>
      <c r="P55" s="1453"/>
      <c r="Q55" s="1454"/>
      <c r="R55" s="1453"/>
      <c r="S55" s="1459"/>
      <c r="T55" s="1462" t="s">
        <v>495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721" customFormat="1" customHeight="1" ht="0.75">
      <c r="A56" s="1480" t="s">
        <v>260</v>
      </c>
      <c r="B56" s="1480"/>
      <c r="C56" s="1480"/>
      <c r="D56" s="1480"/>
      <c r="E56" s="2297"/>
      <c r="F56" s="1480"/>
      <c r="G56" s="1480"/>
      <c r="H56" s="1480"/>
      <c r="I56" s="1480"/>
      <c r="J56" s="1480"/>
      <c r="K56" s="1480"/>
      <c r="L56" s="1483"/>
      <c r="M56" s="1458"/>
      <c r="N56" s="1458"/>
      <c r="O56" s="648"/>
      <c r="P56" s="510"/>
      <c r="Q56" s="1481"/>
      <c r="R56" s="510"/>
      <c r="S56" s="1459"/>
      <c r="T56" s="1462" t="s">
        <v>496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630"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528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AA4E4-85E8-ADC8-420B-1988CA3088C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1" style="11649" width="11.421875" hidden="1" customWidth="1"/>
    <col min="12" max="12" style="11729" width="19.140625" hidden="1" customWidth="1"/>
    <col min="13" max="14" style="11730" width="12.28125" hidden="1" customWidth="1"/>
    <col min="15" max="15" style="11730" width="23.421875" hidden="1" customWidth="1"/>
    <col min="16" max="16" style="11742" width="3.7109375" hidden="1" customWidth="1"/>
    <col min="17" max="18" style="11732" width="3.7109375" customWidth="1"/>
    <col min="19" max="19" style="11733" width="12.7109375" customWidth="1"/>
    <col min="20" max="20" style="11734" width="32.00390625" customWidth="1"/>
    <col min="21" max="21" style="11734" width="0.140625" customWidth="1"/>
    <col min="22" max="22" style="11734" width="24.7109375" hidden="1" customWidth="1"/>
    <col min="23" max="23" style="11734" width="0.140625" hidden="1" customWidth="1"/>
    <col min="24" max="25" style="11734" width="24.7109375" hidden="1" customWidth="1"/>
    <col min="26" max="26" style="11734" width="11.7109375" hidden="1" customWidth="1"/>
    <col min="27" max="27" style="11734" width="3.7109375" hidden="1" customWidth="1"/>
    <col min="28" max="28" style="11734" width="11.7109375" hidden="1" customWidth="1"/>
    <col min="29" max="29" style="11734" width="8.57421875" hidden="1" customWidth="1"/>
    <col min="30" max="30" style="11734" width="24.7109375" customWidth="1"/>
    <col min="31" max="31" style="11734" width="0.140625" customWidth="1"/>
    <col min="32" max="33" style="11734" width="24.7109375" customWidth="1"/>
    <col min="34" max="34" style="11734" width="11.7109375" customWidth="1"/>
    <col min="35" max="35" style="11734" width="3.7109375" customWidth="1"/>
    <col min="36" max="36" style="11734" width="11.7109375" customWidth="1"/>
    <col min="37" max="37" style="11734" width="8.57421875" hidden="1" customWidth="1"/>
    <col min="38" max="38" style="11734" width="4.7109375" customWidth="1"/>
    <col min="39" max="39" style="11734" width="115.7109375" customWidth="1"/>
    <col min="40" max="41" style="11721" width="10.57421875"/>
    <col min="42" max="42" style="11721" width="11.140625" customWidth="1"/>
    <col min="43" max="44" style="1172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204</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476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477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478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479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480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481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482</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483</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486</v>
      </c>
      <c r="M7" s="667"/>
      <c r="N7" s="1503"/>
      <c r="P7" s="2296"/>
      <c r="Q7" s="2296">
        <v>1</v>
      </c>
      <c r="R7" s="487"/>
      <c r="S7" s="1473">
        <f>$J7</f>
      </c>
      <c r="T7" s="416" t="s">
        <v>487</v>
      </c>
      <c r="U7" s="430"/>
      <c r="V7" s="2284"/>
      <c r="W7" s="2285"/>
      <c r="X7" s="2285"/>
      <c r="Y7" s="2285"/>
      <c r="Z7" s="2285"/>
      <c r="AA7" s="2285"/>
      <c r="AB7" s="2285"/>
      <c r="AC7" s="2286"/>
      <c r="AD7" s="2284"/>
      <c r="AE7" s="2285"/>
      <c r="AF7" s="2285"/>
      <c r="AG7" s="2285"/>
      <c r="AH7" s="2285"/>
      <c r="AI7" s="2285"/>
      <c r="AJ7" s="2285"/>
      <c r="AK7" s="2285"/>
      <c r="AL7" s="2286"/>
      <c r="AM7" s="1394" t="s">
        <v>488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489</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490</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491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492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630"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494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630"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495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630"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496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649" customFormat="1" customHeight="1" ht="22.5" hidden="1">
      <c r="L20" s="1466"/>
      <c r="M20" s="1499"/>
      <c r="N20" s="1499"/>
      <c r="O20" s="1504" t="s">
        <v>497</v>
      </c>
      <c r="P20" s="1499"/>
      <c r="Q20" s="1508"/>
      <c r="R20" s="1508"/>
      <c r="S20" s="859"/>
      <c r="Z20" s="1504"/>
      <c r="AB20" s="1504"/>
      <c r="AC20" s="1503"/>
      <c r="AH20" s="1504"/>
      <c r="AJ20" s="1504"/>
      <c r="AK20" s="1503"/>
      <c r="AN20" s="641"/>
      <c r="AO20" s="641"/>
      <c r="AP20" s="641"/>
      <c r="AQ20" s="641"/>
      <c r="AR20" s="641"/>
    </row>
    <row s="11649" customFormat="1" customHeight="1" ht="14.25" hidden="1">
      <c r="L21" s="1466"/>
      <c r="M21" s="1499"/>
      <c r="N21" s="1499"/>
      <c r="O21" s="1499"/>
      <c r="P21" s="1499"/>
      <c r="Q21" s="1508"/>
      <c r="R21" s="1508"/>
      <c r="S21" s="859"/>
      <c r="AC21" s="1503"/>
      <c r="AK21" s="1503"/>
      <c r="AN21" s="641"/>
      <c r="AO21" s="641"/>
      <c r="AP21" s="641"/>
      <c r="AQ21" s="641"/>
      <c r="AR21" s="641"/>
    </row>
    <row s="11649" customFormat="1" customHeight="1" ht="14.25" hidden="1">
      <c r="L22" s="1466"/>
      <c r="M22" s="1499"/>
      <c r="N22" s="1499"/>
      <c r="O22" s="1501" t="s">
        <v>498</v>
      </c>
      <c r="P22" s="1499"/>
      <c r="Q22" s="1508"/>
      <c r="R22" s="1508"/>
      <c r="S22" s="859"/>
      <c r="T22" s="1292" t="s">
        <v>499</v>
      </c>
      <c r="AA22" s="316" t="s">
        <v>500</v>
      </c>
      <c r="AC22" s="316" t="s">
        <v>501</v>
      </c>
      <c r="AD22" s="1292" t="s">
        <v>499</v>
      </c>
      <c r="AI22" s="316" t="s">
        <v>502</v>
      </c>
      <c r="AK22" s="316" t="s">
        <v>501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66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662" customFormat="1" customHeight="1" ht="18.75" hidden="1">
      <c r="A30" s="1505"/>
      <c r="B30" s="1505"/>
      <c r="C30" s="1505"/>
      <c r="D30" s="1505"/>
      <c r="E30" s="1505"/>
      <c r="F30" s="1505"/>
      <c r="G30" s="1505"/>
      <c r="H30" s="1505"/>
      <c r="I30" s="1505"/>
      <c r="J30" s="1505"/>
      <c r="K30" s="1505"/>
      <c r="L30" s="1506"/>
      <c r="M30" s="1505"/>
      <c r="N30" s="1505"/>
      <c r="O30" s="1505"/>
      <c r="S30" s="2289" t="s">
        <v>503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662" customFormat="1" customHeight="1" ht="18.75" hidden="1">
      <c r="A31" s="1505"/>
      <c r="B31" s="1505"/>
      <c r="C31" s="1505"/>
      <c r="D31" s="1505"/>
      <c r="E31" s="1505"/>
      <c r="F31" s="1505"/>
      <c r="G31" s="1505"/>
      <c r="H31" s="1505"/>
      <c r="I31" s="1505"/>
      <c r="J31" s="1505"/>
      <c r="K31" s="1505"/>
      <c r="L31" s="1506"/>
      <c r="M31" s="1505"/>
      <c r="N31" s="1505"/>
      <c r="O31" s="1505"/>
      <c r="S31" s="2289" t="s">
        <v>504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66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662" customFormat="1" customHeight="1" ht="18.75" hidden="1">
      <c r="A34" s="1505"/>
      <c r="B34" s="1505"/>
      <c r="C34" s="1505"/>
      <c r="D34" s="1505"/>
      <c r="E34" s="1505"/>
      <c r="F34" s="1505"/>
      <c r="G34" s="1505"/>
      <c r="H34" s="1505"/>
      <c r="I34" s="1505"/>
      <c r="J34" s="1505"/>
      <c r="K34" s="1505"/>
      <c r="L34" s="1506"/>
      <c r="M34" s="1505"/>
      <c r="N34" s="1505"/>
      <c r="O34" s="1505"/>
      <c r="S34" s="2289" t="s">
        <v>505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662" customFormat="1" customHeight="1" ht="25.5" hidden="1">
      <c r="A35" s="1505"/>
      <c r="B35" s="1505"/>
      <c r="C35" s="1505"/>
      <c r="D35" s="1505"/>
      <c r="E35" s="1505"/>
      <c r="F35" s="1505"/>
      <c r="G35" s="1505"/>
      <c r="H35" s="1505"/>
      <c r="I35" s="1505"/>
      <c r="J35" s="1505"/>
      <c r="K35" s="1505"/>
      <c r="L35" s="1506"/>
      <c r="M35" s="1505"/>
      <c r="N35" s="1505"/>
      <c r="O35" s="1505"/>
      <c r="S35" s="2289" t="s">
        <v>506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66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507</v>
      </c>
      <c r="AD36" s="456"/>
      <c r="AE36" s="456"/>
      <c r="AF36" s="456"/>
      <c r="AG36" s="456"/>
      <c r="AH36" s="456"/>
      <c r="AI36" s="456"/>
      <c r="AJ36" s="456"/>
      <c r="AK36" s="408" t="s">
        <v>507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378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379</v>
      </c>
    </row>
    <row customHeight="1" ht="14.25">
      <c r="Q39" s="506"/>
      <c r="R39" s="506"/>
      <c r="S39" s="2312" t="s">
        <v>85</v>
      </c>
      <c r="T39" s="2248" t="s">
        <v>508</v>
      </c>
      <c r="U39" s="431"/>
      <c r="V39" s="2313" t="s">
        <v>509</v>
      </c>
      <c r="W39" s="2314"/>
      <c r="X39" s="2314"/>
      <c r="Y39" s="2314"/>
      <c r="Z39" s="2314"/>
      <c r="AA39" s="2314"/>
      <c r="AB39" s="2315"/>
      <c r="AC39" s="2316" t="s">
        <v>510</v>
      </c>
      <c r="AD39" s="2313" t="s">
        <v>509</v>
      </c>
      <c r="AE39" s="2314"/>
      <c r="AF39" s="2314"/>
      <c r="AG39" s="2314"/>
      <c r="AH39" s="2314"/>
      <c r="AI39" s="2314"/>
      <c r="AJ39" s="2315"/>
      <c r="AK39" s="2316" t="s">
        <v>511</v>
      </c>
      <c r="AL39" s="2319" t="s">
        <v>512</v>
      </c>
      <c r="AM39" s="2167"/>
    </row>
    <row customHeight="1" ht="33.75">
      <c r="Q40" s="506"/>
      <c r="R40" s="506"/>
      <c r="S40" s="2312"/>
      <c r="T40" s="2248"/>
      <c r="U40" s="1162"/>
      <c r="V40" s="2299" t="s">
        <v>513</v>
      </c>
      <c r="W40" s="2322"/>
      <c r="X40" s="2301" t="s">
        <v>515</v>
      </c>
      <c r="Y40" s="2302"/>
      <c r="Z40" s="2301" t="s">
        <v>516</v>
      </c>
      <c r="AA40" s="2308"/>
      <c r="AB40" s="2302"/>
      <c r="AC40" s="2317"/>
      <c r="AD40" s="2299" t="s">
        <v>530</v>
      </c>
      <c r="AE40" s="2322"/>
      <c r="AF40" s="2301" t="s">
        <v>515</v>
      </c>
      <c r="AG40" s="2302"/>
      <c r="AH40" s="2301" t="s">
        <v>516</v>
      </c>
      <c r="AI40" s="2308"/>
      <c r="AJ40" s="2302"/>
      <c r="AK40" s="2317"/>
      <c r="AL40" s="2320"/>
      <c r="AM40" s="2167"/>
    </row>
    <row customHeight="1" ht="33.75">
      <c r="A41" s="1507"/>
      <c r="B41" s="1507" t="s">
        <v>216</v>
      </c>
      <c r="C41" s="1507" t="s">
        <v>217</v>
      </c>
      <c r="D41" s="1507" t="s">
        <v>218</v>
      </c>
      <c r="E41" s="1501" t="s">
        <v>517</v>
      </c>
      <c r="F41" s="1501" t="s">
        <v>518</v>
      </c>
      <c r="G41" s="1501" t="s">
        <v>519</v>
      </c>
      <c r="H41" s="1501" t="s">
        <v>520</v>
      </c>
      <c r="I41" s="1501" t="s">
        <v>521</v>
      </c>
      <c r="J41" s="1501" t="s">
        <v>522</v>
      </c>
      <c r="K41" s="1501" t="s">
        <v>523</v>
      </c>
      <c r="L41" s="1501" t="s">
        <v>498</v>
      </c>
      <c r="Q41" s="506"/>
      <c r="R41" s="506"/>
      <c r="S41" s="2312"/>
      <c r="T41" s="2248"/>
      <c r="U41" s="432"/>
      <c r="V41" s="2300"/>
      <c r="W41" s="2323"/>
      <c r="X41" s="1358" t="s">
        <v>524</v>
      </c>
      <c r="Y41" s="1358" t="s">
        <v>525</v>
      </c>
      <c r="Z41" s="1475" t="s">
        <v>526</v>
      </c>
      <c r="AA41" s="2309" t="s">
        <v>527</v>
      </c>
      <c r="AB41" s="2310"/>
      <c r="AC41" s="2318"/>
      <c r="AD41" s="2300"/>
      <c r="AE41" s="2323"/>
      <c r="AF41" s="1358" t="s">
        <v>524</v>
      </c>
      <c r="AG41" s="1358" t="s">
        <v>525</v>
      </c>
      <c r="AH41" s="1475" t="s">
        <v>526</v>
      </c>
      <c r="AI41" s="2309" t="s">
        <v>527</v>
      </c>
      <c r="AJ41" s="2310"/>
      <c r="AK41" s="2318"/>
      <c r="AL41" s="2321"/>
      <c r="AM41" s="2167"/>
    </row>
    <row s="11482"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165</v>
      </c>
      <c r="T42" s="1391" t="s">
        <v>100</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266</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204</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266</v>
      </c>
      <c r="B44" s="1500" t="s">
        <v>267</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477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478</v>
      </c>
      <c r="AO44" s="630"/>
      <c r="AP44" s="630" t="str">
        <f>IF(T44="","",T44)</f>
        <v>Территория действия тарифа</v>
      </c>
      <c r="AQ44" s="630"/>
      <c r="AR44" s="630"/>
    </row>
    <row customHeight="1" ht="23.25">
      <c r="A45" s="1500" t="s">
        <v>266</v>
      </c>
      <c r="B45" s="1500" t="s">
        <v>267</v>
      </c>
      <c r="C45" s="1500" t="s">
        <v>268</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479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480</v>
      </c>
      <c r="AO45" s="630"/>
      <c r="AP45" s="630" t="str">
        <f>IF(T45="","",T45)</f>
        <v>Наименование системы теплоснабжения </v>
      </c>
      <c r="AQ45" s="630"/>
      <c r="AR45" s="630"/>
    </row>
    <row customHeight="1" ht="21">
      <c r="A46" s="1500" t="s">
        <v>266</v>
      </c>
      <c r="B46" s="1500" t="s">
        <v>267</v>
      </c>
      <c r="C46" s="1500" t="s">
        <v>268</v>
      </c>
      <c r="D46" s="1500" t="s">
        <v>269</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481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482</v>
      </c>
      <c r="AO46" s="630"/>
      <c r="AP46" s="630" t="str">
        <f>IF(T46="","",T46)</f>
        <v>Источник тепловой энергии  </v>
      </c>
      <c r="AQ46" s="630"/>
      <c r="AR46" s="630"/>
    </row>
    <row s="11721" customFormat="1" customHeight="1" ht="0">
      <c r="A47" s="1480" t="s">
        <v>266</v>
      </c>
      <c r="B47" s="1480" t="s">
        <v>267</v>
      </c>
      <c r="C47" s="1480" t="s">
        <v>268</v>
      </c>
      <c r="D47" s="1480" t="s">
        <v>269</v>
      </c>
      <c r="E47" s="2298"/>
      <c r="F47" s="2298"/>
      <c r="G47" s="2298"/>
      <c r="H47" s="2298"/>
      <c r="I47" s="2295" t="str">
        <f>S46&amp;".1"</f>
        <v>....1</v>
      </c>
      <c r="J47" s="1480"/>
      <c r="K47" s="1480"/>
      <c r="L47" s="1483" t="s">
        <v>483</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266</v>
      </c>
      <c r="B48" s="1500" t="s">
        <v>267</v>
      </c>
      <c r="C48" s="1500" t="s">
        <v>268</v>
      </c>
      <c r="D48" s="1500" t="s">
        <v>269</v>
      </c>
      <c r="E48" s="2298"/>
      <c r="F48" s="2298"/>
      <c r="G48" s="2298"/>
      <c r="H48" s="2298"/>
      <c r="I48" s="2325"/>
      <c r="J48" s="2295" t="str">
        <f>S46&amp;".1"</f>
        <v>....1</v>
      </c>
      <c r="K48" s="1500"/>
      <c r="L48" s="1501" t="s">
        <v>486</v>
      </c>
      <c r="P48" s="2296"/>
      <c r="Q48" s="2296">
        <v>1</v>
      </c>
      <c r="R48" s="487"/>
      <c r="S48" s="1473" t="str">
        <f>$J48</f>
        <v>....1</v>
      </c>
      <c r="T48" s="416" t="s">
        <v>487</v>
      </c>
      <c r="U48" s="430"/>
      <c r="V48" s="2284"/>
      <c r="W48" s="2285"/>
      <c r="X48" s="2285"/>
      <c r="Y48" s="2285"/>
      <c r="Z48" s="2285"/>
      <c r="AA48" s="2285"/>
      <c r="AB48" s="2285"/>
      <c r="AC48" s="2286"/>
      <c r="AD48" s="2284"/>
      <c r="AE48" s="2285"/>
      <c r="AF48" s="2285"/>
      <c r="AG48" s="2285"/>
      <c r="AH48" s="2285"/>
      <c r="AI48" s="2285"/>
      <c r="AJ48" s="2285"/>
      <c r="AK48" s="2285"/>
      <c r="AL48" s="2286"/>
      <c r="AM48" s="1394" t="s">
        <v>488</v>
      </c>
      <c r="AO48" s="630"/>
      <c r="AP48" s="630" t="str">
        <f>IF(T48="","",T48)</f>
        <v>Группа потребителей</v>
      </c>
      <c r="AQ48" s="630"/>
      <c r="AR48" s="630"/>
    </row>
    <row customHeight="1" ht="21">
      <c r="A49" s="1500" t="s">
        <v>266</v>
      </c>
      <c r="B49" s="1500" t="s">
        <v>267</v>
      </c>
      <c r="C49" s="1500" t="s">
        <v>268</v>
      </c>
      <c r="D49" s="1500" t="s">
        <v>269</v>
      </c>
      <c r="E49" s="2298"/>
      <c r="F49" s="2298"/>
      <c r="G49" s="2298"/>
      <c r="H49" s="2298"/>
      <c r="I49" s="2325"/>
      <c r="J49" s="2325"/>
      <c r="K49" s="2295" t="str">
        <f>J48&amp;".1"</f>
        <v>....1.1</v>
      </c>
      <c r="L49" s="1501" t="s">
        <v>489</v>
      </c>
      <c r="P49" s="2296"/>
      <c r="Q49" s="2296"/>
      <c r="R49" s="487">
        <v>1</v>
      </c>
      <c r="S49" s="1473" t="str">
        <f>$K49</f>
        <v>....1.1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531</v>
      </c>
      <c r="AN49" s="641">
        <f>STRCHECKDATE(V50:AL50)</f>
      </c>
      <c r="AO49" s="630"/>
      <c r="AP49" s="630" t="str">
        <f>IF(T49="","",T49)</f>
        <v/>
      </c>
      <c r="AQ49" s="630"/>
      <c r="AR49" s="630"/>
    </row>
    <row customHeight="1" ht="0">
      <c r="A50" s="1500" t="s">
        <v>266</v>
      </c>
      <c r="B50" s="1500" t="s">
        <v>267</v>
      </c>
      <c r="C50" s="1500" t="s">
        <v>268</v>
      </c>
      <c r="D50" s="1500" t="s">
        <v>269</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266</v>
      </c>
      <c r="B51" s="1500" t="s">
        <v>267</v>
      </c>
      <c r="C51" s="1500" t="s">
        <v>268</v>
      </c>
      <c r="D51" s="1500" t="s">
        <v>269</v>
      </c>
      <c r="E51" s="2298"/>
      <c r="F51" s="2298"/>
      <c r="G51" s="2298"/>
      <c r="H51" s="2298"/>
      <c r="I51" s="2325"/>
      <c r="J51" s="2295"/>
      <c r="K51" s="1500"/>
      <c r="L51" s="1501"/>
      <c r="P51" s="2296"/>
      <c r="Q51" s="2296"/>
      <c r="R51" s="486"/>
      <c r="S51" s="1415"/>
      <c r="T51" s="417" t="s">
        <v>491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266</v>
      </c>
      <c r="B52" s="1500" t="s">
        <v>267</v>
      </c>
      <c r="C52" s="1500" t="s">
        <v>268</v>
      </c>
      <c r="D52" s="1500" t="s">
        <v>269</v>
      </c>
      <c r="E52" s="2298"/>
      <c r="F52" s="2298"/>
      <c r="G52" s="2298"/>
      <c r="H52" s="2298"/>
      <c r="I52" s="2295"/>
      <c r="J52" s="1500"/>
      <c r="K52" s="1500"/>
      <c r="L52" s="1501"/>
      <c r="P52" s="2296"/>
      <c r="Q52" s="1468"/>
      <c r="R52" s="486"/>
      <c r="S52" s="1415"/>
      <c r="T52" s="495" t="s">
        <v>492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266</v>
      </c>
      <c r="B53" s="1500" t="s">
        <v>267</v>
      </c>
      <c r="C53" s="1500" t="s">
        <v>268</v>
      </c>
      <c r="D53" s="1500" t="s">
        <v>269</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630" customFormat="1" customHeight="1" ht="0">
      <c r="A54" s="1480" t="s">
        <v>266</v>
      </c>
      <c r="B54" s="1480" t="s">
        <v>267</v>
      </c>
      <c r="C54" s="1480" t="s">
        <v>268</v>
      </c>
      <c r="D54" s="1451"/>
      <c r="E54" s="2298"/>
      <c r="F54" s="2298"/>
      <c r="G54" s="2297"/>
      <c r="H54" s="1451"/>
      <c r="I54" s="1451"/>
      <c r="J54" s="1451"/>
      <c r="K54" s="1451"/>
      <c r="L54" s="1476"/>
      <c r="M54" s="1452"/>
      <c r="N54" s="1452"/>
      <c r="P54" s="1453"/>
      <c r="Q54" s="1454"/>
      <c r="R54" s="1453"/>
      <c r="S54" s="1459"/>
      <c r="T54" s="1462" t="s">
        <v>494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630" customFormat="1" customHeight="1" ht="0">
      <c r="A55" s="1480" t="s">
        <v>266</v>
      </c>
      <c r="B55" s="1480" t="s">
        <v>267</v>
      </c>
      <c r="C55" s="1451"/>
      <c r="D55" s="1451"/>
      <c r="E55" s="2298"/>
      <c r="F55" s="2297"/>
      <c r="G55" s="1451"/>
      <c r="H55" s="1451"/>
      <c r="I55" s="1451"/>
      <c r="J55" s="1451"/>
      <c r="K55" s="1451"/>
      <c r="L55" s="1476"/>
      <c r="M55" s="1458"/>
      <c r="N55" s="1458"/>
      <c r="P55" s="1453"/>
      <c r="Q55" s="1454"/>
      <c r="R55" s="1453"/>
      <c r="S55" s="1459"/>
      <c r="T55" s="1462" t="s">
        <v>495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721" customFormat="1" customHeight="1" ht="0">
      <c r="A56" s="1480" t="s">
        <v>266</v>
      </c>
      <c r="B56" s="1480"/>
      <c r="C56" s="1480"/>
      <c r="D56" s="1480"/>
      <c r="E56" s="2297"/>
      <c r="F56" s="1480"/>
      <c r="G56" s="1480"/>
      <c r="H56" s="1480"/>
      <c r="I56" s="1480"/>
      <c r="J56" s="1480"/>
      <c r="K56" s="1480"/>
      <c r="L56" s="1483"/>
      <c r="M56" s="1458"/>
      <c r="N56" s="1458"/>
      <c r="O56" s="648"/>
      <c r="P56" s="510"/>
      <c r="Q56" s="1481"/>
      <c r="R56" s="510"/>
      <c r="S56" s="1459"/>
      <c r="T56" s="1462" t="s">
        <v>496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630"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528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19D5F-5EAA-C5A1-1FF2-EAA3197C4A7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734" width="10.57421875" hidden="1"/>
    <col min="2" max="2" style="11734" width="11.00390625" hidden="1" customWidth="1"/>
    <col min="3" max="3" style="11734" width="10.57421875" hidden="1"/>
    <col min="4" max="4" style="11734" width="11.8515625" hidden="1" customWidth="1"/>
    <col min="5" max="5" style="11734" width="10.00390625" hidden="1" customWidth="1"/>
    <col min="6" max="6" style="11734" width="8.7109375" hidden="1" customWidth="1"/>
    <col min="7" max="7" style="11734" width="7.57421875" hidden="1" customWidth="1"/>
    <col min="8" max="8" style="11734" width="11.421875" hidden="1" customWidth="1"/>
    <col min="9" max="9" style="11734" width="12.00390625" hidden="1" customWidth="1"/>
    <col min="10" max="10" style="11734" width="9.8515625" hidden="1" customWidth="1"/>
    <col min="11" max="12" style="11734" width="11.421875" hidden="1" customWidth="1"/>
    <col min="13" max="13" style="11838" width="19.140625" hidden="1" customWidth="1"/>
    <col min="14" max="15" style="11742" width="12.28125" hidden="1" customWidth="1"/>
    <col min="16" max="16" style="11742" width="23.421875" hidden="1" customWidth="1"/>
    <col min="17" max="17" style="11742" width="3.7109375" hidden="1" customWidth="1"/>
    <col min="18" max="20" style="11732" width="3.7109375" customWidth="1"/>
    <col min="21" max="21" style="11733" width="12.7109375" customWidth="1"/>
    <col min="22" max="22" style="11734" width="32.00390625" customWidth="1"/>
    <col min="23" max="23" style="11734" width="0.140625" customWidth="1"/>
    <col min="24" max="28" style="11734" width="21.7109375" hidden="1" customWidth="1"/>
    <col min="29" max="29" style="11734" width="11.7109375" hidden="1" customWidth="1"/>
    <col min="30" max="30" style="11734" width="3.7109375" hidden="1" customWidth="1"/>
    <col min="31" max="31" style="11734" width="11.7109375" hidden="1" customWidth="1"/>
    <col min="32" max="32" style="11734" width="8.57421875" hidden="1" customWidth="1"/>
    <col min="33" max="37" style="11734" width="21.7109375" customWidth="1"/>
    <col min="38" max="38" style="11734" width="11.7109375" customWidth="1"/>
    <col min="39" max="39" style="11734" width="3.7109375" customWidth="1"/>
    <col min="40" max="40" style="11734" width="11.7109375" customWidth="1"/>
    <col min="41" max="41" style="11734" width="8.57421875" customWidth="1"/>
    <col min="42" max="42" style="11734" width="4.7109375" customWidth="1"/>
    <col min="43" max="43" style="11734" width="115.7109375" customWidth="1"/>
    <col min="44" max="45" style="11721" width="10.57421875"/>
    <col min="46" max="46" style="11721" width="11.140625" customWidth="1"/>
    <col min="47" max="48" style="11721"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204</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476</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477</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478</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479</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480</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481</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482</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483</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486</v>
      </c>
      <c r="N7" s="639"/>
      <c r="O7" s="457"/>
      <c r="Q7" s="2296"/>
      <c r="R7" s="2296">
        <v>1</v>
      </c>
      <c r="S7" s="648"/>
      <c r="T7" s="487"/>
      <c r="U7" s="1473">
        <f>$J7</f>
      </c>
      <c r="V7" s="416" t="s">
        <v>487</v>
      </c>
      <c r="W7" s="430"/>
      <c r="X7" s="2284"/>
      <c r="Y7" s="2285"/>
      <c r="Z7" s="2285"/>
      <c r="AA7" s="2285"/>
      <c r="AB7" s="2285"/>
      <c r="AC7" s="2274"/>
      <c r="AD7" s="2274"/>
      <c r="AE7" s="2274"/>
      <c r="AF7" s="2340"/>
      <c r="AG7" s="2284"/>
      <c r="AH7" s="2285"/>
      <c r="AI7" s="2285"/>
      <c r="AJ7" s="2285"/>
      <c r="AK7" s="2285"/>
      <c r="AL7" s="2285"/>
      <c r="AM7" s="2285"/>
      <c r="AN7" s="2285"/>
      <c r="AO7" s="2285"/>
      <c r="AP7" s="2286"/>
      <c r="AQ7" s="1394" t="s">
        <v>488</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489</v>
      </c>
      <c r="N8" s="639"/>
      <c r="O8" s="457"/>
      <c r="P8" s="457"/>
      <c r="Q8" s="2296"/>
      <c r="R8" s="2296"/>
      <c r="S8" s="2296">
        <v>1</v>
      </c>
      <c r="T8" s="487"/>
      <c r="U8" s="1473">
        <f>$K8</f>
      </c>
      <c r="V8" s="1484"/>
      <c r="W8" s="430"/>
      <c r="X8" s="881"/>
      <c r="Y8" s="881"/>
      <c r="Z8" s="881"/>
      <c r="AA8" s="881"/>
      <c r="AB8" s="1542"/>
      <c r="AC8" s="2304"/>
      <c r="AD8" s="2147" t="s">
        <v>64</v>
      </c>
      <c r="AE8" s="2304"/>
      <c r="AF8" s="2147" t="s">
        <v>64</v>
      </c>
      <c r="AG8" s="1544"/>
      <c r="AH8" s="881"/>
      <c r="AI8" s="881"/>
      <c r="AJ8" s="881"/>
      <c r="AK8" s="1393"/>
      <c r="AL8" s="2304"/>
      <c r="AM8" s="2147" t="s">
        <v>64</v>
      </c>
      <c r="AN8" s="2304"/>
      <c r="AO8" s="2147" t="s">
        <v>64</v>
      </c>
      <c r="AP8" s="455"/>
      <c r="AQ8" s="1444" t="s">
        <v>532</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533</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534</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491</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492</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1630"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494</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1630"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495</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1630"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496</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64</v>
      </c>
      <c r="AN19" s="2306"/>
      <c r="AO19" s="2307" t="s">
        <v>64</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649" customFormat="1" customHeight="1" ht="22.5" hidden="1">
      <c r="A24" s="1287"/>
      <c r="B24" s="1287"/>
      <c r="C24" s="1287"/>
      <c r="D24" s="1287"/>
      <c r="E24" s="1287"/>
      <c r="F24" s="1287"/>
      <c r="G24" s="1287"/>
      <c r="H24" s="1287"/>
      <c r="I24" s="1287"/>
      <c r="J24" s="1287"/>
      <c r="K24" s="1287"/>
      <c r="L24" s="1287"/>
      <c r="M24" s="1464"/>
      <c r="N24" s="1465"/>
      <c r="O24" s="1465"/>
      <c r="P24" s="1482" t="s">
        <v>497</v>
      </c>
      <c r="Q24" s="1499"/>
      <c r="R24" s="1508"/>
      <c r="S24" s="1508"/>
      <c r="T24" s="1508"/>
      <c r="U24" s="859"/>
      <c r="AC24" s="1504"/>
      <c r="AE24" s="1504"/>
      <c r="AF24" s="1503"/>
      <c r="AL24" s="1504"/>
      <c r="AN24" s="1504"/>
      <c r="AO24" s="1503"/>
      <c r="AR24" s="641"/>
      <c r="AS24" s="641"/>
      <c r="AT24" s="641"/>
      <c r="AU24" s="641"/>
      <c r="AV24" s="641"/>
    </row>
    <row s="11649"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649" customFormat="1" customHeight="1" ht="14.25" hidden="1">
      <c r="A26" s="1287"/>
      <c r="B26" s="1287"/>
      <c r="C26" s="1287"/>
      <c r="D26" s="1287"/>
      <c r="E26" s="1287"/>
      <c r="F26" s="1287"/>
      <c r="G26" s="1287"/>
      <c r="H26" s="1287"/>
      <c r="I26" s="1287"/>
      <c r="J26" s="1287"/>
      <c r="K26" s="1287"/>
      <c r="L26" s="1287"/>
      <c r="M26" s="1464"/>
      <c r="N26" s="1465"/>
      <c r="O26" s="1465"/>
      <c r="P26" s="1447" t="s">
        <v>498</v>
      </c>
      <c r="Q26" s="1499"/>
      <c r="R26" s="1508"/>
      <c r="S26" s="1508"/>
      <c r="T26" s="1508"/>
      <c r="U26" s="859"/>
      <c r="V26" s="1292" t="s">
        <v>499</v>
      </c>
      <c r="AD26" s="316" t="s">
        <v>500</v>
      </c>
      <c r="AF26" s="316" t="s">
        <v>501</v>
      </c>
      <c r="AG26" s="1292" t="s">
        <v>499</v>
      </c>
      <c r="AM26" s="316" t="s">
        <v>502</v>
      </c>
      <c r="AO26" s="316" t="s">
        <v>501</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АО "ДГК"</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662"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662" customFormat="1" customHeight="1" ht="18.75" hidden="1">
      <c r="A34" s="1384"/>
      <c r="B34" s="1384"/>
      <c r="C34" s="1384"/>
      <c r="D34" s="1384"/>
      <c r="E34" s="1384"/>
      <c r="F34" s="1384"/>
      <c r="G34" s="1384"/>
      <c r="H34" s="1384"/>
      <c r="I34" s="1384"/>
      <c r="J34" s="1384"/>
      <c r="K34" s="1384"/>
      <c r="L34" s="1384"/>
      <c r="M34" s="1517"/>
      <c r="N34" s="1384"/>
      <c r="O34" s="1384"/>
      <c r="P34" s="1384"/>
      <c r="U34" s="2289" t="s">
        <v>503</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662" customFormat="1" customHeight="1" ht="18.75" hidden="1">
      <c r="A35" s="1384"/>
      <c r="B35" s="1384"/>
      <c r="C35" s="1384"/>
      <c r="D35" s="1384"/>
      <c r="E35" s="1384"/>
      <c r="F35" s="1384"/>
      <c r="G35" s="1384"/>
      <c r="H35" s="1384"/>
      <c r="I35" s="1384"/>
      <c r="J35" s="1384"/>
      <c r="K35" s="1384"/>
      <c r="L35" s="1384"/>
      <c r="M35" s="1517"/>
      <c r="N35" s="1384"/>
      <c r="O35" s="1384"/>
      <c r="P35" s="1384"/>
      <c r="U35" s="2289" t="s">
        <v>504</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662"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662" customFormat="1" customHeight="1" ht="18.75" hidden="1">
      <c r="A38" s="1384"/>
      <c r="B38" s="1384"/>
      <c r="C38" s="1384"/>
      <c r="D38" s="1384"/>
      <c r="E38" s="1384"/>
      <c r="F38" s="1384"/>
      <c r="G38" s="1384"/>
      <c r="H38" s="1384"/>
      <c r="I38" s="1384"/>
      <c r="J38" s="1384"/>
      <c r="K38" s="1384"/>
      <c r="L38" s="1384"/>
      <c r="M38" s="1517"/>
      <c r="N38" s="1384"/>
      <c r="O38" s="1384"/>
      <c r="P38" s="1384"/>
      <c r="U38" s="2289" t="s">
        <v>505</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662" customFormat="1" customHeight="1" ht="18.75" hidden="1">
      <c r="A39" s="1384"/>
      <c r="B39" s="1384"/>
      <c r="C39" s="1384"/>
      <c r="D39" s="1384"/>
      <c r="E39" s="1384"/>
      <c r="F39" s="1384"/>
      <c r="G39" s="1384"/>
      <c r="H39" s="1384"/>
      <c r="I39" s="1384"/>
      <c r="J39" s="1384"/>
      <c r="K39" s="1384"/>
      <c r="L39" s="1384"/>
      <c r="M39" s="1517"/>
      <c r="N39" s="1384"/>
      <c r="O39" s="1384"/>
      <c r="P39" s="1384"/>
      <c r="U39" s="2289" t="s">
        <v>506</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662"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507</v>
      </c>
      <c r="AG40" s="456"/>
      <c r="AH40" s="456"/>
      <c r="AI40" s="456"/>
      <c r="AJ40" s="456"/>
      <c r="AK40" s="456"/>
      <c r="AL40" s="456"/>
      <c r="AM40" s="456"/>
      <c r="AN40" s="456"/>
      <c r="AO40" s="408" t="s">
        <v>507</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378</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379</v>
      </c>
    </row>
    <row customHeight="1" ht="14.25">
      <c r="R43" s="506"/>
      <c r="S43" s="506"/>
      <c r="T43" s="506"/>
      <c r="U43" s="2312" t="s">
        <v>85</v>
      </c>
      <c r="V43" s="2248" t="s">
        <v>508</v>
      </c>
      <c r="W43" s="431"/>
      <c r="X43" s="2313" t="s">
        <v>509</v>
      </c>
      <c r="Y43" s="2328"/>
      <c r="Z43" s="2328"/>
      <c r="AA43" s="2328"/>
      <c r="AB43" s="2328"/>
      <c r="AC43" s="2314"/>
      <c r="AD43" s="2314"/>
      <c r="AE43" s="2315"/>
      <c r="AF43" s="2316" t="s">
        <v>510</v>
      </c>
      <c r="AG43" s="2313" t="s">
        <v>509</v>
      </c>
      <c r="AH43" s="2328"/>
      <c r="AI43" s="2328"/>
      <c r="AJ43" s="2328"/>
      <c r="AK43" s="2328"/>
      <c r="AL43" s="2314"/>
      <c r="AM43" s="2314"/>
      <c r="AN43" s="2315"/>
      <c r="AO43" s="2316" t="s">
        <v>511</v>
      </c>
      <c r="AP43" s="2319" t="s">
        <v>512</v>
      </c>
      <c r="AQ43" s="2167"/>
    </row>
    <row customHeight="1" ht="33.75">
      <c r="R44" s="506"/>
      <c r="S44" s="506"/>
      <c r="T44" s="506"/>
      <c r="U44" s="2312"/>
      <c r="V44" s="2248"/>
      <c r="W44" s="1162"/>
      <c r="X44" s="2331" t="s">
        <v>535</v>
      </c>
      <c r="Y44" s="2344" t="s">
        <v>536</v>
      </c>
      <c r="Z44" s="2344"/>
      <c r="AA44" s="2344"/>
      <c r="AB44" s="2344"/>
      <c r="AC44" s="2331" t="s">
        <v>516</v>
      </c>
      <c r="AD44" s="2345"/>
      <c r="AE44" s="2346"/>
      <c r="AF44" s="2317"/>
      <c r="AG44" s="2331" t="s">
        <v>535</v>
      </c>
      <c r="AH44" s="2344" t="s">
        <v>536</v>
      </c>
      <c r="AI44" s="2344"/>
      <c r="AJ44" s="2344"/>
      <c r="AK44" s="2344"/>
      <c r="AL44" s="2331" t="s">
        <v>516</v>
      </c>
      <c r="AM44" s="2345"/>
      <c r="AN44" s="2346"/>
      <c r="AO44" s="2317"/>
      <c r="AP44" s="2320"/>
      <c r="AQ44" s="2167"/>
    </row>
    <row customHeight="1" ht="14.25">
      <c r="R45" s="506"/>
      <c r="S45" s="506"/>
      <c r="T45" s="506"/>
      <c r="U45" s="2312"/>
      <c r="V45" s="2248"/>
      <c r="W45" s="1162"/>
      <c r="X45" s="2357"/>
      <c r="Y45" s="2349" t="s">
        <v>537</v>
      </c>
      <c r="Z45" s="2309" t="s">
        <v>538</v>
      </c>
      <c r="AA45" s="2352"/>
      <c r="AB45" s="2310"/>
      <c r="AC45" s="2332"/>
      <c r="AD45" s="2347"/>
      <c r="AE45" s="2348"/>
      <c r="AF45" s="2317"/>
      <c r="AG45" s="2357"/>
      <c r="AH45" s="2349" t="s">
        <v>537</v>
      </c>
      <c r="AI45" s="2309" t="s">
        <v>538</v>
      </c>
      <c r="AJ45" s="2352"/>
      <c r="AK45" s="2310"/>
      <c r="AL45" s="2332"/>
      <c r="AM45" s="2347"/>
      <c r="AN45" s="2348"/>
      <c r="AO45" s="2317"/>
      <c r="AP45" s="2320"/>
      <c r="AQ45" s="2167"/>
    </row>
    <row customHeight="1" ht="25.5">
      <c r="R46" s="506"/>
      <c r="S46" s="506"/>
      <c r="T46" s="506"/>
      <c r="U46" s="2312"/>
      <c r="V46" s="2248"/>
      <c r="W46" s="1162"/>
      <c r="X46" s="2357"/>
      <c r="Y46" s="2350"/>
      <c r="Z46" s="2349" t="s">
        <v>539</v>
      </c>
      <c r="AA46" s="2309" t="s">
        <v>540</v>
      </c>
      <c r="AB46" s="2310"/>
      <c r="AC46" s="2349" t="s">
        <v>526</v>
      </c>
      <c r="AD46" s="2353" t="s">
        <v>527</v>
      </c>
      <c r="AE46" s="2354"/>
      <c r="AF46" s="2317"/>
      <c r="AG46" s="2357"/>
      <c r="AH46" s="2350"/>
      <c r="AI46" s="2349" t="s">
        <v>539</v>
      </c>
      <c r="AJ46" s="2309" t="s">
        <v>540</v>
      </c>
      <c r="AK46" s="2310"/>
      <c r="AL46" s="2349" t="s">
        <v>526</v>
      </c>
      <c r="AM46" s="2353" t="s">
        <v>527</v>
      </c>
      <c r="AN46" s="2354"/>
      <c r="AO46" s="2317"/>
      <c r="AP46" s="2320"/>
      <c r="AQ46" s="2167"/>
    </row>
    <row customHeight="1" ht="62.25">
      <c r="A47" s="1396"/>
      <c r="B47" s="1396" t="s">
        <v>216</v>
      </c>
      <c r="C47" s="1396" t="s">
        <v>217</v>
      </c>
      <c r="D47" s="1396" t="s">
        <v>218</v>
      </c>
      <c r="E47" s="1447" t="s">
        <v>517</v>
      </c>
      <c r="F47" s="1447" t="s">
        <v>518</v>
      </c>
      <c r="G47" s="1447" t="s">
        <v>519</v>
      </c>
      <c r="H47" s="1447" t="s">
        <v>520</v>
      </c>
      <c r="I47" s="1447" t="s">
        <v>521</v>
      </c>
      <c r="J47" s="1447" t="s">
        <v>522</v>
      </c>
      <c r="K47" s="1447" t="s">
        <v>523</v>
      </c>
      <c r="L47" s="1447" t="s">
        <v>541</v>
      </c>
      <c r="M47" s="1447" t="s">
        <v>498</v>
      </c>
      <c r="R47" s="506"/>
      <c r="S47" s="506"/>
      <c r="T47" s="506"/>
      <c r="U47" s="2312"/>
      <c r="V47" s="2248"/>
      <c r="W47" s="432"/>
      <c r="X47" s="2332"/>
      <c r="Y47" s="2351"/>
      <c r="Z47" s="2351"/>
      <c r="AA47" s="1358" t="s">
        <v>542</v>
      </c>
      <c r="AB47" s="1358" t="s">
        <v>543</v>
      </c>
      <c r="AC47" s="2351"/>
      <c r="AD47" s="2355"/>
      <c r="AE47" s="2356"/>
      <c r="AF47" s="2318"/>
      <c r="AG47" s="2332"/>
      <c r="AH47" s="2351"/>
      <c r="AI47" s="2351"/>
      <c r="AJ47" s="1358" t="s">
        <v>542</v>
      </c>
      <c r="AK47" s="1358" t="s">
        <v>543</v>
      </c>
      <c r="AL47" s="2351"/>
      <c r="AM47" s="2355"/>
      <c r="AN47" s="2356"/>
      <c r="AO47" s="2318"/>
      <c r="AP47" s="2321"/>
      <c r="AQ47" s="2167"/>
    </row>
    <row s="11482"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165</v>
      </c>
      <c r="V48" s="1391" t="s">
        <v>100</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254</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204</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254</v>
      </c>
      <c r="B50" s="1404" t="s">
        <v>255</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477</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478</v>
      </c>
      <c r="AS50" s="630"/>
      <c r="AT50" s="630" t="str">
        <f>IF(V50="","",V50)</f>
        <v>Территория действия тарифа</v>
      </c>
      <c r="AU50" s="630"/>
      <c r="AV50" s="630"/>
    </row>
    <row customHeight="1" ht="22.5">
      <c r="A51" s="1404" t="s">
        <v>254</v>
      </c>
      <c r="B51" s="1404" t="s">
        <v>255</v>
      </c>
      <c r="C51" s="1404" t="s">
        <v>256</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479</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480</v>
      </c>
      <c r="AS51" s="630"/>
      <c r="AT51" s="630" t="str">
        <f>IF(V51="","",V51)</f>
        <v>Наименование системы теплоснабжения </v>
      </c>
      <c r="AU51" s="630"/>
      <c r="AV51" s="630"/>
    </row>
    <row customHeight="1" ht="21">
      <c r="A52" s="1404" t="s">
        <v>254</v>
      </c>
      <c r="B52" s="1404" t="s">
        <v>255</v>
      </c>
      <c r="C52" s="1404" t="s">
        <v>256</v>
      </c>
      <c r="D52" s="1404" t="s">
        <v>257</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481</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482</v>
      </c>
      <c r="AS52" s="630"/>
      <c r="AT52" s="630" t="str">
        <f>IF(V52="","",V52)</f>
        <v>Источник тепловой энергии  </v>
      </c>
      <c r="AU52" s="630"/>
      <c r="AV52" s="630"/>
    </row>
    <row s="11721" customFormat="1" customHeight="1" ht="0">
      <c r="A53" s="1512" t="s">
        <v>254</v>
      </c>
      <c r="B53" s="1512" t="s">
        <v>255</v>
      </c>
      <c r="C53" s="1512" t="s">
        <v>256</v>
      </c>
      <c r="D53" s="1512" t="s">
        <v>257</v>
      </c>
      <c r="E53" s="2339"/>
      <c r="F53" s="2339"/>
      <c r="G53" s="2339"/>
      <c r="H53" s="2343"/>
      <c r="I53" s="2167" t="str">
        <f>U52&amp;".1"</f>
        <v>....1</v>
      </c>
      <c r="J53" s="1512"/>
      <c r="K53" s="1512"/>
      <c r="L53" s="1512"/>
      <c r="M53" s="1518" t="s">
        <v>483</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254</v>
      </c>
      <c r="B54" s="1404" t="s">
        <v>255</v>
      </c>
      <c r="C54" s="1404" t="s">
        <v>256</v>
      </c>
      <c r="D54" s="1404" t="s">
        <v>257</v>
      </c>
      <c r="E54" s="2339"/>
      <c r="F54" s="2339"/>
      <c r="G54" s="2339"/>
      <c r="H54" s="2343"/>
      <c r="I54" s="2141"/>
      <c r="J54" s="2167" t="str">
        <f>I53&amp;".1"</f>
        <v>....1.1</v>
      </c>
      <c r="K54" s="1404"/>
      <c r="L54" s="1404"/>
      <c r="M54" s="1447" t="s">
        <v>486</v>
      </c>
      <c r="Q54" s="2296"/>
      <c r="R54" s="2296">
        <v>1</v>
      </c>
      <c r="S54" s="648"/>
      <c r="T54" s="487"/>
      <c r="U54" s="1473" t="str">
        <f>$J54</f>
        <v>....1.1</v>
      </c>
      <c r="V54" s="416" t="s">
        <v>487</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488</v>
      </c>
      <c r="AS54" s="630"/>
      <c r="AT54" s="630" t="str">
        <f>IF(V54="","",V54)</f>
        <v>Группа потребителей</v>
      </c>
      <c r="AU54" s="630"/>
      <c r="AV54" s="630"/>
    </row>
    <row customHeight="1" ht="21">
      <c r="A55" s="1404" t="s">
        <v>254</v>
      </c>
      <c r="B55" s="1404" t="s">
        <v>255</v>
      </c>
      <c r="C55" s="1404" t="s">
        <v>256</v>
      </c>
      <c r="D55" s="1404" t="s">
        <v>257</v>
      </c>
      <c r="E55" s="2339"/>
      <c r="F55" s="2339"/>
      <c r="G55" s="2339"/>
      <c r="H55" s="2343"/>
      <c r="I55" s="2141"/>
      <c r="J55" s="2141"/>
      <c r="K55" s="2167" t="str">
        <f>J54&amp;".1"</f>
        <v>....1.1.1</v>
      </c>
      <c r="L55" s="269"/>
      <c r="M55" s="1447" t="s">
        <v>489</v>
      </c>
      <c r="Q55" s="2296"/>
      <c r="R55" s="2296"/>
      <c r="S55" s="648">
        <v>1</v>
      </c>
      <c r="T55" s="487"/>
      <c r="U55" s="1473" t="str">
        <f>$K55</f>
        <v>....1.1.1</v>
      </c>
      <c r="V55" s="1484"/>
      <c r="W55" s="430"/>
      <c r="X55" s="881"/>
      <c r="Y55" s="881"/>
      <c r="Z55" s="881"/>
      <c r="AA55" s="881"/>
      <c r="AB55" s="1542"/>
      <c r="AC55" s="2304"/>
      <c r="AD55" s="2147" t="s">
        <v>64</v>
      </c>
      <c r="AE55" s="2304"/>
      <c r="AF55" s="2147" t="s">
        <v>64</v>
      </c>
      <c r="AG55" s="1544"/>
      <c r="AH55" s="881"/>
      <c r="AI55" s="881"/>
      <c r="AJ55" s="881"/>
      <c r="AK55" s="1393"/>
      <c r="AL55" s="2304"/>
      <c r="AM55" s="2147" t="s">
        <v>64</v>
      </c>
      <c r="AN55" s="2304"/>
      <c r="AO55" s="2147" t="s">
        <v>64</v>
      </c>
      <c r="AP55" s="1485"/>
      <c r="AQ55" s="1444" t="s">
        <v>532</v>
      </c>
      <c r="AR55" s="641">
        <f>STRCHECKDATE(X57:AP57)</f>
      </c>
      <c r="AS55" s="630"/>
      <c r="AT55" s="630" t="str">
        <f>IF(V55="","",V55)</f>
        <v/>
      </c>
      <c r="AU55" s="630"/>
      <c r="AV55" s="630"/>
    </row>
    <row customHeight="1" ht="11.25">
      <c r="A56" s="1404" t="s">
        <v>254</v>
      </c>
      <c r="B56" s="1404" t="s">
        <v>255</v>
      </c>
      <c r="C56" s="1404" t="s">
        <v>256</v>
      </c>
      <c r="D56" s="1404" t="s">
        <v>257</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533</v>
      </c>
      <c r="AR56" s="641">
        <f>STRCHECKDATE(X58:AP58)</f>
      </c>
      <c r="AS56" s="630"/>
      <c r="AT56" s="630" t="str">
        <f>IF(V56="","",V56)</f>
        <v/>
      </c>
      <c r="AU56" s="630"/>
      <c r="AV56" s="630"/>
    </row>
    <row customHeight="1" ht="0">
      <c r="A57" s="1404" t="s">
        <v>254</v>
      </c>
      <c r="B57" s="1404" t="s">
        <v>255</v>
      </c>
      <c r="C57" s="1404" t="s">
        <v>256</v>
      </c>
      <c r="D57" s="1404" t="s">
        <v>257</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254</v>
      </c>
      <c r="B58" s="1404" t="s">
        <v>255</v>
      </c>
      <c r="C58" s="1404" t="s">
        <v>256</v>
      </c>
      <c r="D58" s="1404" t="s">
        <v>257</v>
      </c>
      <c r="E58" s="2339"/>
      <c r="F58" s="2339"/>
      <c r="G58" s="2339"/>
      <c r="H58" s="2343"/>
      <c r="I58" s="2141"/>
      <c r="J58" s="2141"/>
      <c r="K58" s="2167"/>
      <c r="L58" s="1404"/>
      <c r="M58" s="1447"/>
      <c r="Q58" s="2296"/>
      <c r="R58" s="2296"/>
      <c r="S58" s="1468"/>
      <c r="T58" s="486"/>
      <c r="U58" s="1415"/>
      <c r="V58" s="418" t="s">
        <v>534</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254</v>
      </c>
      <c r="B59" s="1404" t="s">
        <v>255</v>
      </c>
      <c r="C59" s="1404" t="s">
        <v>256</v>
      </c>
      <c r="D59" s="1404" t="s">
        <v>257</v>
      </c>
      <c r="E59" s="2339"/>
      <c r="F59" s="2339"/>
      <c r="G59" s="2339"/>
      <c r="H59" s="2343"/>
      <c r="I59" s="2141"/>
      <c r="J59" s="2167"/>
      <c r="K59" s="1404"/>
      <c r="L59" s="1404"/>
      <c r="M59" s="1447"/>
      <c r="Q59" s="2296"/>
      <c r="R59" s="2296"/>
      <c r="S59" s="1468"/>
      <c r="T59" s="486"/>
      <c r="U59" s="1415"/>
      <c r="V59" s="417" t="s">
        <v>491</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254</v>
      </c>
      <c r="B60" s="1404" t="s">
        <v>255</v>
      </c>
      <c r="C60" s="1404" t="s">
        <v>256</v>
      </c>
      <c r="D60" s="1404" t="s">
        <v>257</v>
      </c>
      <c r="E60" s="2339"/>
      <c r="F60" s="2339"/>
      <c r="G60" s="2339"/>
      <c r="H60" s="2343"/>
      <c r="I60" s="2167"/>
      <c r="J60" s="1404"/>
      <c r="K60" s="1404"/>
      <c r="L60" s="1404"/>
      <c r="M60" s="1447"/>
      <c r="Q60" s="2296"/>
      <c r="R60" s="1468"/>
      <c r="S60" s="1468"/>
      <c r="T60" s="486"/>
      <c r="U60" s="1415"/>
      <c r="V60" s="495" t="s">
        <v>492</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254</v>
      </c>
      <c r="B61" s="1404" t="s">
        <v>255</v>
      </c>
      <c r="C61" s="1404" t="s">
        <v>256</v>
      </c>
      <c r="D61" s="1404" t="s">
        <v>257</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1630" customFormat="1" customHeight="1" ht="0">
      <c r="A62" s="1512" t="s">
        <v>254</v>
      </c>
      <c r="B62" s="1512" t="s">
        <v>255</v>
      </c>
      <c r="C62" s="1512" t="s">
        <v>256</v>
      </c>
      <c r="D62" s="1511"/>
      <c r="E62" s="2339"/>
      <c r="F62" s="2339"/>
      <c r="G62" s="2338"/>
      <c r="H62" s="1511"/>
      <c r="I62" s="1511"/>
      <c r="J62" s="1511"/>
      <c r="K62" s="1511"/>
      <c r="L62" s="1511"/>
      <c r="M62" s="1514"/>
      <c r="N62" s="1515"/>
      <c r="O62" s="1515"/>
      <c r="P62" s="481"/>
      <c r="Q62" s="1453"/>
      <c r="R62" s="1454"/>
      <c r="S62" s="1453"/>
      <c r="T62" s="1453"/>
      <c r="U62" s="1459"/>
      <c r="V62" s="1462" t="s">
        <v>494</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1630" customFormat="1" customHeight="1" ht="0">
      <c r="A63" s="1512" t="s">
        <v>254</v>
      </c>
      <c r="B63" s="1512" t="s">
        <v>255</v>
      </c>
      <c r="C63" s="1511"/>
      <c r="D63" s="1511"/>
      <c r="E63" s="2339"/>
      <c r="F63" s="2338"/>
      <c r="G63" s="1511"/>
      <c r="H63" s="1511"/>
      <c r="I63" s="1511"/>
      <c r="J63" s="1511"/>
      <c r="K63" s="1511"/>
      <c r="L63" s="1511"/>
      <c r="M63" s="1514"/>
      <c r="N63" s="1516"/>
      <c r="O63" s="1516"/>
      <c r="P63" s="481"/>
      <c r="Q63" s="1453"/>
      <c r="R63" s="1454"/>
      <c r="S63" s="1453"/>
      <c r="T63" s="1453"/>
      <c r="U63" s="1459"/>
      <c r="V63" s="1462" t="s">
        <v>495</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721" customFormat="1" customHeight="1" ht="0">
      <c r="A64" s="1512" t="s">
        <v>254</v>
      </c>
      <c r="B64" s="1512"/>
      <c r="C64" s="1512"/>
      <c r="D64" s="1512"/>
      <c r="E64" s="2338"/>
      <c r="F64" s="1512"/>
      <c r="G64" s="1512"/>
      <c r="H64" s="1512"/>
      <c r="I64" s="1512"/>
      <c r="J64" s="1512"/>
      <c r="K64" s="1512"/>
      <c r="L64" s="1512"/>
      <c r="M64" s="1518"/>
      <c r="N64" s="1516"/>
      <c r="O64" s="1516"/>
      <c r="P64" s="481"/>
      <c r="Q64" s="510"/>
      <c r="R64" s="1481"/>
      <c r="S64" s="510"/>
      <c r="T64" s="510"/>
      <c r="U64" s="1459"/>
      <c r="V64" s="1462" t="s">
        <v>496</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1630"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528</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1B0FF-6828-78BB-5587-5EA5B9C14B8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1" style="11649" width="11.421875" hidden="1" customWidth="1"/>
    <col min="12" max="12" style="11729" width="19.140625" hidden="1" customWidth="1"/>
    <col min="13" max="14" style="11730" width="12.28125" hidden="1" customWidth="1"/>
    <col min="15" max="15" style="11730" width="23.421875" hidden="1" customWidth="1"/>
    <col min="16" max="16" style="11730" width="3.7109375" hidden="1" customWidth="1"/>
    <col min="17" max="17" style="11902" width="3.7109375" hidden="1" customWidth="1"/>
    <col min="18" max="18" style="11732" width="3.7109375" customWidth="1"/>
    <col min="19" max="19" style="11733" width="12.7109375" customWidth="1"/>
    <col min="20" max="20" style="11734" width="32.00390625" customWidth="1"/>
    <col min="21" max="21" style="11734" width="0.140625" customWidth="1"/>
    <col min="22" max="23" style="11734" width="21.7109375" hidden="1" customWidth="1"/>
    <col min="24" max="24" style="11734" width="11.7109375" hidden="1" customWidth="1"/>
    <col min="25" max="25" style="11734" width="3.7109375" hidden="1" customWidth="1"/>
    <col min="26" max="26" style="11734" width="11.7109375" hidden="1" customWidth="1"/>
    <col min="27" max="27" style="11734" width="8.57421875" hidden="1" customWidth="1"/>
    <col min="28" max="28" style="11734" width="5.421875" customWidth="1"/>
    <col min="29" max="30" style="11734" width="3.7109375" customWidth="1"/>
    <col min="31" max="31" style="11734" width="24.7109375" customWidth="1"/>
    <col min="32" max="34" style="11734" width="3.7109375" customWidth="1"/>
    <col min="35" max="35" style="11734" width="24.7109375" customWidth="1"/>
    <col min="36" max="38" style="11734" width="3.7109375" customWidth="1"/>
    <col min="39" max="39" style="11734" width="18.8515625" customWidth="1"/>
    <col min="40" max="41" style="11734" width="21.7109375" customWidth="1"/>
    <col min="42" max="42" style="11734" width="11.7109375" customWidth="1"/>
    <col min="43" max="43" style="11734" width="3.7109375" customWidth="1"/>
    <col min="44" max="44" style="11734" width="11.7109375" customWidth="1"/>
    <col min="45" max="45" style="11734" width="8.57421875" customWidth="1"/>
    <col min="46" max="46" style="11734" width="4.7109375" customWidth="1"/>
    <col min="47" max="47" style="11734" width="115.7109375" customWidth="1"/>
    <col min="48" max="49" style="11721" width="10.57421875"/>
    <col min="50" max="50" style="11721" width="11.140625" customWidth="1"/>
    <col min="51" max="52" style="11721"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204</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476</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477</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478</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479</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480</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481</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482</v>
      </c>
      <c r="AW5" s="630"/>
      <c r="AX5" s="630" t="str">
        <f>IF(T5="","",T5)</f>
        <v>Источник тепловой энергии  </v>
      </c>
      <c r="AY5" s="630"/>
      <c r="AZ5" s="630"/>
    </row>
    <row s="11721" customFormat="1" customHeight="1" ht="14.25" hidden="1">
      <c r="A6" s="1480"/>
      <c r="B6" s="1480"/>
      <c r="C6" s="1480"/>
      <c r="D6" s="1480"/>
      <c r="E6" s="2298"/>
      <c r="F6" s="2298"/>
      <c r="G6" s="2298"/>
      <c r="H6" s="2298"/>
      <c r="I6" s="2295">
        <f>S5&amp;".1"</f>
      </c>
      <c r="J6" s="1480"/>
      <c r="K6" s="1480"/>
      <c r="L6" s="1483" t="s">
        <v>483</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721"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64</v>
      </c>
      <c r="Z8" s="2304"/>
      <c r="AA8" s="2147" t="s">
        <v>64</v>
      </c>
      <c r="AB8" s="2147" t="s">
        <v>54</v>
      </c>
      <c r="AC8" s="2358"/>
      <c r="AD8" s="2243">
        <v>1</v>
      </c>
      <c r="AE8" s="2359"/>
      <c r="AF8" s="2147" t="s">
        <v>54</v>
      </c>
      <c r="AG8" s="2358"/>
      <c r="AH8" s="2243">
        <v>1</v>
      </c>
      <c r="AI8" s="2359"/>
      <c r="AJ8" s="2147" t="s">
        <v>54</v>
      </c>
      <c r="AK8" s="441"/>
      <c r="AL8" s="1474">
        <v>1</v>
      </c>
      <c r="AM8" s="1535"/>
      <c r="AN8" s="881"/>
      <c r="AO8" s="1393"/>
      <c r="AP8" s="1871"/>
      <c r="AQ8" s="1596" t="s">
        <v>64</v>
      </c>
      <c r="AR8" s="1871"/>
      <c r="AS8" s="1596" t="s">
        <v>64</v>
      </c>
      <c r="AT8" s="1485"/>
      <c r="AU8" s="2292" t="s">
        <v>544</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545</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546</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547</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548</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721"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721"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1630"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494</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1630"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495</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721"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496</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54</v>
      </c>
      <c r="AC19" s="1638"/>
      <c r="AD19" s="678">
        <v>1</v>
      </c>
      <c r="AE19" s="1639"/>
      <c r="AF19" s="1461" t="s">
        <v>54</v>
      </c>
      <c r="AG19" s="1638"/>
      <c r="AH19" s="678">
        <v>1</v>
      </c>
      <c r="AI19" s="1639"/>
      <c r="AJ19" s="1461" t="s">
        <v>54</v>
      </c>
      <c r="AK19" s="1640"/>
      <c r="AL19" s="678">
        <v>1</v>
      </c>
      <c r="AM19" s="1643"/>
      <c r="AN19" s="1540"/>
      <c r="AO19" s="1541"/>
      <c r="AP19" s="1873"/>
      <c r="AQ19" s="1597" t="s">
        <v>64</v>
      </c>
      <c r="AR19" s="1873"/>
      <c r="AS19" s="1597" t="s">
        <v>64</v>
      </c>
    </row>
    <row customHeight="1" ht="14.25" hidden="1">
      <c r="AV20" s="626"/>
      <c r="AW20" s="626"/>
      <c r="AX20" s="626"/>
      <c r="AY20" s="626"/>
      <c r="AZ20" s="626"/>
    </row>
    <row customHeight="1" ht="14.25" hidden="1">
      <c r="O21" s="1504" t="s">
        <v>497</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876" customFormat="1" customHeight="1" ht="14.25" hidden="1">
      <c r="M23" s="1645"/>
      <c r="N23" s="1645"/>
      <c r="O23" s="1646" t="s">
        <v>498</v>
      </c>
      <c r="P23" s="1645"/>
      <c r="Q23" s="1647"/>
      <c r="R23" s="1647"/>
      <c r="Y23" s="1644" t="s">
        <v>500</v>
      </c>
      <c r="AA23" s="1644" t="s">
        <v>501</v>
      </c>
      <c r="AB23" s="1644" t="s">
        <v>549</v>
      </c>
      <c r="AE23" s="1644" t="s">
        <v>550</v>
      </c>
      <c r="AF23" s="1644" t="s">
        <v>549</v>
      </c>
      <c r="AI23" s="1644" t="s">
        <v>551</v>
      </c>
      <c r="AJ23" s="1644" t="s">
        <v>549</v>
      </c>
      <c r="AM23" s="1644" t="s">
        <v>552</v>
      </c>
      <c r="AQ23" s="1644" t="s">
        <v>500</v>
      </c>
      <c r="AS23" s="1644" t="s">
        <v>501</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662"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662"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503</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66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504</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66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662"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503</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662"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504</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662"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507</v>
      </c>
      <c r="AB37" s="456"/>
      <c r="AC37" s="456"/>
      <c r="AD37" s="456"/>
      <c r="AE37" s="456"/>
      <c r="AF37" s="456"/>
      <c r="AG37" s="456"/>
      <c r="AH37" s="456"/>
      <c r="AI37" s="456"/>
      <c r="AJ37" s="456"/>
      <c r="AK37" s="456"/>
      <c r="AL37" s="456"/>
      <c r="AM37" s="456"/>
      <c r="AN37" s="456"/>
      <c r="AO37" s="456"/>
      <c r="AP37" s="456"/>
      <c r="AQ37" s="456"/>
      <c r="AR37" s="456"/>
      <c r="AS37" s="408" t="s">
        <v>507</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378</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379</v>
      </c>
    </row>
    <row customHeight="1" ht="14.25">
      <c r="Q40" s="421"/>
      <c r="R40" s="506"/>
      <c r="S40" s="2312" t="s">
        <v>85</v>
      </c>
      <c r="T40" s="2248" t="s">
        <v>553</v>
      </c>
      <c r="U40" s="431"/>
      <c r="V40" s="2314"/>
      <c r="W40" s="2314"/>
      <c r="X40" s="2314"/>
      <c r="Y40" s="2314"/>
      <c r="Z40" s="2315"/>
      <c r="AA40" s="2368" t="s">
        <v>510</v>
      </c>
      <c r="AB40" s="2360" t="s">
        <v>554</v>
      </c>
      <c r="AC40" s="2328"/>
      <c r="AD40" s="2328"/>
      <c r="AE40" s="2361"/>
      <c r="AF40" s="2328" t="s">
        <v>555</v>
      </c>
      <c r="AG40" s="2328"/>
      <c r="AH40" s="2328"/>
      <c r="AI40" s="2361"/>
      <c r="AJ40" s="2360" t="s">
        <v>556</v>
      </c>
      <c r="AK40" s="2328"/>
      <c r="AL40" s="2328"/>
      <c r="AM40" s="2361"/>
      <c r="AN40" s="2360" t="s">
        <v>509</v>
      </c>
      <c r="AO40" s="2328"/>
      <c r="AP40" s="2314"/>
      <c r="AQ40" s="2314"/>
      <c r="AR40" s="2315"/>
      <c r="AS40" s="2316" t="s">
        <v>510</v>
      </c>
      <c r="AT40" s="2319" t="s">
        <v>512</v>
      </c>
      <c r="AU40" s="2167"/>
    </row>
    <row customHeight="1" ht="33.75">
      <c r="Q41" s="421"/>
      <c r="R41" s="506"/>
      <c r="S41" s="2312"/>
      <c r="T41" s="2248"/>
      <c r="U41" s="1162"/>
      <c r="V41" s="2230" t="s">
        <v>557</v>
      </c>
      <c r="W41" s="2231"/>
      <c r="X41" s="2331" t="s">
        <v>516</v>
      </c>
      <c r="Y41" s="2345"/>
      <c r="Z41" s="2346"/>
      <c r="AA41" s="2369"/>
      <c r="AB41" s="2362"/>
      <c r="AC41" s="2363"/>
      <c r="AD41" s="2363"/>
      <c r="AE41" s="2364"/>
      <c r="AF41" s="2363"/>
      <c r="AG41" s="2363"/>
      <c r="AH41" s="2363"/>
      <c r="AI41" s="2364"/>
      <c r="AJ41" s="2362"/>
      <c r="AK41" s="2363"/>
      <c r="AL41" s="2363"/>
      <c r="AM41" s="2363"/>
      <c r="AN41" s="2167" t="s">
        <v>558</v>
      </c>
      <c r="AO41" s="2167"/>
      <c r="AP41" s="2345" t="s">
        <v>516</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216</v>
      </c>
      <c r="C43" s="1507" t="s">
        <v>217</v>
      </c>
      <c r="D43" s="1507" t="s">
        <v>218</v>
      </c>
      <c r="E43" s="1501" t="s">
        <v>517</v>
      </c>
      <c r="F43" s="1501" t="s">
        <v>518</v>
      </c>
      <c r="G43" s="1501" t="s">
        <v>519</v>
      </c>
      <c r="H43" s="1501" t="s">
        <v>520</v>
      </c>
      <c r="I43" s="1501" t="s">
        <v>521</v>
      </c>
      <c r="J43" s="1501" t="s">
        <v>522</v>
      </c>
      <c r="K43" s="1501" t="s">
        <v>523</v>
      </c>
      <c r="L43" s="1501" t="s">
        <v>498</v>
      </c>
      <c r="Q43" s="421"/>
      <c r="R43" s="506"/>
      <c r="S43" s="2312"/>
      <c r="T43" s="2248"/>
      <c r="U43" s="432"/>
      <c r="V43" s="1467" t="s">
        <v>559</v>
      </c>
      <c r="W43" s="1467" t="s">
        <v>560</v>
      </c>
      <c r="X43" s="1475" t="s">
        <v>526</v>
      </c>
      <c r="Y43" s="2309" t="s">
        <v>527</v>
      </c>
      <c r="Z43" s="2310"/>
      <c r="AA43" s="2370"/>
      <c r="AB43" s="2365"/>
      <c r="AC43" s="2366"/>
      <c r="AD43" s="2366"/>
      <c r="AE43" s="2367"/>
      <c r="AF43" s="2366"/>
      <c r="AG43" s="2366"/>
      <c r="AH43" s="2366"/>
      <c r="AI43" s="2367"/>
      <c r="AJ43" s="2365"/>
      <c r="AK43" s="2366"/>
      <c r="AL43" s="2366"/>
      <c r="AM43" s="2367"/>
      <c r="AN43" s="1999" t="s">
        <v>559</v>
      </c>
      <c r="AO43" s="1999" t="s">
        <v>560</v>
      </c>
      <c r="AP43" s="1475" t="s">
        <v>526</v>
      </c>
      <c r="AQ43" s="2309" t="s">
        <v>527</v>
      </c>
      <c r="AR43" s="2310"/>
      <c r="AS43" s="2318"/>
      <c r="AT43" s="2321"/>
      <c r="AU43" s="2167"/>
    </row>
    <row s="11482"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165</v>
      </c>
      <c r="T44" s="1391" t="s">
        <v>100</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278</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204</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278</v>
      </c>
      <c r="B46" s="1500" t="s">
        <v>279</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477</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478</v>
      </c>
      <c r="AW46" s="630"/>
      <c r="AX46" s="630" t="str">
        <f>IF(T46="","",T46)</f>
        <v>Территория действия тарифа</v>
      </c>
      <c r="AY46" s="630"/>
      <c r="AZ46" s="630"/>
    </row>
    <row customHeight="1" ht="23.25">
      <c r="A47" s="1500" t="s">
        <v>278</v>
      </c>
      <c r="B47" s="1500" t="s">
        <v>279</v>
      </c>
      <c r="C47" s="1500" t="s">
        <v>280</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479</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480</v>
      </c>
      <c r="AW47" s="630"/>
      <c r="AX47" s="630" t="str">
        <f>IF(T47="","",T47)</f>
        <v>Наименование системы теплоснабжения </v>
      </c>
      <c r="AY47" s="630"/>
      <c r="AZ47" s="630"/>
    </row>
    <row customHeight="1" ht="21">
      <c r="A48" s="1500" t="s">
        <v>278</v>
      </c>
      <c r="B48" s="1500" t="s">
        <v>279</v>
      </c>
      <c r="C48" s="1500" t="s">
        <v>280</v>
      </c>
      <c r="D48" s="1500" t="s">
        <v>281</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481</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482</v>
      </c>
      <c r="AW48" s="630"/>
      <c r="AX48" s="630" t="str">
        <f>IF(T48="","",T48)</f>
        <v>Источник тепловой энергии  </v>
      </c>
      <c r="AY48" s="630"/>
      <c r="AZ48" s="630"/>
    </row>
    <row s="11721" customFormat="1" customHeight="1" ht="0">
      <c r="A49" s="1480" t="s">
        <v>278</v>
      </c>
      <c r="B49" s="1480" t="s">
        <v>279</v>
      </c>
      <c r="C49" s="1480" t="s">
        <v>280</v>
      </c>
      <c r="D49" s="1480" t="s">
        <v>281</v>
      </c>
      <c r="E49" s="2298"/>
      <c r="F49" s="2298"/>
      <c r="G49" s="2298"/>
      <c r="H49" s="2298"/>
      <c r="I49" s="2295" t="str">
        <f>S48&amp;".1"</f>
        <v>....1</v>
      </c>
      <c r="J49" s="1480"/>
      <c r="K49" s="1480"/>
      <c r="L49" s="1483" t="s">
        <v>483</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721" customFormat="1" customHeight="1" ht="0">
      <c r="A50" s="1480" t="s">
        <v>278</v>
      </c>
      <c r="B50" s="1480" t="s">
        <v>279</v>
      </c>
      <c r="C50" s="1480" t="s">
        <v>280</v>
      </c>
      <c r="D50" s="1480" t="s">
        <v>281</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278</v>
      </c>
      <c r="B51" s="1500" t="s">
        <v>279</v>
      </c>
      <c r="C51" s="1500" t="s">
        <v>280</v>
      </c>
      <c r="D51" s="1500" t="s">
        <v>281</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64</v>
      </c>
      <c r="Z51" s="1871"/>
      <c r="AA51" s="1596" t="s">
        <v>64</v>
      </c>
      <c r="AB51" s="2147" t="s">
        <v>54</v>
      </c>
      <c r="AC51" s="2358"/>
      <c r="AD51" s="2243">
        <v>1</v>
      </c>
      <c r="AE51" s="2379" t="s">
        <v>18</v>
      </c>
      <c r="AF51" s="2147" t="s">
        <v>54</v>
      </c>
      <c r="AG51" s="2358"/>
      <c r="AH51" s="2243">
        <v>1</v>
      </c>
      <c r="AI51" s="2379" t="s">
        <v>18</v>
      </c>
      <c r="AJ51" s="2147" t="s">
        <v>54</v>
      </c>
      <c r="AK51" s="441"/>
      <c r="AL51" s="1474">
        <v>1</v>
      </c>
      <c r="AM51" s="1539"/>
      <c r="AN51" s="881"/>
      <c r="AO51" s="1393"/>
      <c r="AP51" s="1871"/>
      <c r="AQ51" s="1596" t="s">
        <v>64</v>
      </c>
      <c r="AR51" s="1871"/>
      <c r="AS51" s="1596" t="s">
        <v>64</v>
      </c>
      <c r="AT51" s="1485"/>
      <c r="AU51" s="2292" t="s">
        <v>561</v>
      </c>
      <c r="AV51" s="641">
        <f>STRCHECKDATE(V54:AT54)</f>
      </c>
      <c r="AW51" s="630"/>
      <c r="AX51" s="630" t="str">
        <f>IF(T51="","",T51)</f>
        <v/>
      </c>
      <c r="AY51" s="630"/>
      <c r="AZ51" s="630"/>
    </row>
    <row customHeight="1" ht="11.25">
      <c r="A52" s="1500" t="s">
        <v>278</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545</v>
      </c>
      <c r="AN52" s="1530"/>
      <c r="AO52" s="1633"/>
      <c r="AP52" s="1530"/>
      <c r="AQ52" s="1530"/>
      <c r="AR52" s="1530"/>
      <c r="AS52" s="1530"/>
      <c r="AT52" s="1527"/>
      <c r="AU52" s="2293"/>
      <c r="AW52" s="630"/>
      <c r="AX52" s="630"/>
      <c r="AY52" s="630"/>
      <c r="AZ52" s="630"/>
    </row>
    <row customHeight="1" ht="11.25">
      <c r="A53" s="1500" t="s">
        <v>278</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546</v>
      </c>
      <c r="AJ53" s="1530"/>
      <c r="AK53" s="1530"/>
      <c r="AL53" s="1530"/>
      <c r="AM53" s="1530"/>
      <c r="AN53" s="1530"/>
      <c r="AO53" s="1633"/>
      <c r="AP53" s="1530"/>
      <c r="AQ53" s="1530"/>
      <c r="AR53" s="1530"/>
      <c r="AS53" s="1530"/>
      <c r="AT53" s="1527"/>
      <c r="AU53" s="2293"/>
      <c r="AW53" s="630"/>
      <c r="AX53" s="630"/>
      <c r="AY53" s="630"/>
      <c r="AZ53" s="630"/>
    </row>
    <row customHeight="1" ht="11.25">
      <c r="A54" s="1500" t="s">
        <v>278</v>
      </c>
      <c r="B54" s="1500" t="s">
        <v>279</v>
      </c>
      <c r="C54" s="1500" t="s">
        <v>280</v>
      </c>
      <c r="D54" s="1500" t="s">
        <v>281</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547</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278</v>
      </c>
      <c r="B55" s="1500" t="s">
        <v>279</v>
      </c>
      <c r="C55" s="1500" t="s">
        <v>280</v>
      </c>
      <c r="D55" s="1500" t="s">
        <v>281</v>
      </c>
      <c r="E55" s="2298"/>
      <c r="F55" s="2298"/>
      <c r="G55" s="2298"/>
      <c r="H55" s="2298"/>
      <c r="I55" s="2325"/>
      <c r="J55" s="2295"/>
      <c r="K55" s="1500"/>
      <c r="L55" s="1501"/>
      <c r="P55" s="2296"/>
      <c r="Q55" s="2296"/>
      <c r="R55" s="486"/>
      <c r="S55" s="1415"/>
      <c r="T55" s="417" t="s">
        <v>548</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721" customFormat="1" customHeight="1" ht="0">
      <c r="A56" s="1480" t="s">
        <v>278</v>
      </c>
      <c r="B56" s="1480" t="s">
        <v>279</v>
      </c>
      <c r="C56" s="1480" t="s">
        <v>280</v>
      </c>
      <c r="D56" s="1480" t="s">
        <v>281</v>
      </c>
      <c r="E56" s="2298"/>
      <c r="F56" s="2298"/>
      <c r="G56" s="2298"/>
      <c r="H56" s="2298"/>
      <c r="I56" s="2295"/>
      <c r="J56" s="1480"/>
      <c r="K56" s="1480"/>
      <c r="L56" s="1483"/>
      <c r="M56" s="640"/>
      <c r="N56" s="640"/>
      <c r="O56" s="640"/>
      <c r="P56" s="2296"/>
      <c r="Q56" s="1468"/>
      <c r="R56" s="486"/>
      <c r="S56" s="1523"/>
      <c r="T56" s="1524" t="s">
        <v>492</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1482" customFormat="1" customHeight="1" ht="0">
      <c r="A57" s="1480" t="s">
        <v>278</v>
      </c>
      <c r="B57" s="1480" t="s">
        <v>279</v>
      </c>
      <c r="C57" s="1480" t="s">
        <v>280</v>
      </c>
      <c r="D57" s="1480" t="s">
        <v>281</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1630" customFormat="1" customHeight="1" ht="0">
      <c r="A58" s="1480" t="s">
        <v>278</v>
      </c>
      <c r="B58" s="1480" t="s">
        <v>279</v>
      </c>
      <c r="C58" s="1480" t="s">
        <v>280</v>
      </c>
      <c r="D58" s="1451"/>
      <c r="E58" s="2298"/>
      <c r="F58" s="2298"/>
      <c r="G58" s="2297"/>
      <c r="H58" s="1451"/>
      <c r="I58" s="1451"/>
      <c r="J58" s="1451"/>
      <c r="K58" s="1451"/>
      <c r="L58" s="1476"/>
      <c r="M58" s="1452"/>
      <c r="N58" s="1452"/>
      <c r="P58" s="1453"/>
      <c r="Q58" s="1454"/>
      <c r="R58" s="1453"/>
      <c r="S58" s="1459"/>
      <c r="T58" s="1462" t="s">
        <v>494</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1630" customFormat="1" customHeight="1" ht="0">
      <c r="A59" s="1480" t="s">
        <v>278</v>
      </c>
      <c r="B59" s="1480" t="s">
        <v>279</v>
      </c>
      <c r="C59" s="1451"/>
      <c r="D59" s="1451"/>
      <c r="E59" s="2298"/>
      <c r="F59" s="2297"/>
      <c r="G59" s="1451"/>
      <c r="H59" s="1451"/>
      <c r="I59" s="1451"/>
      <c r="J59" s="1451"/>
      <c r="K59" s="1451"/>
      <c r="L59" s="1476"/>
      <c r="M59" s="1458"/>
      <c r="N59" s="1458"/>
      <c r="P59" s="1453"/>
      <c r="Q59" s="1454"/>
      <c r="R59" s="1453"/>
      <c r="S59" s="1459"/>
      <c r="T59" s="1462" t="s">
        <v>495</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721" customFormat="1" customHeight="1" ht="0">
      <c r="A60" s="1480" t="s">
        <v>278</v>
      </c>
      <c r="B60" s="1480"/>
      <c r="C60" s="1480"/>
      <c r="D60" s="1480"/>
      <c r="E60" s="2298"/>
      <c r="F60" s="1480"/>
      <c r="G60" s="1480"/>
      <c r="H60" s="1480"/>
      <c r="I60" s="1480"/>
      <c r="J60" s="1480"/>
      <c r="K60" s="1480"/>
      <c r="L60" s="1483"/>
      <c r="M60" s="1458"/>
      <c r="N60" s="1458"/>
      <c r="O60" s="648"/>
      <c r="P60" s="510"/>
      <c r="Q60" s="1481"/>
      <c r="R60" s="510"/>
      <c r="S60" s="1459"/>
      <c r="T60" s="1462" t="s">
        <v>496</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721" customFormat="1" customHeight="1" ht="0">
      <c r="A61" s="1480" t="s">
        <v>278</v>
      </c>
      <c r="B61" s="1480"/>
      <c r="C61" s="1480"/>
      <c r="D61" s="1480"/>
      <c r="E61" s="2297"/>
      <c r="F61" s="1480"/>
      <c r="G61" s="1480"/>
      <c r="H61" s="1480"/>
      <c r="I61" s="1480"/>
      <c r="J61" s="1480"/>
      <c r="K61" s="1480"/>
      <c r="L61" s="1483"/>
      <c r="M61" s="1458"/>
      <c r="N61" s="1458"/>
      <c r="O61" s="648"/>
      <c r="P61" s="510"/>
      <c r="Q61" s="1481"/>
      <c r="R61" s="510"/>
      <c r="S61" s="1459"/>
      <c r="T61" s="1462" t="s">
        <v>496</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1630"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528</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FDE43-FCB3-9216-0564-832E873D2EE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4.140625" hidden="1" customWidth="1"/>
    <col min="10" max="10" style="11649" width="9.8515625" hidden="1" customWidth="1"/>
    <col min="11" max="11" style="11649" width="14.7109375" hidden="1" customWidth="1"/>
    <col min="12" max="12" style="11930" width="19.140625" hidden="1" customWidth="1"/>
    <col min="13" max="14" style="11730" width="12.28125" hidden="1" customWidth="1"/>
    <col min="15" max="15" style="11730" width="23.421875" hidden="1" customWidth="1"/>
    <col min="16" max="16" style="11931" width="3.7109375" customWidth="1"/>
    <col min="17" max="18" style="11732" width="3.7109375" customWidth="1"/>
    <col min="19" max="19" style="11733" width="12.7109375" customWidth="1"/>
    <col min="20" max="20" style="11734" width="35.7109375" customWidth="1"/>
    <col min="21" max="21" style="11734" width="0.140625" customWidth="1"/>
    <col min="22" max="24" style="11734" width="24.7109375" hidden="1" customWidth="1"/>
    <col min="25" max="25" style="11734" width="11.7109375" hidden="1" customWidth="1"/>
    <col min="26" max="26" style="11734" width="3.7109375" hidden="1" customWidth="1"/>
    <col min="27" max="27" style="11734" width="11.7109375" hidden="1" customWidth="1"/>
    <col min="28" max="28" style="11734" width="8.57421875" hidden="1" customWidth="1"/>
    <col min="29" max="31" style="11734" width="24.7109375" customWidth="1"/>
    <col min="32" max="32" style="11734" width="11.7109375" customWidth="1"/>
    <col min="33" max="33" style="11734" width="3.7109375" customWidth="1"/>
    <col min="34" max="34" style="11734" width="11.7109375" customWidth="1"/>
    <col min="35" max="35" style="11734" width="8.57421875" hidden="1" customWidth="1"/>
    <col min="36" max="36" style="11734" width="4.7109375" customWidth="1"/>
    <col min="37" max="37" style="11734" width="115.7109375" customWidth="1"/>
    <col min="38" max="39" style="11721" width="10.57421875"/>
    <col min="40" max="40" style="11721" width="11.140625" customWidth="1"/>
    <col min="41" max="42" style="1172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204</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477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478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562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563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564</v>
      </c>
      <c r="U5" s="430"/>
      <c r="V5" s="2381"/>
      <c r="W5" s="2382"/>
      <c r="X5" s="2382"/>
      <c r="Y5" s="2382"/>
      <c r="Z5" s="2382"/>
      <c r="AA5" s="2382"/>
      <c r="AB5" s="2383"/>
      <c r="AC5" s="2384"/>
      <c r="AD5" s="2385"/>
      <c r="AE5" s="2385"/>
      <c r="AF5" s="2385"/>
      <c r="AG5" s="2385"/>
      <c r="AH5" s="2385"/>
      <c r="AI5" s="2385"/>
      <c r="AJ5" s="2386"/>
      <c r="AK5" s="1394" t="s">
        <v>565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486</v>
      </c>
      <c r="P6" s="2296"/>
      <c r="Q6" s="2296">
        <v>1</v>
      </c>
      <c r="R6" s="487"/>
      <c r="S6" s="1562">
        <f>$J6</f>
      </c>
      <c r="T6" s="416" t="s">
        <v>487</v>
      </c>
      <c r="U6" s="430"/>
      <c r="V6" s="2284"/>
      <c r="W6" s="2285"/>
      <c r="X6" s="2285"/>
      <c r="Y6" s="2285"/>
      <c r="Z6" s="2285"/>
      <c r="AA6" s="2285"/>
      <c r="AB6" s="2286"/>
      <c r="AC6" s="2284"/>
      <c r="AD6" s="2285"/>
      <c r="AE6" s="2285"/>
      <c r="AF6" s="2285"/>
      <c r="AG6" s="2285"/>
      <c r="AH6" s="2285"/>
      <c r="AI6" s="2285"/>
      <c r="AJ6" s="2286"/>
      <c r="AK6" s="1444" t="s">
        <v>566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567</v>
      </c>
      <c r="U9" s="497"/>
      <c r="V9" s="497"/>
      <c r="W9" s="497"/>
      <c r="X9" s="497"/>
      <c r="Y9" s="497"/>
      <c r="Z9" s="497"/>
      <c r="AA9" s="497"/>
      <c r="AB9" s="497"/>
      <c r="AC9" s="497"/>
      <c r="AD9" s="497"/>
      <c r="AE9" s="497"/>
      <c r="AF9" s="497"/>
      <c r="AG9" s="497"/>
      <c r="AH9" s="497"/>
      <c r="AI9" s="497"/>
      <c r="AJ9" s="497"/>
      <c r="AK9" s="1394" t="s">
        <v>568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492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569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630"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495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72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496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649" customFormat="1" customHeight="1" ht="22.5" hidden="1">
      <c r="L18" s="1558"/>
      <c r="M18" s="1499"/>
      <c r="N18" s="1499"/>
      <c r="O18" s="1504" t="s">
        <v>497</v>
      </c>
      <c r="P18" s="1499"/>
      <c r="Q18" s="1508"/>
      <c r="R18" s="1508"/>
      <c r="S18" s="859"/>
      <c r="Y18" s="1504"/>
      <c r="AA18" s="1504"/>
      <c r="AB18" s="1503"/>
      <c r="AF18" s="1504"/>
      <c r="AH18" s="1504"/>
      <c r="AI18" s="1503"/>
      <c r="AL18" s="641"/>
      <c r="AM18" s="641"/>
      <c r="AN18" s="641"/>
      <c r="AO18" s="641"/>
      <c r="AP18" s="641"/>
    </row>
    <row s="11649" customFormat="1" customHeight="1" ht="14.25" hidden="1">
      <c r="L19" s="1558"/>
      <c r="M19" s="1499"/>
      <c r="N19" s="1499"/>
      <c r="O19" s="1499"/>
      <c r="P19" s="1499"/>
      <c r="Q19" s="1508"/>
      <c r="R19" s="1508"/>
      <c r="S19" s="859"/>
      <c r="AB19" s="1503"/>
      <c r="AI19" s="1503"/>
      <c r="AL19" s="641"/>
      <c r="AM19" s="641"/>
      <c r="AN19" s="641"/>
      <c r="AO19" s="641"/>
      <c r="AP19" s="641"/>
    </row>
    <row s="11649" customFormat="1" customHeight="1" ht="12" hidden="1">
      <c r="L20" s="1558"/>
      <c r="M20" s="1499"/>
      <c r="N20" s="1499"/>
      <c r="O20" s="1501" t="s">
        <v>498</v>
      </c>
      <c r="P20" s="1499"/>
      <c r="Q20" s="1579"/>
      <c r="R20" s="1579"/>
      <c r="S20" s="859"/>
      <c r="T20" s="1292" t="s">
        <v>499</v>
      </c>
      <c r="Z20" s="316" t="s">
        <v>500</v>
      </c>
      <c r="AB20" s="316" t="s">
        <v>501</v>
      </c>
      <c r="AC20" s="1292" t="s">
        <v>499</v>
      </c>
      <c r="AG20" s="316" t="s">
        <v>502</v>
      </c>
      <c r="AI20" s="316" t="s">
        <v>501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66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662" customFormat="1" customHeight="1" ht="18.75" hidden="1">
      <c r="A28" s="1505"/>
      <c r="B28" s="1505"/>
      <c r="C28" s="1505"/>
      <c r="D28" s="1505"/>
      <c r="E28" s="1505"/>
      <c r="F28" s="1505"/>
      <c r="G28" s="1505"/>
      <c r="H28" s="1505"/>
      <c r="I28" s="1505"/>
      <c r="J28" s="1505"/>
      <c r="K28" s="1505"/>
      <c r="L28" s="1506"/>
      <c r="M28" s="1505"/>
      <c r="N28" s="1505"/>
      <c r="O28" s="1505"/>
      <c r="S28" s="2289" t="s">
        <v>503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662" customFormat="1" customHeight="1" ht="18.75" hidden="1">
      <c r="A29" s="1505"/>
      <c r="B29" s="1505"/>
      <c r="C29" s="1505"/>
      <c r="D29" s="1505"/>
      <c r="E29" s="1505"/>
      <c r="F29" s="1505"/>
      <c r="G29" s="1505"/>
      <c r="H29" s="1505"/>
      <c r="I29" s="1505"/>
      <c r="J29" s="1505"/>
      <c r="K29" s="1505"/>
      <c r="L29" s="1506"/>
      <c r="M29" s="1505"/>
      <c r="N29" s="1505"/>
      <c r="O29" s="1505"/>
      <c r="S29" s="2289" t="s">
        <v>504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66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662" customFormat="1" customHeight="1" ht="18.75" hidden="1">
      <c r="A32" s="1505"/>
      <c r="B32" s="1505"/>
      <c r="C32" s="1505"/>
      <c r="D32" s="1505"/>
      <c r="E32" s="1505"/>
      <c r="F32" s="1505"/>
      <c r="G32" s="1505"/>
      <c r="H32" s="1505"/>
      <c r="I32" s="1505"/>
      <c r="J32" s="1505"/>
      <c r="K32" s="1505"/>
      <c r="L32" s="1506"/>
      <c r="M32" s="1505"/>
      <c r="N32" s="1505"/>
      <c r="O32" s="1505"/>
      <c r="S32" s="2289" t="s">
        <v>505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662" customFormat="1" customHeight="1" ht="18.75" hidden="1">
      <c r="A33" s="1505"/>
      <c r="B33" s="1505"/>
      <c r="C33" s="1505"/>
      <c r="D33" s="1505"/>
      <c r="E33" s="1505"/>
      <c r="F33" s="1505"/>
      <c r="G33" s="1505"/>
      <c r="H33" s="1505"/>
      <c r="I33" s="1505"/>
      <c r="J33" s="1505"/>
      <c r="K33" s="1505"/>
      <c r="L33" s="1506"/>
      <c r="M33" s="1505"/>
      <c r="N33" s="1505"/>
      <c r="O33" s="1505"/>
      <c r="S33" s="2289" t="s">
        <v>506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662"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507</v>
      </c>
      <c r="AC34" s="456"/>
      <c r="AD34" s="456"/>
      <c r="AE34" s="456"/>
      <c r="AF34" s="456"/>
      <c r="AG34" s="456"/>
      <c r="AH34" s="456"/>
      <c r="AI34" s="408" t="s">
        <v>507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378</v>
      </c>
      <c r="T36" s="2167"/>
      <c r="U36" s="2167"/>
      <c r="V36" s="2167"/>
      <c r="W36" s="2167"/>
      <c r="X36" s="2167"/>
      <c r="Y36" s="2167"/>
      <c r="Z36" s="2167"/>
      <c r="AA36" s="2167"/>
      <c r="AB36" s="2167"/>
      <c r="AC36" s="2167"/>
      <c r="AD36" s="2167"/>
      <c r="AE36" s="2167"/>
      <c r="AF36" s="2167"/>
      <c r="AG36" s="2167"/>
      <c r="AH36" s="2167"/>
      <c r="AI36" s="2167"/>
      <c r="AJ36" s="2167"/>
      <c r="AK36" s="2167" t="s">
        <v>379</v>
      </c>
    </row>
    <row customHeight="1" ht="14.25">
      <c r="Q37" s="506"/>
      <c r="R37" s="506"/>
      <c r="S37" s="2312" t="s">
        <v>85</v>
      </c>
      <c r="T37" s="2248" t="s">
        <v>508</v>
      </c>
      <c r="U37" s="431"/>
      <c r="V37" s="2313" t="s">
        <v>509</v>
      </c>
      <c r="W37" s="2314"/>
      <c r="X37" s="2314"/>
      <c r="Y37" s="2314"/>
      <c r="Z37" s="2314"/>
      <c r="AA37" s="2315"/>
      <c r="AB37" s="2316" t="s">
        <v>510</v>
      </c>
      <c r="AC37" s="2313" t="s">
        <v>509</v>
      </c>
      <c r="AD37" s="2314"/>
      <c r="AE37" s="2314"/>
      <c r="AF37" s="2314"/>
      <c r="AG37" s="2314"/>
      <c r="AH37" s="2315"/>
      <c r="AI37" s="2316" t="s">
        <v>511</v>
      </c>
      <c r="AJ37" s="2319" t="s">
        <v>512</v>
      </c>
      <c r="AK37" s="2167"/>
    </row>
    <row customHeight="1" ht="33.75">
      <c r="Q38" s="506"/>
      <c r="R38" s="506"/>
      <c r="S38" s="2312"/>
      <c r="T38" s="2248"/>
      <c r="U38" s="1162"/>
      <c r="V38" s="1489" t="s">
        <v>570</v>
      </c>
      <c r="W38" s="2301" t="s">
        <v>515</v>
      </c>
      <c r="X38" s="2302"/>
      <c r="Y38" s="2301" t="s">
        <v>516</v>
      </c>
      <c r="Z38" s="2308"/>
      <c r="AA38" s="2302"/>
      <c r="AB38" s="2317"/>
      <c r="AC38" s="1489" t="s">
        <v>570</v>
      </c>
      <c r="AD38" s="2301" t="s">
        <v>515</v>
      </c>
      <c r="AE38" s="2302"/>
      <c r="AF38" s="2301" t="s">
        <v>516</v>
      </c>
      <c r="AG38" s="2308"/>
      <c r="AH38" s="2302"/>
      <c r="AI38" s="2317"/>
      <c r="AJ38" s="2320"/>
      <c r="AK38" s="2167"/>
    </row>
    <row customHeight="1" ht="33.75">
      <c r="A39" s="1507"/>
      <c r="B39" s="1507" t="s">
        <v>216</v>
      </c>
      <c r="C39" s="1507" t="s">
        <v>217</v>
      </c>
      <c r="D39" s="1507" t="s">
        <v>218</v>
      </c>
      <c r="E39" s="1501" t="s">
        <v>517</v>
      </c>
      <c r="F39" s="1501" t="s">
        <v>518</v>
      </c>
      <c r="G39" s="1501" t="s">
        <v>519</v>
      </c>
      <c r="H39" s="1501"/>
      <c r="I39" s="1501" t="s">
        <v>571</v>
      </c>
      <c r="J39" s="1501" t="s">
        <v>522</v>
      </c>
      <c r="K39" s="1501" t="s">
        <v>572</v>
      </c>
      <c r="L39" s="1501" t="s">
        <v>498</v>
      </c>
      <c r="Q39" s="506"/>
      <c r="R39" s="506"/>
      <c r="S39" s="2312"/>
      <c r="T39" s="2248"/>
      <c r="U39" s="432"/>
      <c r="V39" s="1489" t="s">
        <v>573</v>
      </c>
      <c r="W39" s="1358" t="s">
        <v>574</v>
      </c>
      <c r="X39" s="1358" t="s">
        <v>575</v>
      </c>
      <c r="Y39" s="1494" t="s">
        <v>526</v>
      </c>
      <c r="Z39" s="2309" t="s">
        <v>527</v>
      </c>
      <c r="AA39" s="2310"/>
      <c r="AB39" s="2318"/>
      <c r="AC39" s="1489" t="s">
        <v>573</v>
      </c>
      <c r="AD39" s="1358" t="s">
        <v>574</v>
      </c>
      <c r="AE39" s="1358" t="s">
        <v>575</v>
      </c>
      <c r="AF39" s="1494" t="s">
        <v>526</v>
      </c>
      <c r="AG39" s="2309" t="s">
        <v>527</v>
      </c>
      <c r="AH39" s="2310"/>
      <c r="AI39" s="2318"/>
      <c r="AJ39" s="2321"/>
      <c r="AK39" s="2167"/>
    </row>
    <row s="11482"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165</v>
      </c>
      <c r="T40" s="1391" t="s">
        <v>100</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304</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204</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304</v>
      </c>
      <c r="B42" s="1500" t="s">
        <v>305</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477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478</v>
      </c>
      <c r="AM42" s="630"/>
      <c r="AN42" s="630" t="str">
        <f>IF(T42="","",T42)</f>
        <v>Территория действия тарифа</v>
      </c>
      <c r="AO42" s="630"/>
      <c r="AP42" s="630"/>
    </row>
    <row customHeight="1" ht="23.25">
      <c r="A43" s="1500" t="s">
        <v>304</v>
      </c>
      <c r="B43" s="1500" t="s">
        <v>305</v>
      </c>
      <c r="C43" s="1500" t="s">
        <v>306</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562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563</v>
      </c>
      <c r="AM43" s="630"/>
      <c r="AN43" s="630" t="str">
        <f>IF(T43="","",T43)</f>
        <v>Наименование централизованной системы холодного водоснабжения</v>
      </c>
      <c r="AO43" s="630"/>
      <c r="AP43" s="630"/>
    </row>
    <row customHeight="1" ht="23.25">
      <c r="A44" s="1500" t="s">
        <v>304</v>
      </c>
      <c r="B44" s="1500" t="s">
        <v>305</v>
      </c>
      <c r="C44" s="1500" t="s">
        <v>306</v>
      </c>
      <c r="D44" s="1500" t="s">
        <v>576</v>
      </c>
      <c r="E44" s="2298"/>
      <c r="F44" s="2298"/>
      <c r="G44" s="2298"/>
      <c r="H44" s="2298"/>
      <c r="I44" s="2295" t="str">
        <f>S43&amp;".1"</f>
        <v>...1</v>
      </c>
      <c r="J44" s="1500"/>
      <c r="K44" s="1500"/>
      <c r="L44" s="1501"/>
      <c r="P44" s="2296">
        <v>1</v>
      </c>
      <c r="Q44" s="1491"/>
      <c r="R44" s="486"/>
      <c r="S44" s="1495" t="str">
        <f>$I44</f>
        <v>...1</v>
      </c>
      <c r="T44" s="415" t="s">
        <v>564</v>
      </c>
      <c r="U44" s="430"/>
      <c r="V44" s="2381"/>
      <c r="W44" s="2382"/>
      <c r="X44" s="2382"/>
      <c r="Y44" s="2382"/>
      <c r="Z44" s="2382"/>
      <c r="AA44" s="2382"/>
      <c r="AB44" s="2383"/>
      <c r="AC44" s="2384"/>
      <c r="AD44" s="2385"/>
      <c r="AE44" s="2385"/>
      <c r="AF44" s="2385"/>
      <c r="AG44" s="2385"/>
      <c r="AH44" s="2385"/>
      <c r="AI44" s="2385"/>
      <c r="AJ44" s="2386"/>
      <c r="AK44" s="1394" t="s">
        <v>565</v>
      </c>
      <c r="AM44" s="630"/>
      <c r="AN44" s="630" t="str">
        <f>IF(T44="","",T44)</f>
        <v>Наименование признака дифференциации</v>
      </c>
      <c r="AO44" s="630"/>
      <c r="AP44" s="630"/>
    </row>
    <row customHeight="1" ht="23.25">
      <c r="A45" s="1500" t="s">
        <v>304</v>
      </c>
      <c r="B45" s="1500" t="s">
        <v>305</v>
      </c>
      <c r="C45" s="1500" t="s">
        <v>306</v>
      </c>
      <c r="D45" s="1500" t="s">
        <v>576</v>
      </c>
      <c r="E45" s="2298"/>
      <c r="F45" s="2298"/>
      <c r="G45" s="2298"/>
      <c r="H45" s="2298"/>
      <c r="I45" s="2325"/>
      <c r="J45" s="2295" t="str">
        <f>I44&amp;".1"</f>
        <v>...1.1</v>
      </c>
      <c r="K45" s="1500"/>
      <c r="L45" s="1501" t="s">
        <v>486</v>
      </c>
      <c r="P45" s="2296"/>
      <c r="Q45" s="2296">
        <v>1</v>
      </c>
      <c r="R45" s="487"/>
      <c r="S45" s="1495" t="str">
        <f>$J45</f>
        <v>...1.1</v>
      </c>
      <c r="T45" s="416" t="s">
        <v>487</v>
      </c>
      <c r="U45" s="430"/>
      <c r="V45" s="2284"/>
      <c r="W45" s="2285"/>
      <c r="X45" s="2285"/>
      <c r="Y45" s="2285"/>
      <c r="Z45" s="2285"/>
      <c r="AA45" s="2285"/>
      <c r="AB45" s="2286"/>
      <c r="AC45" s="2284"/>
      <c r="AD45" s="2285"/>
      <c r="AE45" s="2285"/>
      <c r="AF45" s="2285"/>
      <c r="AG45" s="2285"/>
      <c r="AH45" s="2285"/>
      <c r="AI45" s="2285"/>
      <c r="AJ45" s="2286"/>
      <c r="AK45" s="1444" t="s">
        <v>566</v>
      </c>
      <c r="AM45" s="630"/>
      <c r="AN45" s="630" t="str">
        <f>IF(T45="","",T45)</f>
        <v>Группа потребителей</v>
      </c>
      <c r="AO45" s="630"/>
      <c r="AP45" s="630"/>
    </row>
    <row customHeight="1" ht="23.25">
      <c r="A46" s="1500" t="s">
        <v>304</v>
      </c>
      <c r="B46" s="1500" t="s">
        <v>305</v>
      </c>
      <c r="C46" s="1500" t="s">
        <v>306</v>
      </c>
      <c r="D46" s="1500" t="s">
        <v>576</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304</v>
      </c>
      <c r="B47" s="1500" t="s">
        <v>305</v>
      </c>
      <c r="C47" s="1500" t="s">
        <v>306</v>
      </c>
      <c r="D47" s="1500" t="s">
        <v>576</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304</v>
      </c>
      <c r="B48" s="1500" t="s">
        <v>305</v>
      </c>
      <c r="C48" s="1500" t="s">
        <v>306</v>
      </c>
      <c r="D48" s="1500" t="s">
        <v>576</v>
      </c>
      <c r="E48" s="2298"/>
      <c r="F48" s="2298"/>
      <c r="G48" s="2298"/>
      <c r="H48" s="2298"/>
      <c r="I48" s="2325"/>
      <c r="J48" s="2295"/>
      <c r="K48" s="1500"/>
      <c r="L48" s="1501"/>
      <c r="P48" s="2296"/>
      <c r="Q48" s="2296"/>
      <c r="R48" s="486"/>
      <c r="S48" s="1415"/>
      <c r="T48" s="417" t="s">
        <v>567</v>
      </c>
      <c r="U48" s="497"/>
      <c r="V48" s="497"/>
      <c r="W48" s="497"/>
      <c r="X48" s="497"/>
      <c r="Y48" s="497"/>
      <c r="Z48" s="497"/>
      <c r="AA48" s="497"/>
      <c r="AB48" s="497"/>
      <c r="AC48" s="497"/>
      <c r="AD48" s="497"/>
      <c r="AE48" s="497"/>
      <c r="AF48" s="497"/>
      <c r="AG48" s="497"/>
      <c r="AH48" s="497"/>
      <c r="AI48" s="497"/>
      <c r="AJ48" s="497"/>
      <c r="AK48" s="1394" t="s">
        <v>568</v>
      </c>
      <c r="AM48" s="630"/>
      <c r="AN48" s="630" t="str">
        <f>IF(T48="","",T48)</f>
        <v>Добавить значение признака дифференциации</v>
      </c>
      <c r="AO48" s="630"/>
      <c r="AP48" s="630"/>
    </row>
    <row customHeight="1" ht="21">
      <c r="A49" s="1500" t="s">
        <v>304</v>
      </c>
      <c r="B49" s="1500" t="s">
        <v>305</v>
      </c>
      <c r="C49" s="1500" t="s">
        <v>306</v>
      </c>
      <c r="D49" s="1500" t="s">
        <v>576</v>
      </c>
      <c r="E49" s="2298"/>
      <c r="F49" s="2298"/>
      <c r="G49" s="2298"/>
      <c r="H49" s="2298"/>
      <c r="I49" s="2295"/>
      <c r="J49" s="1500"/>
      <c r="K49" s="1500"/>
      <c r="L49" s="1501"/>
      <c r="P49" s="2296"/>
      <c r="Q49" s="1491"/>
      <c r="R49" s="486"/>
      <c r="S49" s="1415"/>
      <c r="T49" s="495" t="s">
        <v>492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304</v>
      </c>
      <c r="B50" s="1500" t="s">
        <v>305</v>
      </c>
      <c r="C50" s="1500" t="s">
        <v>306</v>
      </c>
      <c r="D50" s="1500" t="s">
        <v>576</v>
      </c>
      <c r="E50" s="2298"/>
      <c r="F50" s="2298"/>
      <c r="G50" s="2298"/>
      <c r="H50" s="2297"/>
      <c r="I50" s="1500"/>
      <c r="J50" s="1500"/>
      <c r="K50" s="1500"/>
      <c r="L50" s="1501"/>
      <c r="M50" s="1502"/>
      <c r="N50" s="1502"/>
      <c r="O50" s="667"/>
      <c r="P50" s="490"/>
      <c r="Q50" s="505"/>
      <c r="R50" s="485"/>
      <c r="S50" s="1415"/>
      <c r="T50" s="502" t="s">
        <v>569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630" customFormat="1" customHeight="1" ht="0">
      <c r="A51" s="1480" t="s">
        <v>304</v>
      </c>
      <c r="B51" s="1480" t="s">
        <v>305</v>
      </c>
      <c r="C51" s="1451"/>
      <c r="D51" s="1451"/>
      <c r="E51" s="2298"/>
      <c r="F51" s="2297"/>
      <c r="G51" s="1451"/>
      <c r="H51" s="1451"/>
      <c r="I51" s="1451"/>
      <c r="J51" s="1451"/>
      <c r="K51" s="1451"/>
      <c r="L51" s="1563"/>
      <c r="M51" s="1458"/>
      <c r="N51" s="1458"/>
      <c r="P51" s="1453"/>
      <c r="Q51" s="1454"/>
      <c r="R51" s="1453"/>
      <c r="S51" s="1459"/>
      <c r="T51" s="1462" t="s">
        <v>495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721" customFormat="1" customHeight="1" ht="0">
      <c r="A52" s="1480" t="s">
        <v>304</v>
      </c>
      <c r="B52" s="1480"/>
      <c r="C52" s="1480"/>
      <c r="D52" s="1480"/>
      <c r="E52" s="2297"/>
      <c r="F52" s="1480"/>
      <c r="G52" s="1480"/>
      <c r="H52" s="1480"/>
      <c r="I52" s="1480"/>
      <c r="J52" s="1480"/>
      <c r="K52" s="1480"/>
      <c r="L52" s="1483"/>
      <c r="M52" s="1458"/>
      <c r="N52" s="1458"/>
      <c r="O52" s="648"/>
      <c r="P52" s="510"/>
      <c r="Q52" s="1481"/>
      <c r="R52" s="510"/>
      <c r="S52" s="1459"/>
      <c r="T52" s="1462" t="s">
        <v>496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630"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528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FCB54-B05A-395C-45AC-D0A9CF5538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4.140625" hidden="1" customWidth="1"/>
    <col min="10" max="10" style="11649" width="9.8515625" hidden="1" customWidth="1"/>
    <col min="11" max="11" style="11649" width="14.7109375" hidden="1" customWidth="1"/>
    <col min="12" max="12" style="11942" width="19.140625" hidden="1" customWidth="1"/>
    <col min="13" max="14" style="11730" width="12.28125" hidden="1" customWidth="1"/>
    <col min="15" max="15" style="11730" width="23.421875" hidden="1" customWidth="1"/>
    <col min="16" max="16" style="11943" width="3.7109375" customWidth="1"/>
    <col min="17" max="18" style="11732" width="3.7109375" customWidth="1"/>
    <col min="19" max="19" style="11733" width="12.7109375" customWidth="1"/>
    <col min="20" max="20" style="11734" width="35.7109375" customWidth="1"/>
    <col min="21" max="21" style="11734" width="0.140625" customWidth="1"/>
    <col min="22" max="24" style="11734" width="24.7109375" hidden="1" customWidth="1"/>
    <col min="25" max="25" style="11734" width="11.7109375" hidden="1" customWidth="1"/>
    <col min="26" max="26" style="11734" width="3.7109375" hidden="1" customWidth="1"/>
    <col min="27" max="27" style="11734" width="11.7109375" hidden="1" customWidth="1"/>
    <col min="28" max="28" style="11734" width="8.57421875" hidden="1" customWidth="1"/>
    <col min="29" max="31" style="11734" width="24.7109375" customWidth="1"/>
    <col min="32" max="32" style="11734" width="11.7109375" customWidth="1"/>
    <col min="33" max="33" style="11734" width="3.7109375" customWidth="1"/>
    <col min="34" max="34" style="11734" width="11.7109375" customWidth="1"/>
    <col min="35" max="35" style="11734" width="8.57421875" hidden="1" customWidth="1"/>
    <col min="36" max="36" style="11734" width="4.7109375" customWidth="1"/>
    <col min="37" max="37" style="11734" width="115.7109375" customWidth="1"/>
    <col min="38" max="39" style="11721" width="10.57421875"/>
    <col min="40" max="40" style="11721" width="11.140625" customWidth="1"/>
    <col min="41" max="42" style="1172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204</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477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478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562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563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564</v>
      </c>
      <c r="U5" s="430"/>
      <c r="V5" s="2381"/>
      <c r="W5" s="2382"/>
      <c r="X5" s="2382"/>
      <c r="Y5" s="2382"/>
      <c r="Z5" s="2382"/>
      <c r="AA5" s="2382"/>
      <c r="AB5" s="2383"/>
      <c r="AC5" s="2384"/>
      <c r="AD5" s="2385"/>
      <c r="AE5" s="2385"/>
      <c r="AF5" s="2385"/>
      <c r="AG5" s="2385"/>
      <c r="AH5" s="2385"/>
      <c r="AI5" s="2385"/>
      <c r="AJ5" s="2386"/>
      <c r="AK5" s="1394" t="s">
        <v>565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486</v>
      </c>
      <c r="P6" s="2296"/>
      <c r="Q6" s="2296">
        <v>1</v>
      </c>
      <c r="R6" s="487"/>
      <c r="S6" s="1594">
        <f>$J6</f>
      </c>
      <c r="T6" s="416" t="s">
        <v>487</v>
      </c>
      <c r="U6" s="430"/>
      <c r="V6" s="2284"/>
      <c r="W6" s="2285"/>
      <c r="X6" s="2285"/>
      <c r="Y6" s="2285"/>
      <c r="Z6" s="2285"/>
      <c r="AA6" s="2285"/>
      <c r="AB6" s="2286"/>
      <c r="AC6" s="2284"/>
      <c r="AD6" s="2285"/>
      <c r="AE6" s="2285"/>
      <c r="AF6" s="2285"/>
      <c r="AG6" s="2285"/>
      <c r="AH6" s="2285"/>
      <c r="AI6" s="2285"/>
      <c r="AJ6" s="2286"/>
      <c r="AK6" s="1444" t="s">
        <v>566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567</v>
      </c>
      <c r="U9" s="497"/>
      <c r="V9" s="497"/>
      <c r="W9" s="497"/>
      <c r="X9" s="497"/>
      <c r="Y9" s="497"/>
      <c r="Z9" s="497"/>
      <c r="AA9" s="497"/>
      <c r="AB9" s="497"/>
      <c r="AC9" s="497"/>
      <c r="AD9" s="497"/>
      <c r="AE9" s="497"/>
      <c r="AF9" s="497"/>
      <c r="AG9" s="497"/>
      <c r="AH9" s="497"/>
      <c r="AI9" s="497"/>
      <c r="AJ9" s="497"/>
      <c r="AK9" s="1394" t="s">
        <v>568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492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569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630"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495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72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496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649" customFormat="1" customHeight="1" ht="22.5" hidden="1">
      <c r="L18" s="1584"/>
      <c r="M18" s="1499"/>
      <c r="N18" s="1499"/>
      <c r="O18" s="1504" t="s">
        <v>497</v>
      </c>
      <c r="P18" s="1499"/>
      <c r="Q18" s="1508"/>
      <c r="R18" s="1508"/>
      <c r="S18" s="859"/>
      <c r="Y18" s="1504"/>
      <c r="AA18" s="1504"/>
      <c r="AB18" s="1503"/>
      <c r="AF18" s="1504"/>
      <c r="AH18" s="1504"/>
      <c r="AI18" s="1503"/>
      <c r="AL18" s="641"/>
      <c r="AM18" s="641"/>
      <c r="AN18" s="641"/>
      <c r="AO18" s="641"/>
      <c r="AP18" s="641"/>
    </row>
    <row s="11649" customFormat="1" customHeight="1" ht="14.25" hidden="1">
      <c r="L19" s="1584"/>
      <c r="M19" s="1499"/>
      <c r="N19" s="1499"/>
      <c r="O19" s="1499"/>
      <c r="P19" s="1499"/>
      <c r="Q19" s="1508"/>
      <c r="R19" s="1508"/>
      <c r="S19" s="859"/>
      <c r="AB19" s="1503"/>
      <c r="AI19" s="1503"/>
      <c r="AL19" s="641"/>
      <c r="AM19" s="641"/>
      <c r="AN19" s="641"/>
      <c r="AO19" s="641"/>
      <c r="AP19" s="641"/>
    </row>
    <row s="11649" customFormat="1" customHeight="1" ht="12" hidden="1">
      <c r="L20" s="1584"/>
      <c r="M20" s="1499"/>
      <c r="N20" s="1499"/>
      <c r="O20" s="1501" t="s">
        <v>498</v>
      </c>
      <c r="P20" s="1499"/>
      <c r="Q20" s="1579"/>
      <c r="R20" s="1579"/>
      <c r="S20" s="859"/>
      <c r="T20" s="1292" t="s">
        <v>499</v>
      </c>
      <c r="Z20" s="316" t="s">
        <v>500</v>
      </c>
      <c r="AB20" s="316" t="s">
        <v>501</v>
      </c>
      <c r="AC20" s="1292" t="s">
        <v>499</v>
      </c>
      <c r="AG20" s="316" t="s">
        <v>502</v>
      </c>
      <c r="AI20" s="316" t="s">
        <v>501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66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662" customFormat="1" customHeight="1" ht="18.75" hidden="1">
      <c r="A28" s="1505"/>
      <c r="B28" s="1505"/>
      <c r="C28" s="1505"/>
      <c r="D28" s="1505"/>
      <c r="E28" s="1505"/>
      <c r="F28" s="1505"/>
      <c r="G28" s="1505"/>
      <c r="H28" s="1505"/>
      <c r="I28" s="1505"/>
      <c r="J28" s="1505"/>
      <c r="K28" s="1505"/>
      <c r="L28" s="1506"/>
      <c r="M28" s="1505"/>
      <c r="N28" s="1505"/>
      <c r="O28" s="1505"/>
      <c r="S28" s="2289" t="s">
        <v>503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662" customFormat="1" customHeight="1" ht="18.75" hidden="1">
      <c r="A29" s="1505"/>
      <c r="B29" s="1505"/>
      <c r="C29" s="1505"/>
      <c r="D29" s="1505"/>
      <c r="E29" s="1505"/>
      <c r="F29" s="1505"/>
      <c r="G29" s="1505"/>
      <c r="H29" s="1505"/>
      <c r="I29" s="1505"/>
      <c r="J29" s="1505"/>
      <c r="K29" s="1505"/>
      <c r="L29" s="1506"/>
      <c r="M29" s="1505"/>
      <c r="N29" s="1505"/>
      <c r="O29" s="1505"/>
      <c r="S29" s="2289" t="s">
        <v>504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66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662" customFormat="1" customHeight="1" ht="18.75" hidden="1">
      <c r="A32" s="1505"/>
      <c r="B32" s="1505"/>
      <c r="C32" s="1505"/>
      <c r="D32" s="1505"/>
      <c r="E32" s="1505"/>
      <c r="F32" s="1505"/>
      <c r="G32" s="1505"/>
      <c r="H32" s="1505"/>
      <c r="I32" s="1505"/>
      <c r="J32" s="1505"/>
      <c r="K32" s="1505"/>
      <c r="L32" s="1506"/>
      <c r="M32" s="1505"/>
      <c r="N32" s="1505"/>
      <c r="O32" s="1505"/>
      <c r="S32" s="2289" t="s">
        <v>505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662" customFormat="1" customHeight="1" ht="18.75" hidden="1">
      <c r="A33" s="1505"/>
      <c r="B33" s="1505"/>
      <c r="C33" s="1505"/>
      <c r="D33" s="1505"/>
      <c r="E33" s="1505"/>
      <c r="F33" s="1505"/>
      <c r="G33" s="1505"/>
      <c r="H33" s="1505"/>
      <c r="I33" s="1505"/>
      <c r="J33" s="1505"/>
      <c r="K33" s="1505"/>
      <c r="L33" s="1506"/>
      <c r="M33" s="1505"/>
      <c r="N33" s="1505"/>
      <c r="O33" s="1505"/>
      <c r="S33" s="2289" t="s">
        <v>506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662"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507</v>
      </c>
      <c r="AC34" s="456"/>
      <c r="AD34" s="456"/>
      <c r="AE34" s="456"/>
      <c r="AF34" s="456"/>
      <c r="AG34" s="456"/>
      <c r="AH34" s="456"/>
      <c r="AI34" s="408" t="s">
        <v>507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378</v>
      </c>
      <c r="T36" s="2167"/>
      <c r="U36" s="2167"/>
      <c r="V36" s="2167"/>
      <c r="W36" s="2167"/>
      <c r="X36" s="2167"/>
      <c r="Y36" s="2167"/>
      <c r="Z36" s="2167"/>
      <c r="AA36" s="2167"/>
      <c r="AB36" s="2167"/>
      <c r="AC36" s="2167"/>
      <c r="AD36" s="2167"/>
      <c r="AE36" s="2167"/>
      <c r="AF36" s="2167"/>
      <c r="AG36" s="2167"/>
      <c r="AH36" s="2167"/>
      <c r="AI36" s="2167"/>
      <c r="AJ36" s="2167"/>
      <c r="AK36" s="2167" t="s">
        <v>379</v>
      </c>
    </row>
    <row customHeight="1" ht="14.25">
      <c r="Q37" s="506"/>
      <c r="R37" s="506"/>
      <c r="S37" s="2312" t="s">
        <v>85</v>
      </c>
      <c r="T37" s="2248" t="s">
        <v>508</v>
      </c>
      <c r="U37" s="431"/>
      <c r="V37" s="2313" t="s">
        <v>509</v>
      </c>
      <c r="W37" s="2314"/>
      <c r="X37" s="2314"/>
      <c r="Y37" s="2314"/>
      <c r="Z37" s="2314"/>
      <c r="AA37" s="2315"/>
      <c r="AB37" s="2316" t="s">
        <v>510</v>
      </c>
      <c r="AC37" s="2313" t="s">
        <v>509</v>
      </c>
      <c r="AD37" s="2314"/>
      <c r="AE37" s="2314"/>
      <c r="AF37" s="2314"/>
      <c r="AG37" s="2314"/>
      <c r="AH37" s="2315"/>
      <c r="AI37" s="2316" t="s">
        <v>511</v>
      </c>
      <c r="AJ37" s="2319" t="s">
        <v>512</v>
      </c>
      <c r="AK37" s="2167"/>
    </row>
    <row customHeight="1" ht="33.75">
      <c r="Q38" s="506"/>
      <c r="R38" s="506"/>
      <c r="S38" s="2312"/>
      <c r="T38" s="2248"/>
      <c r="U38" s="1162"/>
      <c r="V38" s="1589" t="s">
        <v>570</v>
      </c>
      <c r="W38" s="2301" t="s">
        <v>515</v>
      </c>
      <c r="X38" s="2302"/>
      <c r="Y38" s="2301" t="s">
        <v>516</v>
      </c>
      <c r="Z38" s="2308"/>
      <c r="AA38" s="2302"/>
      <c r="AB38" s="2317"/>
      <c r="AC38" s="1589" t="s">
        <v>570</v>
      </c>
      <c r="AD38" s="2301" t="s">
        <v>515</v>
      </c>
      <c r="AE38" s="2302"/>
      <c r="AF38" s="2301" t="s">
        <v>516</v>
      </c>
      <c r="AG38" s="2308"/>
      <c r="AH38" s="2302"/>
      <c r="AI38" s="2317"/>
      <c r="AJ38" s="2320"/>
      <c r="AK38" s="2167"/>
    </row>
    <row customHeight="1" ht="33.75">
      <c r="A39" s="1507"/>
      <c r="B39" s="1507" t="s">
        <v>216</v>
      </c>
      <c r="C39" s="1507" t="s">
        <v>217</v>
      </c>
      <c r="D39" s="1507" t="s">
        <v>218</v>
      </c>
      <c r="E39" s="1501" t="s">
        <v>517</v>
      </c>
      <c r="F39" s="1501" t="s">
        <v>518</v>
      </c>
      <c r="G39" s="1501" t="s">
        <v>519</v>
      </c>
      <c r="H39" s="1501"/>
      <c r="I39" s="1501" t="s">
        <v>571</v>
      </c>
      <c r="J39" s="1501" t="s">
        <v>522</v>
      </c>
      <c r="K39" s="1501" t="s">
        <v>572</v>
      </c>
      <c r="L39" s="1501" t="s">
        <v>498</v>
      </c>
      <c r="Q39" s="506"/>
      <c r="R39" s="506"/>
      <c r="S39" s="2312"/>
      <c r="T39" s="2248"/>
      <c r="U39" s="432"/>
      <c r="V39" s="1589" t="s">
        <v>573</v>
      </c>
      <c r="W39" s="1358" t="s">
        <v>574</v>
      </c>
      <c r="X39" s="1358" t="s">
        <v>575</v>
      </c>
      <c r="Y39" s="1592" t="s">
        <v>526</v>
      </c>
      <c r="Z39" s="2309" t="s">
        <v>527</v>
      </c>
      <c r="AA39" s="2310"/>
      <c r="AB39" s="2318"/>
      <c r="AC39" s="1589" t="s">
        <v>573</v>
      </c>
      <c r="AD39" s="1358" t="s">
        <v>574</v>
      </c>
      <c r="AE39" s="1358" t="s">
        <v>575</v>
      </c>
      <c r="AF39" s="1592" t="s">
        <v>526</v>
      </c>
      <c r="AG39" s="2309" t="s">
        <v>527</v>
      </c>
      <c r="AH39" s="2310"/>
      <c r="AI39" s="2318"/>
      <c r="AJ39" s="2321"/>
      <c r="AK39" s="2167"/>
    </row>
    <row s="11482"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165</v>
      </c>
      <c r="T40" s="1391" t="s">
        <v>100</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309</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204</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309</v>
      </c>
      <c r="B42" s="1500" t="s">
        <v>310</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477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478</v>
      </c>
      <c r="AM42" s="630"/>
      <c r="AN42" s="630" t="str">
        <f>IF(T42="","",T42)</f>
        <v>Территория действия тарифа</v>
      </c>
      <c r="AO42" s="630"/>
      <c r="AP42" s="630"/>
    </row>
    <row customHeight="1" ht="23.25">
      <c r="A43" s="1500" t="s">
        <v>309</v>
      </c>
      <c r="B43" s="1500" t="s">
        <v>310</v>
      </c>
      <c r="C43" s="1500" t="s">
        <v>311</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562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563</v>
      </c>
      <c r="AM43" s="630"/>
      <c r="AN43" s="630" t="str">
        <f>IF(T43="","",T43)</f>
        <v>Наименование централизованной системы холодного водоснабжения</v>
      </c>
      <c r="AO43" s="630"/>
      <c r="AP43" s="630"/>
    </row>
    <row customHeight="1" ht="23.25">
      <c r="A44" s="1500" t="s">
        <v>309</v>
      </c>
      <c r="B44" s="1500" t="s">
        <v>310</v>
      </c>
      <c r="C44" s="1500" t="s">
        <v>311</v>
      </c>
      <c r="D44" s="1500" t="s">
        <v>577</v>
      </c>
      <c r="E44" s="2298"/>
      <c r="F44" s="2298"/>
      <c r="G44" s="2298"/>
      <c r="H44" s="2298"/>
      <c r="I44" s="2295" t="str">
        <f>S43&amp;".1"</f>
        <v>...1</v>
      </c>
      <c r="J44" s="1500"/>
      <c r="K44" s="1500"/>
      <c r="L44" s="1501"/>
      <c r="P44" s="2296">
        <v>1</v>
      </c>
      <c r="Q44" s="1587"/>
      <c r="R44" s="486"/>
      <c r="S44" s="1594" t="str">
        <f>$I44</f>
        <v>...1</v>
      </c>
      <c r="T44" s="415" t="s">
        <v>564</v>
      </c>
      <c r="U44" s="430"/>
      <c r="V44" s="2381"/>
      <c r="W44" s="2382"/>
      <c r="X44" s="2382"/>
      <c r="Y44" s="2382"/>
      <c r="Z44" s="2382"/>
      <c r="AA44" s="2382"/>
      <c r="AB44" s="2383"/>
      <c r="AC44" s="2384"/>
      <c r="AD44" s="2385"/>
      <c r="AE44" s="2385"/>
      <c r="AF44" s="2385"/>
      <c r="AG44" s="2385"/>
      <c r="AH44" s="2385"/>
      <c r="AI44" s="2385"/>
      <c r="AJ44" s="2386"/>
      <c r="AK44" s="1394" t="s">
        <v>565</v>
      </c>
      <c r="AM44" s="630"/>
      <c r="AN44" s="630" t="str">
        <f>IF(T44="","",T44)</f>
        <v>Наименование признака дифференциации</v>
      </c>
      <c r="AO44" s="630"/>
      <c r="AP44" s="630"/>
    </row>
    <row customHeight="1" ht="23.25">
      <c r="A45" s="1500" t="s">
        <v>309</v>
      </c>
      <c r="B45" s="1500" t="s">
        <v>310</v>
      </c>
      <c r="C45" s="1500" t="s">
        <v>311</v>
      </c>
      <c r="D45" s="1500" t="s">
        <v>577</v>
      </c>
      <c r="E45" s="2298"/>
      <c r="F45" s="2298"/>
      <c r="G45" s="2298"/>
      <c r="H45" s="2298"/>
      <c r="I45" s="2325"/>
      <c r="J45" s="2295" t="str">
        <f>I44&amp;".1"</f>
        <v>...1.1</v>
      </c>
      <c r="K45" s="1500"/>
      <c r="L45" s="1501" t="s">
        <v>486</v>
      </c>
      <c r="P45" s="2296"/>
      <c r="Q45" s="2296">
        <v>1</v>
      </c>
      <c r="R45" s="487"/>
      <c r="S45" s="1594" t="str">
        <f>$J45</f>
        <v>...1.1</v>
      </c>
      <c r="T45" s="416" t="s">
        <v>487</v>
      </c>
      <c r="U45" s="430"/>
      <c r="V45" s="2284"/>
      <c r="W45" s="2285"/>
      <c r="X45" s="2285"/>
      <c r="Y45" s="2285"/>
      <c r="Z45" s="2285"/>
      <c r="AA45" s="2285"/>
      <c r="AB45" s="2286"/>
      <c r="AC45" s="2284"/>
      <c r="AD45" s="2285"/>
      <c r="AE45" s="2285"/>
      <c r="AF45" s="2285"/>
      <c r="AG45" s="2285"/>
      <c r="AH45" s="2285"/>
      <c r="AI45" s="2285"/>
      <c r="AJ45" s="2286"/>
      <c r="AK45" s="1444" t="s">
        <v>566</v>
      </c>
      <c r="AM45" s="630"/>
      <c r="AN45" s="630" t="str">
        <f>IF(T45="","",T45)</f>
        <v>Группа потребителей</v>
      </c>
      <c r="AO45" s="630"/>
      <c r="AP45" s="630"/>
    </row>
    <row customHeight="1" ht="23.25">
      <c r="A46" s="1500" t="s">
        <v>309</v>
      </c>
      <c r="B46" s="1500" t="s">
        <v>310</v>
      </c>
      <c r="C46" s="1500" t="s">
        <v>311</v>
      </c>
      <c r="D46" s="1500" t="s">
        <v>577</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64</v>
      </c>
      <c r="AA46" s="2304"/>
      <c r="AB46" s="2147" t="s">
        <v>64</v>
      </c>
      <c r="AC46" s="881"/>
      <c r="AD46" s="881"/>
      <c r="AE46" s="1393"/>
      <c r="AF46" s="2304"/>
      <c r="AG46" s="2147" t="s">
        <v>64</v>
      </c>
      <c r="AH46" s="2326"/>
      <c r="AI46" s="2147" t="s">
        <v>64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309</v>
      </c>
      <c r="B47" s="1500" t="s">
        <v>310</v>
      </c>
      <c r="C47" s="1500" t="s">
        <v>311</v>
      </c>
      <c r="D47" s="1500" t="s">
        <v>577</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309</v>
      </c>
      <c r="B48" s="1500" t="s">
        <v>310</v>
      </c>
      <c r="C48" s="1500" t="s">
        <v>311</v>
      </c>
      <c r="D48" s="1500" t="s">
        <v>577</v>
      </c>
      <c r="E48" s="2298"/>
      <c r="F48" s="2298"/>
      <c r="G48" s="2298"/>
      <c r="H48" s="2298"/>
      <c r="I48" s="2325"/>
      <c r="J48" s="2295"/>
      <c r="K48" s="1500"/>
      <c r="L48" s="1501"/>
      <c r="P48" s="2296"/>
      <c r="Q48" s="2296"/>
      <c r="R48" s="486"/>
      <c r="S48" s="1415"/>
      <c r="T48" s="417" t="s">
        <v>567</v>
      </c>
      <c r="U48" s="497"/>
      <c r="V48" s="497"/>
      <c r="W48" s="497"/>
      <c r="X48" s="497"/>
      <c r="Y48" s="497"/>
      <c r="Z48" s="497"/>
      <c r="AA48" s="497"/>
      <c r="AB48" s="497"/>
      <c r="AC48" s="497"/>
      <c r="AD48" s="497"/>
      <c r="AE48" s="497"/>
      <c r="AF48" s="497"/>
      <c r="AG48" s="497"/>
      <c r="AH48" s="497"/>
      <c r="AI48" s="497"/>
      <c r="AJ48" s="497"/>
      <c r="AK48" s="1394" t="s">
        <v>568</v>
      </c>
      <c r="AM48" s="630"/>
      <c r="AN48" s="630" t="str">
        <f>IF(T48="","",T48)</f>
        <v>Добавить значение признака дифференциации</v>
      </c>
      <c r="AO48" s="630"/>
      <c r="AP48" s="630"/>
    </row>
    <row customHeight="1" ht="21">
      <c r="A49" s="1500" t="s">
        <v>309</v>
      </c>
      <c r="B49" s="1500" t="s">
        <v>310</v>
      </c>
      <c r="C49" s="1500" t="s">
        <v>311</v>
      </c>
      <c r="D49" s="1500" t="s">
        <v>577</v>
      </c>
      <c r="E49" s="2298"/>
      <c r="F49" s="2298"/>
      <c r="G49" s="2298"/>
      <c r="H49" s="2298"/>
      <c r="I49" s="2295"/>
      <c r="J49" s="1500"/>
      <c r="K49" s="1500"/>
      <c r="L49" s="1501"/>
      <c r="P49" s="2296"/>
      <c r="Q49" s="1587"/>
      <c r="R49" s="486"/>
      <c r="S49" s="1415"/>
      <c r="T49" s="495" t="s">
        <v>492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309</v>
      </c>
      <c r="B50" s="1500" t="s">
        <v>310</v>
      </c>
      <c r="C50" s="1500" t="s">
        <v>311</v>
      </c>
      <c r="D50" s="1500" t="s">
        <v>577</v>
      </c>
      <c r="E50" s="2298"/>
      <c r="F50" s="2298"/>
      <c r="G50" s="2298"/>
      <c r="H50" s="2297"/>
      <c r="I50" s="1500"/>
      <c r="J50" s="1500"/>
      <c r="K50" s="1500"/>
      <c r="L50" s="1501"/>
      <c r="M50" s="1502"/>
      <c r="N50" s="1502"/>
      <c r="O50" s="667"/>
      <c r="P50" s="490"/>
      <c r="Q50" s="505"/>
      <c r="R50" s="485"/>
      <c r="S50" s="1415"/>
      <c r="T50" s="502" t="s">
        <v>569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630" customFormat="1" customHeight="1" ht="0">
      <c r="A51" s="1480" t="s">
        <v>309</v>
      </c>
      <c r="B51" s="1480" t="s">
        <v>310</v>
      </c>
      <c r="C51" s="1451"/>
      <c r="D51" s="1451"/>
      <c r="E51" s="2298"/>
      <c r="F51" s="2297"/>
      <c r="G51" s="1451"/>
      <c r="H51" s="1451"/>
      <c r="I51" s="1451"/>
      <c r="J51" s="1451"/>
      <c r="K51" s="1451"/>
      <c r="L51" s="1595"/>
      <c r="M51" s="1458"/>
      <c r="N51" s="1458"/>
      <c r="P51" s="1453"/>
      <c r="Q51" s="1454"/>
      <c r="R51" s="1453"/>
      <c r="S51" s="1459"/>
      <c r="T51" s="1462" t="s">
        <v>495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721" customFormat="1" customHeight="1" ht="0">
      <c r="A52" s="1480" t="s">
        <v>309</v>
      </c>
      <c r="B52" s="1480"/>
      <c r="C52" s="1480"/>
      <c r="D52" s="1480"/>
      <c r="E52" s="2297"/>
      <c r="F52" s="1480"/>
      <c r="G52" s="1480"/>
      <c r="H52" s="1480"/>
      <c r="I52" s="1480"/>
      <c r="J52" s="1480"/>
      <c r="K52" s="1480"/>
      <c r="L52" s="1483"/>
      <c r="M52" s="1458"/>
      <c r="N52" s="1458"/>
      <c r="O52" s="648"/>
      <c r="P52" s="510"/>
      <c r="Q52" s="1481"/>
      <c r="R52" s="510"/>
      <c r="S52" s="1459"/>
      <c r="T52" s="1462" t="s">
        <v>496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630"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528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270B3-388D-7487-A4A6-A0CD3A8BC8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4.140625" hidden="1" customWidth="1"/>
    <col min="10" max="10" style="11649" width="9.8515625" hidden="1" customWidth="1"/>
    <col min="11" max="11" style="11649" width="14.7109375" hidden="1" customWidth="1"/>
    <col min="12" max="12" style="11942" width="19.140625" hidden="1" customWidth="1"/>
    <col min="13" max="14" style="11730" width="12.28125" hidden="1" customWidth="1"/>
    <col min="15" max="15" style="11730" width="23.421875" hidden="1" customWidth="1"/>
    <col min="16" max="16" style="11943" width="3.7109375" customWidth="1"/>
    <col min="17" max="18" style="11732" width="3.7109375" customWidth="1"/>
    <col min="19" max="19" style="11733" width="12.7109375" customWidth="1"/>
    <col min="20" max="20" style="11734" width="35.7109375" customWidth="1"/>
    <col min="21" max="21" style="11734" width="0.140625" customWidth="1"/>
    <col min="22" max="24" style="11734" width="24.7109375" hidden="1" customWidth="1"/>
    <col min="25" max="25" style="11734" width="11.7109375" hidden="1" customWidth="1"/>
    <col min="26" max="26" style="11734" width="3.7109375" hidden="1" customWidth="1"/>
    <col min="27" max="27" style="11734" width="11.7109375" hidden="1" customWidth="1"/>
    <col min="28" max="28" style="11734" width="8.57421875" hidden="1" customWidth="1"/>
    <col min="29" max="31" style="11734" width="24.7109375" customWidth="1"/>
    <col min="32" max="32" style="11734" width="11.7109375" customWidth="1"/>
    <col min="33" max="33" style="11734" width="3.7109375" customWidth="1"/>
    <col min="34" max="34" style="11734" width="11.7109375" customWidth="1"/>
    <col min="35" max="35" style="11734" width="8.57421875" hidden="1" customWidth="1"/>
    <col min="36" max="36" style="11734" width="4.7109375" customWidth="1"/>
    <col min="37" max="37" style="11734" width="115.7109375" customWidth="1"/>
    <col min="38" max="39" style="11721" width="10.57421875"/>
    <col min="40" max="40" style="11721" width="11.140625" customWidth="1"/>
    <col min="41" max="42" style="1172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204</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477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478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562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563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564</v>
      </c>
      <c r="U5" s="430"/>
      <c r="V5" s="2381"/>
      <c r="W5" s="2382"/>
      <c r="X5" s="2382"/>
      <c r="Y5" s="2382"/>
      <c r="Z5" s="2382"/>
      <c r="AA5" s="2382"/>
      <c r="AB5" s="2383"/>
      <c r="AC5" s="2384"/>
      <c r="AD5" s="2385"/>
      <c r="AE5" s="2385"/>
      <c r="AF5" s="2385"/>
      <c r="AG5" s="2385"/>
      <c r="AH5" s="2385"/>
      <c r="AI5" s="2385"/>
      <c r="AJ5" s="2386"/>
      <c r="AK5" s="1394" t="s">
        <v>565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486</v>
      </c>
      <c r="P6" s="2296"/>
      <c r="Q6" s="2296">
        <v>1</v>
      </c>
      <c r="R6" s="487"/>
      <c r="S6" s="1594">
        <f>$J6</f>
      </c>
      <c r="T6" s="416" t="s">
        <v>487</v>
      </c>
      <c r="U6" s="430"/>
      <c r="V6" s="2284"/>
      <c r="W6" s="2285"/>
      <c r="X6" s="2285"/>
      <c r="Y6" s="2285"/>
      <c r="Z6" s="2285"/>
      <c r="AA6" s="2285"/>
      <c r="AB6" s="2286"/>
      <c r="AC6" s="2284"/>
      <c r="AD6" s="2285"/>
      <c r="AE6" s="2285"/>
      <c r="AF6" s="2285"/>
      <c r="AG6" s="2285"/>
      <c r="AH6" s="2285"/>
      <c r="AI6" s="2285"/>
      <c r="AJ6" s="2286"/>
      <c r="AK6" s="1444" t="s">
        <v>566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567</v>
      </c>
      <c r="U9" s="497"/>
      <c r="V9" s="497"/>
      <c r="W9" s="497"/>
      <c r="X9" s="497"/>
      <c r="Y9" s="497"/>
      <c r="Z9" s="497"/>
      <c r="AA9" s="497"/>
      <c r="AB9" s="497"/>
      <c r="AC9" s="497"/>
      <c r="AD9" s="497"/>
      <c r="AE9" s="497"/>
      <c r="AF9" s="497"/>
      <c r="AG9" s="497"/>
      <c r="AH9" s="497"/>
      <c r="AI9" s="497"/>
      <c r="AJ9" s="497"/>
      <c r="AK9" s="1394" t="s">
        <v>568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492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569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630"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495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72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496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649" customFormat="1" customHeight="1" ht="22.5" hidden="1">
      <c r="L18" s="1584"/>
      <c r="M18" s="1499"/>
      <c r="N18" s="1499"/>
      <c r="O18" s="1504" t="s">
        <v>497</v>
      </c>
      <c r="P18" s="1499"/>
      <c r="Q18" s="1508"/>
      <c r="R18" s="1508"/>
      <c r="S18" s="859"/>
      <c r="Y18" s="1504"/>
      <c r="AA18" s="1504"/>
      <c r="AB18" s="1503"/>
      <c r="AF18" s="1504"/>
      <c r="AH18" s="1504"/>
      <c r="AI18" s="1503"/>
      <c r="AL18" s="641"/>
      <c r="AM18" s="641"/>
      <c r="AN18" s="641"/>
      <c r="AO18" s="641"/>
      <c r="AP18" s="641"/>
    </row>
    <row s="11649" customFormat="1" customHeight="1" ht="14.25" hidden="1">
      <c r="L19" s="1584"/>
      <c r="M19" s="1499"/>
      <c r="N19" s="1499"/>
      <c r="O19" s="1499"/>
      <c r="P19" s="1499"/>
      <c r="Q19" s="1508"/>
      <c r="R19" s="1508"/>
      <c r="S19" s="859"/>
      <c r="AB19" s="1503"/>
      <c r="AI19" s="1503"/>
      <c r="AL19" s="641"/>
      <c r="AM19" s="641"/>
      <c r="AN19" s="641"/>
      <c r="AO19" s="641"/>
      <c r="AP19" s="641"/>
    </row>
    <row s="11649" customFormat="1" customHeight="1" ht="12" hidden="1">
      <c r="L20" s="1584"/>
      <c r="M20" s="1499"/>
      <c r="N20" s="1499"/>
      <c r="O20" s="1501" t="s">
        <v>498</v>
      </c>
      <c r="P20" s="1499"/>
      <c r="Q20" s="1579"/>
      <c r="R20" s="1579"/>
      <c r="S20" s="859"/>
      <c r="T20" s="1292" t="s">
        <v>499</v>
      </c>
      <c r="Z20" s="316" t="s">
        <v>500</v>
      </c>
      <c r="AB20" s="316" t="s">
        <v>501</v>
      </c>
      <c r="AC20" s="1292" t="s">
        <v>499</v>
      </c>
      <c r="AG20" s="316" t="s">
        <v>502</v>
      </c>
      <c r="AI20" s="316" t="s">
        <v>501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66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662" customFormat="1" customHeight="1" ht="18.75" hidden="1">
      <c r="A28" s="1505"/>
      <c r="B28" s="1505"/>
      <c r="C28" s="1505"/>
      <c r="D28" s="1505"/>
      <c r="E28" s="1505"/>
      <c r="F28" s="1505"/>
      <c r="G28" s="1505"/>
      <c r="H28" s="1505"/>
      <c r="I28" s="1505"/>
      <c r="J28" s="1505"/>
      <c r="K28" s="1505"/>
      <c r="L28" s="1506"/>
      <c r="M28" s="1505"/>
      <c r="N28" s="1505"/>
      <c r="O28" s="1505"/>
      <c r="S28" s="2289" t="s">
        <v>503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662" customFormat="1" customHeight="1" ht="18.75" hidden="1">
      <c r="A29" s="1505"/>
      <c r="B29" s="1505"/>
      <c r="C29" s="1505"/>
      <c r="D29" s="1505"/>
      <c r="E29" s="1505"/>
      <c r="F29" s="1505"/>
      <c r="G29" s="1505"/>
      <c r="H29" s="1505"/>
      <c r="I29" s="1505"/>
      <c r="J29" s="1505"/>
      <c r="K29" s="1505"/>
      <c r="L29" s="1506"/>
      <c r="M29" s="1505"/>
      <c r="N29" s="1505"/>
      <c r="O29" s="1505"/>
      <c r="S29" s="2289" t="s">
        <v>504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66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662" customFormat="1" customHeight="1" ht="18.75" hidden="1">
      <c r="A32" s="1505"/>
      <c r="B32" s="1505"/>
      <c r="C32" s="1505"/>
      <c r="D32" s="1505"/>
      <c r="E32" s="1505"/>
      <c r="F32" s="1505"/>
      <c r="G32" s="1505"/>
      <c r="H32" s="1505"/>
      <c r="I32" s="1505"/>
      <c r="J32" s="1505"/>
      <c r="K32" s="1505"/>
      <c r="L32" s="1506"/>
      <c r="M32" s="1505"/>
      <c r="N32" s="1505"/>
      <c r="O32" s="1505"/>
      <c r="S32" s="2289" t="s">
        <v>505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662" customFormat="1" customHeight="1" ht="18.75" hidden="1">
      <c r="A33" s="1505"/>
      <c r="B33" s="1505"/>
      <c r="C33" s="1505"/>
      <c r="D33" s="1505"/>
      <c r="E33" s="1505"/>
      <c r="F33" s="1505"/>
      <c r="G33" s="1505"/>
      <c r="H33" s="1505"/>
      <c r="I33" s="1505"/>
      <c r="J33" s="1505"/>
      <c r="K33" s="1505"/>
      <c r="L33" s="1506"/>
      <c r="M33" s="1505"/>
      <c r="N33" s="1505"/>
      <c r="O33" s="1505"/>
      <c r="S33" s="2289" t="s">
        <v>506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662"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507</v>
      </c>
      <c r="AC34" s="456"/>
      <c r="AD34" s="456"/>
      <c r="AE34" s="456"/>
      <c r="AF34" s="456"/>
      <c r="AG34" s="456"/>
      <c r="AH34" s="456"/>
      <c r="AI34" s="408" t="s">
        <v>507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378</v>
      </c>
      <c r="T36" s="2167"/>
      <c r="U36" s="2167"/>
      <c r="V36" s="2167"/>
      <c r="W36" s="2167"/>
      <c r="X36" s="2167"/>
      <c r="Y36" s="2167"/>
      <c r="Z36" s="2167"/>
      <c r="AA36" s="2167"/>
      <c r="AB36" s="2167"/>
      <c r="AC36" s="2167"/>
      <c r="AD36" s="2167"/>
      <c r="AE36" s="2167"/>
      <c r="AF36" s="2167"/>
      <c r="AG36" s="2167"/>
      <c r="AH36" s="2167"/>
      <c r="AI36" s="2167"/>
      <c r="AJ36" s="2167"/>
      <c r="AK36" s="2167" t="s">
        <v>379</v>
      </c>
    </row>
    <row customHeight="1" ht="14.25">
      <c r="Q37" s="506"/>
      <c r="R37" s="506"/>
      <c r="S37" s="2312" t="s">
        <v>85</v>
      </c>
      <c r="T37" s="2248" t="s">
        <v>508</v>
      </c>
      <c r="U37" s="431"/>
      <c r="V37" s="2313" t="s">
        <v>509</v>
      </c>
      <c r="W37" s="2314"/>
      <c r="X37" s="2314"/>
      <c r="Y37" s="2314"/>
      <c r="Z37" s="2314"/>
      <c r="AA37" s="2315"/>
      <c r="AB37" s="2316" t="s">
        <v>510</v>
      </c>
      <c r="AC37" s="2313" t="s">
        <v>509</v>
      </c>
      <c r="AD37" s="2314"/>
      <c r="AE37" s="2314"/>
      <c r="AF37" s="2314"/>
      <c r="AG37" s="2314"/>
      <c r="AH37" s="2315"/>
      <c r="AI37" s="2316" t="s">
        <v>511</v>
      </c>
      <c r="AJ37" s="2319" t="s">
        <v>512</v>
      </c>
      <c r="AK37" s="2167"/>
    </row>
    <row customHeight="1" ht="33.75">
      <c r="Q38" s="506"/>
      <c r="R38" s="506"/>
      <c r="S38" s="2312"/>
      <c r="T38" s="2248"/>
      <c r="U38" s="1162"/>
      <c r="V38" s="1589" t="s">
        <v>570</v>
      </c>
      <c r="W38" s="2301" t="s">
        <v>515</v>
      </c>
      <c r="X38" s="2302"/>
      <c r="Y38" s="2301" t="s">
        <v>516</v>
      </c>
      <c r="Z38" s="2308"/>
      <c r="AA38" s="2302"/>
      <c r="AB38" s="2317"/>
      <c r="AC38" s="1589" t="s">
        <v>570</v>
      </c>
      <c r="AD38" s="2301" t="s">
        <v>515</v>
      </c>
      <c r="AE38" s="2302"/>
      <c r="AF38" s="2301" t="s">
        <v>516</v>
      </c>
      <c r="AG38" s="2308"/>
      <c r="AH38" s="2302"/>
      <c r="AI38" s="2317"/>
      <c r="AJ38" s="2320"/>
      <c r="AK38" s="2167"/>
    </row>
    <row customHeight="1" ht="33.75">
      <c r="A39" s="1507"/>
      <c r="B39" s="1507" t="s">
        <v>216</v>
      </c>
      <c r="C39" s="1507" t="s">
        <v>217</v>
      </c>
      <c r="D39" s="1507" t="s">
        <v>218</v>
      </c>
      <c r="E39" s="1501" t="s">
        <v>517</v>
      </c>
      <c r="F39" s="1501" t="s">
        <v>518</v>
      </c>
      <c r="G39" s="1501" t="s">
        <v>519</v>
      </c>
      <c r="H39" s="1501"/>
      <c r="I39" s="1501" t="s">
        <v>571</v>
      </c>
      <c r="J39" s="1501" t="s">
        <v>522</v>
      </c>
      <c r="K39" s="1501" t="s">
        <v>572</v>
      </c>
      <c r="L39" s="1501" t="s">
        <v>498</v>
      </c>
      <c r="Q39" s="506"/>
      <c r="R39" s="506"/>
      <c r="S39" s="2312"/>
      <c r="T39" s="2248"/>
      <c r="U39" s="432"/>
      <c r="V39" s="1589" t="s">
        <v>573</v>
      </c>
      <c r="W39" s="1358" t="s">
        <v>574</v>
      </c>
      <c r="X39" s="1358" t="s">
        <v>575</v>
      </c>
      <c r="Y39" s="1592" t="s">
        <v>526</v>
      </c>
      <c r="Z39" s="2309" t="s">
        <v>527</v>
      </c>
      <c r="AA39" s="2310"/>
      <c r="AB39" s="2318"/>
      <c r="AC39" s="1589" t="s">
        <v>573</v>
      </c>
      <c r="AD39" s="1358" t="s">
        <v>574</v>
      </c>
      <c r="AE39" s="1358" t="s">
        <v>575</v>
      </c>
      <c r="AF39" s="1592" t="s">
        <v>526</v>
      </c>
      <c r="AG39" s="2309" t="s">
        <v>527</v>
      </c>
      <c r="AH39" s="2310"/>
      <c r="AI39" s="2318"/>
      <c r="AJ39" s="2321"/>
      <c r="AK39" s="2167"/>
    </row>
    <row s="11482"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165</v>
      </c>
      <c r="T40" s="1391" t="s">
        <v>100</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314</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204</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314</v>
      </c>
      <c r="B42" s="1500" t="s">
        <v>315</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477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478</v>
      </c>
      <c r="AM42" s="630"/>
      <c r="AN42" s="630" t="str">
        <f>IF(T42="","",T42)</f>
        <v>Территория действия тарифа</v>
      </c>
      <c r="AO42" s="630"/>
      <c r="AP42" s="630"/>
    </row>
    <row customHeight="1" ht="23.25">
      <c r="A43" s="1500" t="s">
        <v>314</v>
      </c>
      <c r="B43" s="1500" t="s">
        <v>315</v>
      </c>
      <c r="C43" s="1500" t="s">
        <v>316</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562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563</v>
      </c>
      <c r="AM43" s="630"/>
      <c r="AN43" s="630" t="str">
        <f>IF(T43="","",T43)</f>
        <v>Наименование централизованной системы холодного водоснабжения</v>
      </c>
      <c r="AO43" s="630"/>
      <c r="AP43" s="630"/>
    </row>
    <row customHeight="1" ht="23.25">
      <c r="A44" s="1500" t="s">
        <v>314</v>
      </c>
      <c r="B44" s="1500" t="s">
        <v>315</v>
      </c>
      <c r="C44" s="1500" t="s">
        <v>316</v>
      </c>
      <c r="D44" s="1500" t="s">
        <v>578</v>
      </c>
      <c r="E44" s="2298"/>
      <c r="F44" s="2298"/>
      <c r="G44" s="2298"/>
      <c r="H44" s="2298"/>
      <c r="I44" s="2295" t="str">
        <f>S43&amp;".1"</f>
        <v>...1</v>
      </c>
      <c r="J44" s="1500"/>
      <c r="K44" s="1500"/>
      <c r="L44" s="1501"/>
      <c r="P44" s="2296">
        <v>1</v>
      </c>
      <c r="Q44" s="1587"/>
      <c r="R44" s="486"/>
      <c r="S44" s="1594" t="str">
        <f>$I44</f>
        <v>...1</v>
      </c>
      <c r="T44" s="415" t="s">
        <v>564</v>
      </c>
      <c r="U44" s="430"/>
      <c r="V44" s="2381"/>
      <c r="W44" s="2382"/>
      <c r="X44" s="2382"/>
      <c r="Y44" s="2382"/>
      <c r="Z44" s="2382"/>
      <c r="AA44" s="2382"/>
      <c r="AB44" s="2383"/>
      <c r="AC44" s="2384"/>
      <c r="AD44" s="2385"/>
      <c r="AE44" s="2385"/>
      <c r="AF44" s="2385"/>
      <c r="AG44" s="2385"/>
      <c r="AH44" s="2385"/>
      <c r="AI44" s="2385"/>
      <c r="AJ44" s="2386"/>
      <c r="AK44" s="1394" t="s">
        <v>565</v>
      </c>
      <c r="AM44" s="630"/>
      <c r="AN44" s="630" t="str">
        <f>IF(T44="","",T44)</f>
        <v>Наименование признака дифференциации</v>
      </c>
      <c r="AO44" s="630"/>
      <c r="AP44" s="630"/>
    </row>
    <row customHeight="1" ht="23.25">
      <c r="A45" s="1500" t="s">
        <v>314</v>
      </c>
      <c r="B45" s="1500" t="s">
        <v>315</v>
      </c>
      <c r="C45" s="1500" t="s">
        <v>316</v>
      </c>
      <c r="D45" s="1500" t="s">
        <v>578</v>
      </c>
      <c r="E45" s="2298"/>
      <c r="F45" s="2298"/>
      <c r="G45" s="2298"/>
      <c r="H45" s="2298"/>
      <c r="I45" s="2325"/>
      <c r="J45" s="2295" t="str">
        <f>I44&amp;".1"</f>
        <v>...1.1</v>
      </c>
      <c r="K45" s="1500"/>
      <c r="L45" s="1501" t="s">
        <v>486</v>
      </c>
      <c r="P45" s="2296"/>
      <c r="Q45" s="2296">
        <v>1</v>
      </c>
      <c r="R45" s="487"/>
      <c r="S45" s="1594" t="str">
        <f>$J45</f>
        <v>...1.1</v>
      </c>
      <c r="T45" s="416" t="s">
        <v>487</v>
      </c>
      <c r="U45" s="430"/>
      <c r="V45" s="2284"/>
      <c r="W45" s="2285"/>
      <c r="X45" s="2285"/>
      <c r="Y45" s="2285"/>
      <c r="Z45" s="2285"/>
      <c r="AA45" s="2285"/>
      <c r="AB45" s="2286"/>
      <c r="AC45" s="2284"/>
      <c r="AD45" s="2285"/>
      <c r="AE45" s="2285"/>
      <c r="AF45" s="2285"/>
      <c r="AG45" s="2285"/>
      <c r="AH45" s="2285"/>
      <c r="AI45" s="2285"/>
      <c r="AJ45" s="2286"/>
      <c r="AK45" s="1444" t="s">
        <v>566</v>
      </c>
      <c r="AM45" s="630"/>
      <c r="AN45" s="630" t="str">
        <f>IF(T45="","",T45)</f>
        <v>Группа потребителей</v>
      </c>
      <c r="AO45" s="630"/>
      <c r="AP45" s="630"/>
    </row>
    <row customHeight="1" ht="23.25">
      <c r="A46" s="1500" t="s">
        <v>314</v>
      </c>
      <c r="B46" s="1500" t="s">
        <v>315</v>
      </c>
      <c r="C46" s="1500" t="s">
        <v>316</v>
      </c>
      <c r="D46" s="1500" t="s">
        <v>578</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64</v>
      </c>
      <c r="AA46" s="2304"/>
      <c r="AB46" s="2147" t="s">
        <v>64</v>
      </c>
      <c r="AC46" s="881"/>
      <c r="AD46" s="881"/>
      <c r="AE46" s="1393"/>
      <c r="AF46" s="2304"/>
      <c r="AG46" s="2147" t="s">
        <v>64</v>
      </c>
      <c r="AH46" s="2326"/>
      <c r="AI46" s="2147" t="s">
        <v>64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314</v>
      </c>
      <c r="B47" s="1500" t="s">
        <v>315</v>
      </c>
      <c r="C47" s="1500" t="s">
        <v>316</v>
      </c>
      <c r="D47" s="1500" t="s">
        <v>578</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314</v>
      </c>
      <c r="B48" s="1500" t="s">
        <v>315</v>
      </c>
      <c r="C48" s="1500" t="s">
        <v>316</v>
      </c>
      <c r="D48" s="1500" t="s">
        <v>578</v>
      </c>
      <c r="E48" s="2298"/>
      <c r="F48" s="2298"/>
      <c r="G48" s="2298"/>
      <c r="H48" s="2298"/>
      <c r="I48" s="2325"/>
      <c r="J48" s="2295"/>
      <c r="K48" s="1500"/>
      <c r="L48" s="1501"/>
      <c r="P48" s="2296"/>
      <c r="Q48" s="2296"/>
      <c r="R48" s="486"/>
      <c r="S48" s="1415"/>
      <c r="T48" s="417" t="s">
        <v>567</v>
      </c>
      <c r="U48" s="497"/>
      <c r="V48" s="497"/>
      <c r="W48" s="497"/>
      <c r="X48" s="497"/>
      <c r="Y48" s="497"/>
      <c r="Z48" s="497"/>
      <c r="AA48" s="497"/>
      <c r="AB48" s="497"/>
      <c r="AC48" s="497"/>
      <c r="AD48" s="497"/>
      <c r="AE48" s="497"/>
      <c r="AF48" s="497"/>
      <c r="AG48" s="497"/>
      <c r="AH48" s="497"/>
      <c r="AI48" s="497"/>
      <c r="AJ48" s="497"/>
      <c r="AK48" s="1394" t="s">
        <v>568</v>
      </c>
      <c r="AM48" s="630"/>
      <c r="AN48" s="630" t="str">
        <f>IF(T48="","",T48)</f>
        <v>Добавить значение признака дифференциации</v>
      </c>
      <c r="AO48" s="630"/>
      <c r="AP48" s="630"/>
    </row>
    <row customHeight="1" ht="21">
      <c r="A49" s="1500" t="s">
        <v>314</v>
      </c>
      <c r="B49" s="1500" t="s">
        <v>315</v>
      </c>
      <c r="C49" s="1500" t="s">
        <v>316</v>
      </c>
      <c r="D49" s="1500" t="s">
        <v>578</v>
      </c>
      <c r="E49" s="2298"/>
      <c r="F49" s="2298"/>
      <c r="G49" s="2298"/>
      <c r="H49" s="2298"/>
      <c r="I49" s="2295"/>
      <c r="J49" s="1500"/>
      <c r="K49" s="1500"/>
      <c r="L49" s="1501"/>
      <c r="P49" s="2296"/>
      <c r="Q49" s="1587"/>
      <c r="R49" s="486"/>
      <c r="S49" s="1415"/>
      <c r="T49" s="495" t="s">
        <v>492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314</v>
      </c>
      <c r="B50" s="1500" t="s">
        <v>315</v>
      </c>
      <c r="C50" s="1500" t="s">
        <v>316</v>
      </c>
      <c r="D50" s="1500" t="s">
        <v>578</v>
      </c>
      <c r="E50" s="2298"/>
      <c r="F50" s="2298"/>
      <c r="G50" s="2298"/>
      <c r="H50" s="2297"/>
      <c r="I50" s="1500"/>
      <c r="J50" s="1500"/>
      <c r="K50" s="1500"/>
      <c r="L50" s="1501"/>
      <c r="M50" s="1502"/>
      <c r="N50" s="1502"/>
      <c r="O50" s="667"/>
      <c r="P50" s="490"/>
      <c r="Q50" s="505"/>
      <c r="R50" s="485"/>
      <c r="S50" s="1415"/>
      <c r="T50" s="502" t="s">
        <v>569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630" customFormat="1" customHeight="1" ht="0">
      <c r="A51" s="1480" t="s">
        <v>314</v>
      </c>
      <c r="B51" s="1480" t="s">
        <v>315</v>
      </c>
      <c r="C51" s="1451"/>
      <c r="D51" s="1451"/>
      <c r="E51" s="2298"/>
      <c r="F51" s="2297"/>
      <c r="G51" s="1451"/>
      <c r="H51" s="1451"/>
      <c r="I51" s="1451"/>
      <c r="J51" s="1451"/>
      <c r="K51" s="1451"/>
      <c r="L51" s="1595"/>
      <c r="M51" s="1458"/>
      <c r="N51" s="1458"/>
      <c r="P51" s="1453"/>
      <c r="Q51" s="1454"/>
      <c r="R51" s="1453"/>
      <c r="S51" s="1459"/>
      <c r="T51" s="1462" t="s">
        <v>495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721" customFormat="1" customHeight="1" ht="0">
      <c r="A52" s="1480" t="s">
        <v>314</v>
      </c>
      <c r="B52" s="1480"/>
      <c r="C52" s="1480"/>
      <c r="D52" s="1480"/>
      <c r="E52" s="2297"/>
      <c r="F52" s="1480"/>
      <c r="G52" s="1480"/>
      <c r="H52" s="1480"/>
      <c r="I52" s="1480"/>
      <c r="J52" s="1480"/>
      <c r="K52" s="1480"/>
      <c r="L52" s="1483"/>
      <c r="M52" s="1458"/>
      <c r="N52" s="1458"/>
      <c r="O52" s="648"/>
      <c r="P52" s="510"/>
      <c r="Q52" s="1481"/>
      <c r="R52" s="510"/>
      <c r="S52" s="1459"/>
      <c r="T52" s="1462" t="s">
        <v>496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630"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528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BCB78-EC54-3017-57E6-0C9EB214041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4.140625" hidden="1" customWidth="1"/>
    <col min="10" max="10" style="11649" width="9.8515625" hidden="1" customWidth="1"/>
    <col min="11" max="11" style="11649" width="14.7109375" hidden="1" customWidth="1"/>
    <col min="12" max="12" style="11942" width="19.140625" hidden="1" customWidth="1"/>
    <col min="13" max="14" style="11730" width="12.28125" hidden="1" customWidth="1"/>
    <col min="15" max="15" style="11730" width="23.421875" hidden="1" customWidth="1"/>
    <col min="16" max="16" style="11943" width="3.7109375" customWidth="1"/>
    <col min="17" max="18" style="11732" width="3.7109375" customWidth="1"/>
    <col min="19" max="19" style="11733" width="12.7109375" customWidth="1"/>
    <col min="20" max="20" style="11734" width="35.7109375" customWidth="1"/>
    <col min="21" max="21" style="11734" width="0.140625" customWidth="1"/>
    <col min="22" max="24" style="11734" width="24.7109375" hidden="1" customWidth="1"/>
    <col min="25" max="25" style="11734" width="11.7109375" hidden="1" customWidth="1"/>
    <col min="26" max="26" style="11734" width="3.7109375" hidden="1" customWidth="1"/>
    <col min="27" max="27" style="11734" width="11.7109375" hidden="1" customWidth="1"/>
    <col min="28" max="28" style="11734" width="8.57421875" hidden="1" customWidth="1"/>
    <col min="29" max="31" style="11734" width="24.7109375" customWidth="1"/>
    <col min="32" max="32" style="11734" width="11.7109375" customWidth="1"/>
    <col min="33" max="33" style="11734" width="3.7109375" customWidth="1"/>
    <col min="34" max="34" style="11734" width="11.7109375" customWidth="1"/>
    <col min="35" max="35" style="11734" width="8.57421875" hidden="1" customWidth="1"/>
    <col min="36" max="36" style="11734" width="4.7109375" customWidth="1"/>
    <col min="37" max="37" style="11734" width="115.7109375" customWidth="1"/>
    <col min="38" max="39" style="11721" width="10.57421875"/>
    <col min="40" max="40" style="11721" width="11.140625" customWidth="1"/>
    <col min="41" max="42" style="1172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204</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477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478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562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563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564</v>
      </c>
      <c r="U5" s="430"/>
      <c r="V5" s="2381"/>
      <c r="W5" s="2382"/>
      <c r="X5" s="2382"/>
      <c r="Y5" s="2382"/>
      <c r="Z5" s="2382"/>
      <c r="AA5" s="2382"/>
      <c r="AB5" s="2383"/>
      <c r="AC5" s="2384"/>
      <c r="AD5" s="2385"/>
      <c r="AE5" s="2385"/>
      <c r="AF5" s="2385"/>
      <c r="AG5" s="2385"/>
      <c r="AH5" s="2385"/>
      <c r="AI5" s="2385"/>
      <c r="AJ5" s="2386"/>
      <c r="AK5" s="1394" t="s">
        <v>565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486</v>
      </c>
      <c r="P6" s="2296"/>
      <c r="Q6" s="2296">
        <v>1</v>
      </c>
      <c r="R6" s="487"/>
      <c r="S6" s="1594">
        <f>$J6</f>
      </c>
      <c r="T6" s="416" t="s">
        <v>487</v>
      </c>
      <c r="U6" s="430"/>
      <c r="V6" s="2284"/>
      <c r="W6" s="2285"/>
      <c r="X6" s="2285"/>
      <c r="Y6" s="2285"/>
      <c r="Z6" s="2285"/>
      <c r="AA6" s="2285"/>
      <c r="AB6" s="2286"/>
      <c r="AC6" s="2284"/>
      <c r="AD6" s="2285"/>
      <c r="AE6" s="2285"/>
      <c r="AF6" s="2285"/>
      <c r="AG6" s="2285"/>
      <c r="AH6" s="2285"/>
      <c r="AI6" s="2285"/>
      <c r="AJ6" s="2286"/>
      <c r="AK6" s="1444" t="s">
        <v>566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567</v>
      </c>
      <c r="U9" s="497"/>
      <c r="V9" s="497"/>
      <c r="W9" s="497"/>
      <c r="X9" s="497"/>
      <c r="Y9" s="497"/>
      <c r="Z9" s="497"/>
      <c r="AA9" s="497"/>
      <c r="AB9" s="497"/>
      <c r="AC9" s="497"/>
      <c r="AD9" s="497"/>
      <c r="AE9" s="497"/>
      <c r="AF9" s="497"/>
      <c r="AG9" s="497"/>
      <c r="AH9" s="497"/>
      <c r="AI9" s="497"/>
      <c r="AJ9" s="497"/>
      <c r="AK9" s="1394" t="s">
        <v>568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492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569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630"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495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72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496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649" customFormat="1" customHeight="1" ht="22.5" hidden="1">
      <c r="L18" s="1584"/>
      <c r="M18" s="1499"/>
      <c r="N18" s="1499"/>
      <c r="O18" s="1504" t="s">
        <v>497</v>
      </c>
      <c r="P18" s="1499"/>
      <c r="Q18" s="1508"/>
      <c r="R18" s="1508"/>
      <c r="S18" s="859"/>
      <c r="Y18" s="1504"/>
      <c r="AA18" s="1504"/>
      <c r="AB18" s="1503"/>
      <c r="AF18" s="1504"/>
      <c r="AH18" s="1504"/>
      <c r="AI18" s="1503"/>
      <c r="AL18" s="641"/>
      <c r="AM18" s="641"/>
      <c r="AN18" s="641"/>
      <c r="AO18" s="641"/>
      <c r="AP18" s="641"/>
    </row>
    <row s="11649" customFormat="1" customHeight="1" ht="14.25" hidden="1">
      <c r="L19" s="1584"/>
      <c r="M19" s="1499"/>
      <c r="N19" s="1499"/>
      <c r="O19" s="1499"/>
      <c r="P19" s="1499"/>
      <c r="Q19" s="1508"/>
      <c r="R19" s="1508"/>
      <c r="S19" s="859"/>
      <c r="AB19" s="1503"/>
      <c r="AI19" s="1503"/>
      <c r="AL19" s="641"/>
      <c r="AM19" s="641"/>
      <c r="AN19" s="641"/>
      <c r="AO19" s="641"/>
      <c r="AP19" s="641"/>
    </row>
    <row s="11649" customFormat="1" customHeight="1" ht="12" hidden="1">
      <c r="L20" s="1584"/>
      <c r="M20" s="1499"/>
      <c r="N20" s="1499"/>
      <c r="O20" s="1501" t="s">
        <v>498</v>
      </c>
      <c r="P20" s="1499"/>
      <c r="Q20" s="1579"/>
      <c r="R20" s="1579"/>
      <c r="S20" s="859"/>
      <c r="T20" s="1292" t="s">
        <v>499</v>
      </c>
      <c r="Z20" s="316" t="s">
        <v>500</v>
      </c>
      <c r="AB20" s="316" t="s">
        <v>501</v>
      </c>
      <c r="AC20" s="1292" t="s">
        <v>499</v>
      </c>
      <c r="AG20" s="316" t="s">
        <v>502</v>
      </c>
      <c r="AI20" s="316" t="s">
        <v>501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66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662" customFormat="1" customHeight="1" ht="18.75" hidden="1">
      <c r="A28" s="1505"/>
      <c r="B28" s="1505"/>
      <c r="C28" s="1505"/>
      <c r="D28" s="1505"/>
      <c r="E28" s="1505"/>
      <c r="F28" s="1505"/>
      <c r="G28" s="1505"/>
      <c r="H28" s="1505"/>
      <c r="I28" s="1505"/>
      <c r="J28" s="1505"/>
      <c r="K28" s="1505"/>
      <c r="L28" s="1506"/>
      <c r="M28" s="1505"/>
      <c r="N28" s="1505"/>
      <c r="O28" s="1505"/>
      <c r="S28" s="2289" t="s">
        <v>503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662" customFormat="1" customHeight="1" ht="18.75" hidden="1">
      <c r="A29" s="1505"/>
      <c r="B29" s="1505"/>
      <c r="C29" s="1505"/>
      <c r="D29" s="1505"/>
      <c r="E29" s="1505"/>
      <c r="F29" s="1505"/>
      <c r="G29" s="1505"/>
      <c r="H29" s="1505"/>
      <c r="I29" s="1505"/>
      <c r="J29" s="1505"/>
      <c r="K29" s="1505"/>
      <c r="L29" s="1506"/>
      <c r="M29" s="1505"/>
      <c r="N29" s="1505"/>
      <c r="O29" s="1505"/>
      <c r="S29" s="2289" t="s">
        <v>504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66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662" customFormat="1" customHeight="1" ht="18.75" hidden="1">
      <c r="A32" s="1505"/>
      <c r="B32" s="1505"/>
      <c r="C32" s="1505"/>
      <c r="D32" s="1505"/>
      <c r="E32" s="1505"/>
      <c r="F32" s="1505"/>
      <c r="G32" s="1505"/>
      <c r="H32" s="1505"/>
      <c r="I32" s="1505"/>
      <c r="J32" s="1505"/>
      <c r="K32" s="1505"/>
      <c r="L32" s="1506"/>
      <c r="M32" s="1505"/>
      <c r="N32" s="1505"/>
      <c r="O32" s="1505"/>
      <c r="S32" s="2289" t="s">
        <v>505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662" customFormat="1" customHeight="1" ht="18.75" hidden="1">
      <c r="A33" s="1505"/>
      <c r="B33" s="1505"/>
      <c r="C33" s="1505"/>
      <c r="D33" s="1505"/>
      <c r="E33" s="1505"/>
      <c r="F33" s="1505"/>
      <c r="G33" s="1505"/>
      <c r="H33" s="1505"/>
      <c r="I33" s="1505"/>
      <c r="J33" s="1505"/>
      <c r="K33" s="1505"/>
      <c r="L33" s="1506"/>
      <c r="M33" s="1505"/>
      <c r="N33" s="1505"/>
      <c r="O33" s="1505"/>
      <c r="S33" s="2289" t="s">
        <v>506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662"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507</v>
      </c>
      <c r="AC34" s="456"/>
      <c r="AD34" s="456"/>
      <c r="AE34" s="456"/>
      <c r="AF34" s="456"/>
      <c r="AG34" s="456"/>
      <c r="AH34" s="456"/>
      <c r="AI34" s="408" t="s">
        <v>507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378</v>
      </c>
      <c r="T36" s="2167"/>
      <c r="U36" s="2167"/>
      <c r="V36" s="2167"/>
      <c r="W36" s="2167"/>
      <c r="X36" s="2167"/>
      <c r="Y36" s="2167"/>
      <c r="Z36" s="2167"/>
      <c r="AA36" s="2167"/>
      <c r="AB36" s="2167"/>
      <c r="AC36" s="2167"/>
      <c r="AD36" s="2167"/>
      <c r="AE36" s="2167"/>
      <c r="AF36" s="2167"/>
      <c r="AG36" s="2167"/>
      <c r="AH36" s="2167"/>
      <c r="AI36" s="2167"/>
      <c r="AJ36" s="2167"/>
      <c r="AK36" s="2167" t="s">
        <v>379</v>
      </c>
    </row>
    <row customHeight="1" ht="14.25">
      <c r="Q37" s="506"/>
      <c r="R37" s="506"/>
      <c r="S37" s="2312" t="s">
        <v>85</v>
      </c>
      <c r="T37" s="2248" t="s">
        <v>508</v>
      </c>
      <c r="U37" s="431"/>
      <c r="V37" s="2313" t="s">
        <v>509</v>
      </c>
      <c r="W37" s="2314"/>
      <c r="X37" s="2314"/>
      <c r="Y37" s="2314"/>
      <c r="Z37" s="2314"/>
      <c r="AA37" s="2315"/>
      <c r="AB37" s="2316" t="s">
        <v>510</v>
      </c>
      <c r="AC37" s="2313" t="s">
        <v>509</v>
      </c>
      <c r="AD37" s="2314"/>
      <c r="AE37" s="2314"/>
      <c r="AF37" s="2314"/>
      <c r="AG37" s="2314"/>
      <c r="AH37" s="2315"/>
      <c r="AI37" s="2316" t="s">
        <v>511</v>
      </c>
      <c r="AJ37" s="2319" t="s">
        <v>512</v>
      </c>
      <c r="AK37" s="2167"/>
    </row>
    <row customHeight="1" ht="33.75">
      <c r="Q38" s="506"/>
      <c r="R38" s="506"/>
      <c r="S38" s="2312"/>
      <c r="T38" s="2248"/>
      <c r="U38" s="1162"/>
      <c r="V38" s="1589" t="s">
        <v>570</v>
      </c>
      <c r="W38" s="2301" t="s">
        <v>515</v>
      </c>
      <c r="X38" s="2302"/>
      <c r="Y38" s="2301" t="s">
        <v>516</v>
      </c>
      <c r="Z38" s="2308"/>
      <c r="AA38" s="2302"/>
      <c r="AB38" s="2317"/>
      <c r="AC38" s="1589" t="s">
        <v>570</v>
      </c>
      <c r="AD38" s="2301" t="s">
        <v>515</v>
      </c>
      <c r="AE38" s="2302"/>
      <c r="AF38" s="2301" t="s">
        <v>516</v>
      </c>
      <c r="AG38" s="2308"/>
      <c r="AH38" s="2302"/>
      <c r="AI38" s="2317"/>
      <c r="AJ38" s="2320"/>
      <c r="AK38" s="2167"/>
    </row>
    <row customHeight="1" ht="33.75">
      <c r="A39" s="1507"/>
      <c r="B39" s="1507" t="s">
        <v>216</v>
      </c>
      <c r="C39" s="1507" t="s">
        <v>217</v>
      </c>
      <c r="D39" s="1507" t="s">
        <v>218</v>
      </c>
      <c r="E39" s="1501" t="s">
        <v>517</v>
      </c>
      <c r="F39" s="1501" t="s">
        <v>518</v>
      </c>
      <c r="G39" s="1501" t="s">
        <v>519</v>
      </c>
      <c r="H39" s="1501"/>
      <c r="I39" s="1501" t="s">
        <v>571</v>
      </c>
      <c r="J39" s="1501" t="s">
        <v>522</v>
      </c>
      <c r="K39" s="1501" t="s">
        <v>572</v>
      </c>
      <c r="L39" s="1501" t="s">
        <v>498</v>
      </c>
      <c r="Q39" s="506"/>
      <c r="R39" s="506"/>
      <c r="S39" s="2312"/>
      <c r="T39" s="2248"/>
      <c r="U39" s="432"/>
      <c r="V39" s="1589" t="s">
        <v>573</v>
      </c>
      <c r="W39" s="1358" t="s">
        <v>574</v>
      </c>
      <c r="X39" s="1358" t="s">
        <v>575</v>
      </c>
      <c r="Y39" s="1592" t="s">
        <v>526</v>
      </c>
      <c r="Z39" s="2309" t="s">
        <v>527</v>
      </c>
      <c r="AA39" s="2310"/>
      <c r="AB39" s="2318"/>
      <c r="AC39" s="1589" t="s">
        <v>573</v>
      </c>
      <c r="AD39" s="1358" t="s">
        <v>574</v>
      </c>
      <c r="AE39" s="1358" t="s">
        <v>575</v>
      </c>
      <c r="AF39" s="1592" t="s">
        <v>526</v>
      </c>
      <c r="AG39" s="2309" t="s">
        <v>527</v>
      </c>
      <c r="AH39" s="2310"/>
      <c r="AI39" s="2318"/>
      <c r="AJ39" s="2321"/>
      <c r="AK39" s="2167"/>
    </row>
    <row s="11482"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165</v>
      </c>
      <c r="T40" s="1391" t="s">
        <v>100</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319</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204</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319</v>
      </c>
      <c r="B42" s="1500" t="s">
        <v>320</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477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478</v>
      </c>
      <c r="AM42" s="630"/>
      <c r="AN42" s="630" t="str">
        <f>IF(T42="","",T42)</f>
        <v>Территория действия тарифа</v>
      </c>
      <c r="AO42" s="630"/>
      <c r="AP42" s="630"/>
    </row>
    <row customHeight="1" ht="23.25">
      <c r="A43" s="1500" t="s">
        <v>319</v>
      </c>
      <c r="B43" s="1500" t="s">
        <v>320</v>
      </c>
      <c r="C43" s="1500" t="s">
        <v>321</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562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563</v>
      </c>
      <c r="AM43" s="630"/>
      <c r="AN43" s="630" t="str">
        <f>IF(T43="","",T43)</f>
        <v>Наименование централизованной системы холодного водоснабжения</v>
      </c>
      <c r="AO43" s="630"/>
      <c r="AP43" s="630"/>
    </row>
    <row customHeight="1" ht="23.25">
      <c r="A44" s="1500" t="s">
        <v>319</v>
      </c>
      <c r="B44" s="1500" t="s">
        <v>320</v>
      </c>
      <c r="C44" s="1500" t="s">
        <v>321</v>
      </c>
      <c r="D44" s="1500" t="s">
        <v>579</v>
      </c>
      <c r="E44" s="2298"/>
      <c r="F44" s="2298"/>
      <c r="G44" s="2298"/>
      <c r="H44" s="2298"/>
      <c r="I44" s="2295" t="str">
        <f>S43&amp;".1"</f>
        <v>...1</v>
      </c>
      <c r="J44" s="1500"/>
      <c r="K44" s="1500"/>
      <c r="L44" s="1501"/>
      <c r="P44" s="2296">
        <v>1</v>
      </c>
      <c r="Q44" s="1587"/>
      <c r="R44" s="486"/>
      <c r="S44" s="1594" t="str">
        <f>$I44</f>
        <v>...1</v>
      </c>
      <c r="T44" s="415" t="s">
        <v>564</v>
      </c>
      <c r="U44" s="430"/>
      <c r="V44" s="2381"/>
      <c r="W44" s="2382"/>
      <c r="X44" s="2382"/>
      <c r="Y44" s="2382"/>
      <c r="Z44" s="2382"/>
      <c r="AA44" s="2382"/>
      <c r="AB44" s="2383"/>
      <c r="AC44" s="2384"/>
      <c r="AD44" s="2385"/>
      <c r="AE44" s="2385"/>
      <c r="AF44" s="2385"/>
      <c r="AG44" s="2385"/>
      <c r="AH44" s="2385"/>
      <c r="AI44" s="2385"/>
      <c r="AJ44" s="2386"/>
      <c r="AK44" s="1394" t="s">
        <v>565</v>
      </c>
      <c r="AM44" s="630"/>
      <c r="AN44" s="630" t="str">
        <f>IF(T44="","",T44)</f>
        <v>Наименование признака дифференциации</v>
      </c>
      <c r="AO44" s="630"/>
      <c r="AP44" s="630"/>
    </row>
    <row customHeight="1" ht="23.25">
      <c r="A45" s="1500" t="s">
        <v>319</v>
      </c>
      <c r="B45" s="1500" t="s">
        <v>320</v>
      </c>
      <c r="C45" s="1500" t="s">
        <v>321</v>
      </c>
      <c r="D45" s="1500" t="s">
        <v>579</v>
      </c>
      <c r="E45" s="2298"/>
      <c r="F45" s="2298"/>
      <c r="G45" s="2298"/>
      <c r="H45" s="2298"/>
      <c r="I45" s="2325"/>
      <c r="J45" s="2295" t="str">
        <f>I44&amp;".1"</f>
        <v>...1.1</v>
      </c>
      <c r="K45" s="1500"/>
      <c r="L45" s="1501" t="s">
        <v>486</v>
      </c>
      <c r="P45" s="2296"/>
      <c r="Q45" s="2296">
        <v>1</v>
      </c>
      <c r="R45" s="487"/>
      <c r="S45" s="1594" t="str">
        <f>$J45</f>
        <v>...1.1</v>
      </c>
      <c r="T45" s="416" t="s">
        <v>487</v>
      </c>
      <c r="U45" s="430"/>
      <c r="V45" s="2284"/>
      <c r="W45" s="2285"/>
      <c r="X45" s="2285"/>
      <c r="Y45" s="2285"/>
      <c r="Z45" s="2285"/>
      <c r="AA45" s="2285"/>
      <c r="AB45" s="2286"/>
      <c r="AC45" s="2284"/>
      <c r="AD45" s="2285"/>
      <c r="AE45" s="2285"/>
      <c r="AF45" s="2285"/>
      <c r="AG45" s="2285"/>
      <c r="AH45" s="2285"/>
      <c r="AI45" s="2285"/>
      <c r="AJ45" s="2286"/>
      <c r="AK45" s="1444" t="s">
        <v>566</v>
      </c>
      <c r="AM45" s="630"/>
      <c r="AN45" s="630" t="str">
        <f>IF(T45="","",T45)</f>
        <v>Группа потребителей</v>
      </c>
      <c r="AO45" s="630"/>
      <c r="AP45" s="630"/>
    </row>
    <row customHeight="1" ht="23.25">
      <c r="A46" s="1500" t="s">
        <v>319</v>
      </c>
      <c r="B46" s="1500" t="s">
        <v>320</v>
      </c>
      <c r="C46" s="1500" t="s">
        <v>321</v>
      </c>
      <c r="D46" s="1500" t="s">
        <v>579</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64</v>
      </c>
      <c r="AA46" s="2304"/>
      <c r="AB46" s="2147" t="s">
        <v>64</v>
      </c>
      <c r="AC46" s="881"/>
      <c r="AD46" s="881"/>
      <c r="AE46" s="1393"/>
      <c r="AF46" s="2304"/>
      <c r="AG46" s="2147" t="s">
        <v>64</v>
      </c>
      <c r="AH46" s="2326"/>
      <c r="AI46" s="2147" t="s">
        <v>64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319</v>
      </c>
      <c r="B47" s="1500" t="s">
        <v>320</v>
      </c>
      <c r="C47" s="1500" t="s">
        <v>321</v>
      </c>
      <c r="D47" s="1500" t="s">
        <v>579</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319</v>
      </c>
      <c r="B48" s="1500" t="s">
        <v>320</v>
      </c>
      <c r="C48" s="1500" t="s">
        <v>321</v>
      </c>
      <c r="D48" s="1500" t="s">
        <v>579</v>
      </c>
      <c r="E48" s="2298"/>
      <c r="F48" s="2298"/>
      <c r="G48" s="2298"/>
      <c r="H48" s="2298"/>
      <c r="I48" s="2325"/>
      <c r="J48" s="2295"/>
      <c r="K48" s="1500"/>
      <c r="L48" s="1501"/>
      <c r="P48" s="2296"/>
      <c r="Q48" s="2296"/>
      <c r="R48" s="486"/>
      <c r="S48" s="1415"/>
      <c r="T48" s="417" t="s">
        <v>567</v>
      </c>
      <c r="U48" s="497"/>
      <c r="V48" s="497"/>
      <c r="W48" s="497"/>
      <c r="X48" s="497"/>
      <c r="Y48" s="497"/>
      <c r="Z48" s="497"/>
      <c r="AA48" s="497"/>
      <c r="AB48" s="497"/>
      <c r="AC48" s="497"/>
      <c r="AD48" s="497"/>
      <c r="AE48" s="497"/>
      <c r="AF48" s="497"/>
      <c r="AG48" s="497"/>
      <c r="AH48" s="497"/>
      <c r="AI48" s="497"/>
      <c r="AJ48" s="497"/>
      <c r="AK48" s="1394" t="s">
        <v>568</v>
      </c>
      <c r="AM48" s="630"/>
      <c r="AN48" s="630" t="str">
        <f>IF(T48="","",T48)</f>
        <v>Добавить значение признака дифференциации</v>
      </c>
      <c r="AO48" s="630"/>
      <c r="AP48" s="630"/>
    </row>
    <row customHeight="1" ht="21">
      <c r="A49" s="1500" t="s">
        <v>319</v>
      </c>
      <c r="B49" s="1500" t="s">
        <v>320</v>
      </c>
      <c r="C49" s="1500" t="s">
        <v>321</v>
      </c>
      <c r="D49" s="1500" t="s">
        <v>579</v>
      </c>
      <c r="E49" s="2298"/>
      <c r="F49" s="2298"/>
      <c r="G49" s="2298"/>
      <c r="H49" s="2298"/>
      <c r="I49" s="2295"/>
      <c r="J49" s="1500"/>
      <c r="K49" s="1500"/>
      <c r="L49" s="1501"/>
      <c r="P49" s="2296"/>
      <c r="Q49" s="1587"/>
      <c r="R49" s="486"/>
      <c r="S49" s="1415"/>
      <c r="T49" s="495" t="s">
        <v>492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319</v>
      </c>
      <c r="B50" s="1500" t="s">
        <v>320</v>
      </c>
      <c r="C50" s="1500" t="s">
        <v>321</v>
      </c>
      <c r="D50" s="1500" t="s">
        <v>579</v>
      </c>
      <c r="E50" s="2298"/>
      <c r="F50" s="2298"/>
      <c r="G50" s="2298"/>
      <c r="H50" s="2297"/>
      <c r="I50" s="1500"/>
      <c r="J50" s="1500"/>
      <c r="K50" s="1500"/>
      <c r="L50" s="1501"/>
      <c r="M50" s="1502"/>
      <c r="N50" s="1502"/>
      <c r="O50" s="667"/>
      <c r="P50" s="490"/>
      <c r="Q50" s="505"/>
      <c r="R50" s="485"/>
      <c r="S50" s="1415"/>
      <c r="T50" s="502" t="s">
        <v>569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630" customFormat="1" customHeight="1" ht="0">
      <c r="A51" s="1480" t="s">
        <v>319</v>
      </c>
      <c r="B51" s="1480" t="s">
        <v>320</v>
      </c>
      <c r="C51" s="1451"/>
      <c r="D51" s="1451"/>
      <c r="E51" s="2298"/>
      <c r="F51" s="2297"/>
      <c r="G51" s="1451"/>
      <c r="H51" s="1451"/>
      <c r="I51" s="1451"/>
      <c r="J51" s="1451"/>
      <c r="K51" s="1451"/>
      <c r="L51" s="1595"/>
      <c r="M51" s="1458"/>
      <c r="N51" s="1458"/>
      <c r="P51" s="1453"/>
      <c r="Q51" s="1454"/>
      <c r="R51" s="1453"/>
      <c r="S51" s="1459"/>
      <c r="T51" s="1462" t="s">
        <v>495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721" customFormat="1" customHeight="1" ht="0">
      <c r="A52" s="1480" t="s">
        <v>319</v>
      </c>
      <c r="B52" s="1480"/>
      <c r="C52" s="1480"/>
      <c r="D52" s="1480"/>
      <c r="E52" s="2297"/>
      <c r="F52" s="1480"/>
      <c r="G52" s="1480"/>
      <c r="H52" s="1480"/>
      <c r="I52" s="1480"/>
      <c r="J52" s="1480"/>
      <c r="K52" s="1480"/>
      <c r="L52" s="1483"/>
      <c r="M52" s="1458"/>
      <c r="N52" s="1458"/>
      <c r="O52" s="648"/>
      <c r="P52" s="510"/>
      <c r="Q52" s="1481"/>
      <c r="R52" s="510"/>
      <c r="S52" s="1459"/>
      <c r="T52" s="1462" t="s">
        <v>496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630"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528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21BAF-4795-8623-E1B1-0DE1CF1795BD}"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1775" width="10.140625" hidden="1" customWidth="1"/>
    <col min="4" max="4" style="11775" width="11.8515625" hidden="1" customWidth="1"/>
    <col min="5" max="11" style="11775" width="10.140625" hidden="1" customWidth="1"/>
    <col min="12" max="12" style="11776" width="10.140625" hidden="1" customWidth="1"/>
    <col min="13" max="15" style="11777" width="10.140625" hidden="1" customWidth="1"/>
    <col min="16" max="16" style="11730" width="3.7109375" hidden="1" customWidth="1"/>
    <col min="17" max="17" style="11902" width="3.7109375" hidden="1" customWidth="1"/>
    <col min="18" max="18" style="11732" width="3.7109375" customWidth="1"/>
    <col min="19" max="19" style="11733" width="12.7109375" customWidth="1"/>
    <col min="20" max="20" style="11775" width="32.00390625" customWidth="1"/>
    <col min="21" max="21" style="11775" width="0.140625" customWidth="1"/>
    <col min="22" max="23" style="11775" width="21.7109375" hidden="1" customWidth="1"/>
    <col min="24" max="24" style="11775" width="11.7109375" hidden="1" customWidth="1"/>
    <col min="25" max="25" style="11775" width="3.7109375" hidden="1" customWidth="1"/>
    <col min="26" max="26" style="11775" width="11.7109375" hidden="1" customWidth="1"/>
    <col min="27" max="27" style="11775" width="8.57421875" hidden="1" customWidth="1"/>
    <col min="28" max="28" style="11775" width="28.00390625" customWidth="1"/>
    <col min="29" max="29" style="11775" width="24.57421875" customWidth="1"/>
    <col min="30" max="31" style="11775" width="21.7109375" customWidth="1"/>
    <col min="32" max="32" style="11775" width="11.7109375" customWidth="1"/>
    <col min="33" max="33" style="11775" width="3.7109375" customWidth="1"/>
    <col min="34" max="34" style="11775" width="11.7109375" customWidth="1"/>
    <col min="35" max="35" style="11775" width="8.57421875" customWidth="1"/>
    <col min="36" max="36" style="11775" width="4.7109375" customWidth="1"/>
    <col min="37" max="37" style="11775" width="115.7109375" customWidth="1"/>
    <col min="38" max="39" style="11773" width="10.57421875"/>
    <col min="40" max="40" style="11773" width="11.140625" customWidth="1"/>
    <col min="41" max="42" style="1177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204</v>
      </c>
      <c r="U2" s="430"/>
      <c r="V2" s="2282"/>
      <c r="W2" s="2282"/>
      <c r="X2" s="2282"/>
      <c r="Y2" s="2282"/>
      <c r="Z2" s="2282"/>
      <c r="AA2" s="2283"/>
      <c r="AB2" s="2091"/>
      <c r="AC2" s="2282"/>
      <c r="AD2" s="2282"/>
      <c r="AE2" s="2282"/>
      <c r="AF2" s="2282"/>
      <c r="AG2" s="2282"/>
      <c r="AH2" s="2282"/>
      <c r="AI2" s="2282"/>
      <c r="AJ2" s="2283"/>
      <c r="AK2" s="1394" t="s">
        <v>476</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477</v>
      </c>
      <c r="U3" s="430"/>
      <c r="V3" s="2282"/>
      <c r="W3" s="2282"/>
      <c r="X3" s="2282"/>
      <c r="Y3" s="2282"/>
      <c r="Z3" s="2282"/>
      <c r="AA3" s="2283"/>
      <c r="AB3" s="2091"/>
      <c r="AC3" s="2282"/>
      <c r="AD3" s="2282"/>
      <c r="AE3" s="2282"/>
      <c r="AF3" s="2282"/>
      <c r="AG3" s="2282"/>
      <c r="AH3" s="2282"/>
      <c r="AI3" s="2282"/>
      <c r="AJ3" s="2283"/>
      <c r="AK3" s="1394" t="s">
        <v>478</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479</v>
      </c>
      <c r="U4" s="430"/>
      <c r="V4" s="2282"/>
      <c r="W4" s="2282"/>
      <c r="X4" s="2282"/>
      <c r="Y4" s="2282"/>
      <c r="Z4" s="2282"/>
      <c r="AA4" s="2283"/>
      <c r="AB4" s="2091"/>
      <c r="AC4" s="2282"/>
      <c r="AD4" s="2282"/>
      <c r="AE4" s="2282"/>
      <c r="AF4" s="2282"/>
      <c r="AG4" s="2282"/>
      <c r="AH4" s="2282"/>
      <c r="AI4" s="2282"/>
      <c r="AJ4" s="2283"/>
      <c r="AK4" s="1394" t="s">
        <v>480</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481</v>
      </c>
      <c r="U5" s="430"/>
      <c r="V5" s="2282"/>
      <c r="W5" s="2282"/>
      <c r="X5" s="2282"/>
      <c r="Y5" s="2282"/>
      <c r="Z5" s="2282"/>
      <c r="AA5" s="2283"/>
      <c r="AB5" s="2091"/>
      <c r="AC5" s="2282"/>
      <c r="AD5" s="2282"/>
      <c r="AE5" s="2282"/>
      <c r="AF5" s="2282"/>
      <c r="AG5" s="2282"/>
      <c r="AH5" s="2282"/>
      <c r="AI5" s="2282"/>
      <c r="AJ5" s="2283"/>
      <c r="AK5" s="1394" t="s">
        <v>482</v>
      </c>
      <c r="AM5" s="1761"/>
      <c r="AN5" s="1761" t="str">
        <f>IF(T5="","",T5)</f>
        <v>Источник тепловой энергии  </v>
      </c>
      <c r="AO5" s="1761"/>
      <c r="AP5" s="1761"/>
    </row>
    <row s="11773" customFormat="1" customHeight="1" ht="14.25" hidden="1">
      <c r="A6" s="1512"/>
      <c r="B6" s="1512"/>
      <c r="C6" s="1512"/>
      <c r="D6" s="1512"/>
      <c r="E6" s="2339"/>
      <c r="F6" s="2339"/>
      <c r="G6" s="2339"/>
      <c r="H6" s="2339"/>
      <c r="I6" s="2167">
        <f>S5&amp;".1"</f>
      </c>
      <c r="J6" s="1512"/>
      <c r="K6" s="1512"/>
      <c r="L6" s="1518" t="s">
        <v>483</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773"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64</v>
      </c>
      <c r="Z8" s="2304"/>
      <c r="AA8" s="2147" t="s">
        <v>64</v>
      </c>
      <c r="AB8" s="2081"/>
      <c r="AC8" s="2359"/>
      <c r="AD8" s="881"/>
      <c r="AE8" s="1393"/>
      <c r="AF8" s="2094"/>
      <c r="AG8" s="2081" t="s">
        <v>64</v>
      </c>
      <c r="AH8" s="2094"/>
      <c r="AI8" s="2081" t="s">
        <v>64</v>
      </c>
      <c r="AJ8" s="1485"/>
      <c r="AK8" s="2292" t="s">
        <v>544</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547</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548</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773"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773"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753"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494</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753"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495</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773"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496</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64</v>
      </c>
      <c r="AH19" s="1873"/>
      <c r="AI19" s="2108" t="s">
        <v>64</v>
      </c>
    </row>
    <row customHeight="1" ht="14.25" hidden="1">
      <c r="AL20" s="1778"/>
      <c r="AM20" s="1778"/>
      <c r="AN20" s="1778"/>
      <c r="AO20" s="1778"/>
      <c r="AP20" s="1778"/>
    </row>
    <row customHeight="1" ht="14.25" hidden="1">
      <c r="O21" s="1482" t="s">
        <v>497</v>
      </c>
      <c r="X21" s="1482"/>
      <c r="Z21" s="1482"/>
      <c r="AF21" s="1482"/>
      <c r="AH21" s="1482"/>
      <c r="AL21" s="1778"/>
      <c r="AM21" s="1778"/>
      <c r="AN21" s="1778"/>
      <c r="AO21" s="1778"/>
      <c r="AP21" s="1778"/>
    </row>
    <row customHeight="1" ht="14.25" hidden="1">
      <c r="AL22" s="1778"/>
      <c r="AM22" s="1778"/>
      <c r="AN22" s="1778"/>
      <c r="AO22" s="1778"/>
      <c r="AP22" s="1778"/>
    </row>
    <row s="11876" customFormat="1" customHeight="1" ht="14.25" hidden="1">
      <c r="A23" s="2114"/>
      <c r="B23" s="2114"/>
      <c r="C23" s="2114"/>
      <c r="D23" s="2114"/>
      <c r="E23" s="2114"/>
      <c r="F23" s="2114"/>
      <c r="G23" s="2114"/>
      <c r="H23" s="2114"/>
      <c r="I23" s="2114"/>
      <c r="J23" s="2114"/>
      <c r="K23" s="2114"/>
      <c r="L23" s="2114"/>
      <c r="M23" s="2115"/>
      <c r="N23" s="2115"/>
      <c r="O23" s="2116" t="s">
        <v>498</v>
      </c>
      <c r="P23" s="1645"/>
      <c r="Q23" s="1647"/>
      <c r="R23" s="1647"/>
      <c r="Y23" s="1644" t="s">
        <v>500</v>
      </c>
      <c r="AA23" s="1644" t="s">
        <v>501</v>
      </c>
      <c r="AC23" s="1644" t="s">
        <v>550</v>
      </c>
      <c r="AG23" s="1644" t="s">
        <v>500</v>
      </c>
      <c r="AI23" s="1644" t="s">
        <v>501</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662"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662"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503</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662"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504</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662"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662"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503</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662"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504</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662"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507</v>
      </c>
      <c r="AB37" s="1779"/>
      <c r="AC37" s="1772"/>
      <c r="AD37" s="1772"/>
      <c r="AE37" s="1772"/>
      <c r="AF37" s="1772"/>
      <c r="AG37" s="1772"/>
      <c r="AH37" s="1772"/>
      <c r="AI37" s="1779" t="s">
        <v>507</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378</v>
      </c>
      <c r="T39" s="2167"/>
      <c r="U39" s="2167"/>
      <c r="V39" s="2167"/>
      <c r="W39" s="2167"/>
      <c r="X39" s="2167"/>
      <c r="Y39" s="2167"/>
      <c r="Z39" s="2167"/>
      <c r="AA39" s="2213"/>
      <c r="AB39" s="2213"/>
      <c r="AC39" s="2213"/>
      <c r="AD39" s="2167"/>
      <c r="AE39" s="2167"/>
      <c r="AF39" s="2167"/>
      <c r="AG39" s="2167"/>
      <c r="AH39" s="2167"/>
      <c r="AI39" s="2167"/>
      <c r="AJ39" s="2167"/>
      <c r="AK39" s="2167" t="s">
        <v>379</v>
      </c>
    </row>
    <row customHeight="1" ht="14.25">
      <c r="Q40" s="421"/>
      <c r="R40" s="506"/>
      <c r="S40" s="2312" t="s">
        <v>85</v>
      </c>
      <c r="T40" s="2248" t="s">
        <v>580</v>
      </c>
      <c r="U40" s="467"/>
      <c r="V40" s="2314"/>
      <c r="W40" s="2314"/>
      <c r="X40" s="2314"/>
      <c r="Y40" s="2314"/>
      <c r="Z40" s="2314"/>
      <c r="AA40" s="2248" t="s">
        <v>510</v>
      </c>
      <c r="AB40" s="2247" t="s">
        <v>581</v>
      </c>
      <c r="AC40" s="2247" t="s">
        <v>554</v>
      </c>
      <c r="AD40" s="2328" t="s">
        <v>509</v>
      </c>
      <c r="AE40" s="2328"/>
      <c r="AF40" s="2314"/>
      <c r="AG40" s="2314"/>
      <c r="AH40" s="2315"/>
      <c r="AI40" s="2316" t="s">
        <v>510</v>
      </c>
      <c r="AJ40" s="2319" t="s">
        <v>512</v>
      </c>
      <c r="AK40" s="2167"/>
    </row>
    <row customHeight="1" ht="33.75">
      <c r="Q41" s="421"/>
      <c r="R41" s="506"/>
      <c r="S41" s="2312"/>
      <c r="T41" s="2248"/>
      <c r="U41" s="1162"/>
      <c r="V41" s="2230" t="s">
        <v>557</v>
      </c>
      <c r="W41" s="2231"/>
      <c r="X41" s="2331" t="s">
        <v>516</v>
      </c>
      <c r="Y41" s="2345"/>
      <c r="Z41" s="2345"/>
      <c r="AA41" s="2248"/>
      <c r="AB41" s="2247"/>
      <c r="AC41" s="2247"/>
      <c r="AD41" s="2143" t="s">
        <v>558</v>
      </c>
      <c r="AE41" s="2167"/>
      <c r="AF41" s="2345" t="s">
        <v>516</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216</v>
      </c>
      <c r="C43" s="1403" t="s">
        <v>217</v>
      </c>
      <c r="D43" s="1403" t="s">
        <v>218</v>
      </c>
      <c r="E43" s="1447" t="s">
        <v>517</v>
      </c>
      <c r="F43" s="1447" t="s">
        <v>518</v>
      </c>
      <c r="G43" s="1447" t="s">
        <v>519</v>
      </c>
      <c r="H43" s="1447" t="s">
        <v>520</v>
      </c>
      <c r="I43" s="1447" t="s">
        <v>521</v>
      </c>
      <c r="J43" s="1447" t="s">
        <v>522</v>
      </c>
      <c r="K43" s="1447" t="s">
        <v>523</v>
      </c>
      <c r="L43" s="1447" t="s">
        <v>498</v>
      </c>
      <c r="Q43" s="421"/>
      <c r="R43" s="506"/>
      <c r="S43" s="2312"/>
      <c r="T43" s="2248"/>
      <c r="U43" s="432"/>
      <c r="V43" s="2089" t="s">
        <v>559</v>
      </c>
      <c r="W43" s="2089" t="s">
        <v>560</v>
      </c>
      <c r="X43" s="2077" t="s">
        <v>526</v>
      </c>
      <c r="Y43" s="2309" t="s">
        <v>527</v>
      </c>
      <c r="Z43" s="2352"/>
      <c r="AA43" s="2248"/>
      <c r="AB43" s="2247"/>
      <c r="AC43" s="2247"/>
      <c r="AD43" s="2110" t="s">
        <v>559</v>
      </c>
      <c r="AE43" s="2098" t="s">
        <v>560</v>
      </c>
      <c r="AF43" s="2077" t="s">
        <v>526</v>
      </c>
      <c r="AG43" s="2309" t="s">
        <v>527</v>
      </c>
      <c r="AH43" s="2310"/>
      <c r="AI43" s="2318"/>
      <c r="AJ43" s="2321"/>
      <c r="AK43" s="2167"/>
    </row>
    <row s="11770"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165</v>
      </c>
      <c r="T44" s="1391" t="s">
        <v>100</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284</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204</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284</v>
      </c>
      <c r="B46" s="1404" t="s">
        <v>285</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477</v>
      </c>
      <c r="U46" s="430"/>
      <c r="V46" s="2282"/>
      <c r="W46" s="2282"/>
      <c r="X46" s="2282"/>
      <c r="Y46" s="2282"/>
      <c r="Z46" s="2282"/>
      <c r="AA46" s="2283"/>
      <c r="AB46" s="2091"/>
      <c r="AC46" s="2282"/>
      <c r="AD46" s="2282"/>
      <c r="AE46" s="2282"/>
      <c r="AF46" s="2282"/>
      <c r="AG46" s="2282"/>
      <c r="AH46" s="2282"/>
      <c r="AI46" s="2282"/>
      <c r="AJ46" s="2283"/>
      <c r="AK46" s="1394" t="s">
        <v>478</v>
      </c>
      <c r="AM46" s="1761"/>
      <c r="AN46" s="1761" t="str">
        <f>IF(T46="","",T46)</f>
        <v>Территория действия тарифа</v>
      </c>
      <c r="AO46" s="1761"/>
      <c r="AP46" s="1761"/>
    </row>
    <row customHeight="1" ht="23.25">
      <c r="A47" s="1404" t="s">
        <v>284</v>
      </c>
      <c r="B47" s="1404" t="s">
        <v>285</v>
      </c>
      <c r="C47" s="1404" t="s">
        <v>286</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479</v>
      </c>
      <c r="U47" s="430"/>
      <c r="V47" s="2282"/>
      <c r="W47" s="2282"/>
      <c r="X47" s="2282"/>
      <c r="Y47" s="2282"/>
      <c r="Z47" s="2282"/>
      <c r="AA47" s="2283"/>
      <c r="AB47" s="2091"/>
      <c r="AC47" s="2282"/>
      <c r="AD47" s="2282"/>
      <c r="AE47" s="2282"/>
      <c r="AF47" s="2282"/>
      <c r="AG47" s="2282"/>
      <c r="AH47" s="2282"/>
      <c r="AI47" s="2282"/>
      <c r="AJ47" s="2283"/>
      <c r="AK47" s="1394" t="s">
        <v>480</v>
      </c>
      <c r="AM47" s="1761"/>
      <c r="AN47" s="1761" t="str">
        <f>IF(T47="","",T47)</f>
        <v>Наименование системы теплоснабжения </v>
      </c>
      <c r="AO47" s="1761"/>
      <c r="AP47" s="1761"/>
    </row>
    <row customHeight="1" ht="21">
      <c r="A48" s="1404" t="s">
        <v>284</v>
      </c>
      <c r="B48" s="1404" t="s">
        <v>285</v>
      </c>
      <c r="C48" s="1404" t="s">
        <v>286</v>
      </c>
      <c r="D48" s="1404" t="s">
        <v>287</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481</v>
      </c>
      <c r="U48" s="430"/>
      <c r="V48" s="2282"/>
      <c r="W48" s="2282"/>
      <c r="X48" s="2282"/>
      <c r="Y48" s="2282"/>
      <c r="Z48" s="2282"/>
      <c r="AA48" s="2283"/>
      <c r="AB48" s="2091"/>
      <c r="AC48" s="2282"/>
      <c r="AD48" s="2282"/>
      <c r="AE48" s="2282"/>
      <c r="AF48" s="2282"/>
      <c r="AG48" s="2282"/>
      <c r="AH48" s="2282"/>
      <c r="AI48" s="2282"/>
      <c r="AJ48" s="2283"/>
      <c r="AK48" s="1394" t="s">
        <v>482</v>
      </c>
      <c r="AM48" s="1761"/>
      <c r="AN48" s="1761" t="str">
        <f>IF(T48="","",T48)</f>
        <v>Источник тепловой энергии  </v>
      </c>
      <c r="AO48" s="1761"/>
      <c r="AP48" s="1761"/>
    </row>
    <row s="11773" customFormat="1" customHeight="1" ht="0">
      <c r="A49" s="1512" t="s">
        <v>284</v>
      </c>
      <c r="B49" s="1512" t="s">
        <v>285</v>
      </c>
      <c r="C49" s="1512" t="s">
        <v>286</v>
      </c>
      <c r="D49" s="1512" t="s">
        <v>287</v>
      </c>
      <c r="E49" s="2339"/>
      <c r="F49" s="2339"/>
      <c r="G49" s="2339"/>
      <c r="H49" s="2339"/>
      <c r="I49" s="2167" t="str">
        <f>S48&amp;".1"</f>
        <v>....1</v>
      </c>
      <c r="J49" s="1512"/>
      <c r="K49" s="1512"/>
      <c r="L49" s="1518" t="s">
        <v>483</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773" customFormat="1" customHeight="1" ht="0">
      <c r="A50" s="1512" t="s">
        <v>284</v>
      </c>
      <c r="B50" s="1512" t="s">
        <v>285</v>
      </c>
      <c r="C50" s="1512" t="s">
        <v>286</v>
      </c>
      <c r="D50" s="1512" t="s">
        <v>287</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284</v>
      </c>
      <c r="B51" s="1404" t="s">
        <v>285</v>
      </c>
      <c r="C51" s="1404" t="s">
        <v>286</v>
      </c>
      <c r="D51" s="1404" t="s">
        <v>287</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64</v>
      </c>
      <c r="Z51" s="2094"/>
      <c r="AA51" s="2081" t="s">
        <v>64</v>
      </c>
      <c r="AB51" s="2106"/>
      <c r="AC51" s="2105" t="s">
        <v>18</v>
      </c>
      <c r="AD51" s="881"/>
      <c r="AE51" s="1393"/>
      <c r="AF51" s="2094"/>
      <c r="AG51" s="2081" t="s">
        <v>64</v>
      </c>
      <c r="AH51" s="2094"/>
      <c r="AI51" s="2081" t="s">
        <v>64</v>
      </c>
      <c r="AJ51" s="1485"/>
      <c r="AK51" s="2292" t="s">
        <v>561</v>
      </c>
      <c r="AL51" s="1773">
        <f>STRCHECKDATE(#REF!)</f>
      </c>
      <c r="AM51" s="1761"/>
      <c r="AN51" s="1761" t="str">
        <f>IF(T51="","",T51)</f>
        <v/>
      </c>
      <c r="AO51" s="1761"/>
      <c r="AP51" s="1761"/>
    </row>
    <row customHeight="1" ht="11.25">
      <c r="A52" s="1404" t="s">
        <v>284</v>
      </c>
      <c r="B52" s="1404" t="s">
        <v>285</v>
      </c>
      <c r="C52" s="1404" t="s">
        <v>286</v>
      </c>
      <c r="D52" s="1404" t="s">
        <v>287</v>
      </c>
      <c r="E52" s="2339"/>
      <c r="F52" s="2339"/>
      <c r="G52" s="2339"/>
      <c r="H52" s="2339"/>
      <c r="I52" s="2141"/>
      <c r="J52" s="2167"/>
      <c r="K52" s="1404"/>
      <c r="L52" s="1447"/>
      <c r="P52" s="2296"/>
      <c r="Q52" s="2296"/>
      <c r="R52" s="486"/>
      <c r="S52" s="1415"/>
      <c r="T52" s="417" t="s">
        <v>548</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773" customFormat="1" customHeight="1" ht="0">
      <c r="A53" s="1512" t="s">
        <v>284</v>
      </c>
      <c r="B53" s="1512" t="s">
        <v>285</v>
      </c>
      <c r="C53" s="1512" t="s">
        <v>286</v>
      </c>
      <c r="D53" s="1512" t="s">
        <v>287</v>
      </c>
      <c r="E53" s="2339"/>
      <c r="F53" s="2339"/>
      <c r="G53" s="2339"/>
      <c r="H53" s="2339"/>
      <c r="I53" s="2167"/>
      <c r="J53" s="1512"/>
      <c r="K53" s="1512"/>
      <c r="L53" s="1518"/>
      <c r="M53" s="1382"/>
      <c r="N53" s="1382"/>
      <c r="O53" s="1382"/>
      <c r="P53" s="2296"/>
      <c r="Q53" s="2093"/>
      <c r="R53" s="486"/>
      <c r="S53" s="1523"/>
      <c r="T53" s="1524" t="s">
        <v>492</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770" customFormat="1" customHeight="1" ht="0">
      <c r="A54" s="1512" t="s">
        <v>284</v>
      </c>
      <c r="B54" s="1512" t="s">
        <v>285</v>
      </c>
      <c r="C54" s="1512" t="s">
        <v>286</v>
      </c>
      <c r="D54" s="1512" t="s">
        <v>287</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753" customFormat="1" customHeight="1" ht="0">
      <c r="A55" s="1512" t="s">
        <v>284</v>
      </c>
      <c r="B55" s="1512" t="s">
        <v>285</v>
      </c>
      <c r="C55" s="1512" t="s">
        <v>286</v>
      </c>
      <c r="D55" s="1511"/>
      <c r="E55" s="2339"/>
      <c r="F55" s="2339"/>
      <c r="G55" s="2338"/>
      <c r="H55" s="1511"/>
      <c r="I55" s="1511"/>
      <c r="J55" s="1511"/>
      <c r="K55" s="1511"/>
      <c r="L55" s="1514"/>
      <c r="M55" s="1515"/>
      <c r="N55" s="1515"/>
      <c r="O55" s="481"/>
      <c r="P55" s="1453"/>
      <c r="Q55" s="1454"/>
      <c r="R55" s="1453"/>
      <c r="S55" s="1459"/>
      <c r="T55" s="1462" t="s">
        <v>494</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753" customFormat="1" customHeight="1" ht="0">
      <c r="A56" s="1512" t="s">
        <v>284</v>
      </c>
      <c r="B56" s="1512" t="s">
        <v>285</v>
      </c>
      <c r="C56" s="1511"/>
      <c r="D56" s="1511"/>
      <c r="E56" s="2339"/>
      <c r="F56" s="2338"/>
      <c r="G56" s="1511"/>
      <c r="H56" s="1511"/>
      <c r="I56" s="1511"/>
      <c r="J56" s="1511"/>
      <c r="K56" s="1511"/>
      <c r="L56" s="1514"/>
      <c r="M56" s="1516"/>
      <c r="N56" s="1516"/>
      <c r="O56" s="481"/>
      <c r="P56" s="1453"/>
      <c r="Q56" s="1454"/>
      <c r="R56" s="1453"/>
      <c r="S56" s="1459"/>
      <c r="T56" s="1462" t="s">
        <v>495</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773" customFormat="1" customHeight="1" ht="0">
      <c r="A57" s="1512" t="s">
        <v>284</v>
      </c>
      <c r="B57" s="1512"/>
      <c r="C57" s="1512"/>
      <c r="D57" s="1512"/>
      <c r="E57" s="2339"/>
      <c r="F57" s="1512"/>
      <c r="G57" s="1512"/>
      <c r="H57" s="1512"/>
      <c r="I57" s="1512"/>
      <c r="J57" s="1512"/>
      <c r="K57" s="1512"/>
      <c r="L57" s="1518"/>
      <c r="M57" s="1516"/>
      <c r="N57" s="1516"/>
      <c r="O57" s="481"/>
      <c r="P57" s="510"/>
      <c r="Q57" s="1481"/>
      <c r="R57" s="510"/>
      <c r="S57" s="1459"/>
      <c r="T57" s="1462" t="s">
        <v>496</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773" customFormat="1" customHeight="1" ht="0">
      <c r="A58" s="1512" t="s">
        <v>284</v>
      </c>
      <c r="B58" s="1512"/>
      <c r="C58" s="1512"/>
      <c r="D58" s="1512"/>
      <c r="E58" s="2338"/>
      <c r="F58" s="1512"/>
      <c r="G58" s="1512"/>
      <c r="H58" s="1512"/>
      <c r="I58" s="1512"/>
      <c r="J58" s="1512"/>
      <c r="K58" s="1512"/>
      <c r="L58" s="1518"/>
      <c r="M58" s="1516"/>
      <c r="N58" s="1516"/>
      <c r="O58" s="481"/>
      <c r="P58" s="510"/>
      <c r="Q58" s="1481"/>
      <c r="R58" s="510"/>
      <c r="S58" s="1459"/>
      <c r="T58" s="1462" t="s">
        <v>496</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753"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528</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51E88-F3FE-7E67-869F-27801F6AFB08}"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649" width="11.57421875" hidden="1" customWidth="1"/>
    <col min="2" max="2" style="11649" width="11.00390625" hidden="1" customWidth="1"/>
    <col min="3" max="3" style="11649" width="10.57421875" hidden="1"/>
    <col min="4" max="4" style="11649" width="12.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1" style="11649" width="11.421875" hidden="1" customWidth="1"/>
    <col min="12" max="12" style="11988" width="19.140625" hidden="1" customWidth="1"/>
    <col min="13" max="14" style="11730" width="12.28125" hidden="1" customWidth="1"/>
    <col min="15" max="15" style="11730" width="23.421875" hidden="1" customWidth="1"/>
    <col min="16" max="16" style="11730" width="3.7109375" hidden="1" customWidth="1"/>
    <col min="17" max="17" style="11902" width="3.7109375" hidden="1" customWidth="1"/>
    <col min="18" max="18" style="11732" width="3.7109375" customWidth="1"/>
    <col min="19" max="19" style="11733" width="12.7109375" customWidth="1"/>
    <col min="20" max="20" style="11734" width="32.00390625" customWidth="1"/>
    <col min="21" max="21" style="11734" width="0.140625" customWidth="1"/>
    <col min="22" max="25" style="11734" width="21.7109375" hidden="1" customWidth="1"/>
    <col min="26" max="26" style="11734" width="11.7109375" hidden="1" customWidth="1"/>
    <col min="27" max="27" style="11734" width="3.7109375" hidden="1" customWidth="1"/>
    <col min="28" max="28" style="11734" width="11.7109375" hidden="1" customWidth="1"/>
    <col min="29" max="29" style="11734" width="8.57421875" hidden="1" customWidth="1"/>
    <col min="30" max="32" style="11734" width="3.7109375" customWidth="1"/>
    <col min="33" max="33" style="11734" width="24.7109375" customWidth="1"/>
    <col min="34" max="36" style="11734" width="3.7109375" customWidth="1"/>
    <col min="37" max="37" style="11734" width="24.7109375" customWidth="1"/>
    <col min="38" max="40" style="11734" width="3.7109375" customWidth="1"/>
    <col min="41" max="41" style="11734" width="18.8515625" customWidth="1"/>
    <col min="42" max="44" style="11734" width="3.7109375" customWidth="1"/>
    <col min="45" max="45" style="11734" width="18.8515625" customWidth="1"/>
    <col min="46" max="49" style="11734" width="21.7109375" customWidth="1"/>
    <col min="50" max="50" style="11734" width="11.7109375" customWidth="1"/>
    <col min="51" max="51" style="11734" width="3.7109375" customWidth="1"/>
    <col min="52" max="52" style="11734" width="11.7109375" customWidth="1"/>
    <col min="53" max="53" style="11734" width="8.57421875" hidden="1" customWidth="1"/>
    <col min="54" max="54" style="11734" width="4.7109375" customWidth="1"/>
    <col min="55" max="55" style="11734" width="115.7109375" customWidth="1"/>
    <col min="56" max="57" style="11721" width="10.57421875"/>
    <col min="58" max="58" style="11721" width="11.140625" customWidth="1"/>
    <col min="59" max="60" style="11721"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204</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477</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478</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562</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563</v>
      </c>
      <c r="BE4" s="630"/>
      <c r="BF4" s="630" t="str">
        <f>IF(T4="","",T4)</f>
        <v>Наименование централизованной системы холодного водоснабжения</v>
      </c>
      <c r="BG4" s="630"/>
      <c r="BH4" s="630"/>
    </row>
    <row s="11721"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482</v>
      </c>
      <c r="BE5" s="630"/>
      <c r="BF5" s="630" t="str">
        <f>IF(T5="","",T5)</f>
        <v/>
      </c>
      <c r="BG5" s="630"/>
      <c r="BH5" s="630"/>
    </row>
    <row s="11721" customFormat="1" customHeight="1" ht="14.25" hidden="1">
      <c r="A6" s="1480"/>
      <c r="B6" s="1480"/>
      <c r="C6" s="1480"/>
      <c r="D6" s="1480"/>
      <c r="E6" s="2298"/>
      <c r="F6" s="2298"/>
      <c r="G6" s="2298"/>
      <c r="H6" s="2298"/>
      <c r="I6" s="2295" t="str">
        <f>S5&amp;".1"</f>
        <v>.1</v>
      </c>
      <c r="J6" s="1480"/>
      <c r="K6" s="1480"/>
      <c r="L6" s="1483" t="s">
        <v>483</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721"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64</v>
      </c>
      <c r="AB8" s="1871"/>
      <c r="AC8" s="1596" t="s">
        <v>64</v>
      </c>
      <c r="AD8" s="2223" t="s">
        <v>64</v>
      </c>
      <c r="AE8" s="2358"/>
      <c r="AF8" s="2243">
        <v>1</v>
      </c>
      <c r="AG8" s="2394"/>
      <c r="AH8" s="2147" t="s">
        <v>64</v>
      </c>
      <c r="AI8" s="2358"/>
      <c r="AJ8" s="2243">
        <v>1</v>
      </c>
      <c r="AK8" s="2393" t="s">
        <v>18</v>
      </c>
      <c r="AL8" s="2147" t="s">
        <v>64</v>
      </c>
      <c r="AM8" s="2230"/>
      <c r="AN8" s="2243">
        <v>1</v>
      </c>
      <c r="AO8" s="2387"/>
      <c r="AP8" s="2388" t="s">
        <v>64</v>
      </c>
      <c r="AQ8" s="441"/>
      <c r="AR8" s="1600">
        <v>1</v>
      </c>
      <c r="AS8" s="1603" t="s">
        <v>18</v>
      </c>
      <c r="AT8" s="881"/>
      <c r="AU8" s="1393"/>
      <c r="AV8" s="881"/>
      <c r="AW8" s="1393"/>
      <c r="AX8" s="1871"/>
      <c r="AY8" s="1596" t="s">
        <v>64</v>
      </c>
      <c r="AZ8" s="1871"/>
      <c r="BA8" s="1596" t="s">
        <v>64</v>
      </c>
      <c r="BB8" s="1485"/>
      <c r="BC8" s="2292" t="s">
        <v>582</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583</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584</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585</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586</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548</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721"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721"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630"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630"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495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721"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496</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54</v>
      </c>
      <c r="AE20" s="1638"/>
      <c r="AF20" s="678">
        <v>1</v>
      </c>
      <c r="AG20" s="1639"/>
      <c r="AH20" s="1461" t="s">
        <v>54</v>
      </c>
      <c r="AI20" s="1638"/>
      <c r="AJ20" s="678">
        <v>1</v>
      </c>
      <c r="AK20" s="1639"/>
      <c r="AL20" s="1461" t="s">
        <v>54</v>
      </c>
      <c r="AM20" s="1640"/>
      <c r="AN20" s="678">
        <v>1</v>
      </c>
      <c r="AO20" s="1641"/>
      <c r="AP20" s="1461" t="s">
        <v>54</v>
      </c>
      <c r="AQ20" s="1640"/>
      <c r="AR20" s="678">
        <v>1</v>
      </c>
      <c r="AS20" s="1641"/>
      <c r="AT20" s="455"/>
      <c r="AU20" s="514"/>
      <c r="AV20" s="455"/>
      <c r="AW20" s="514"/>
      <c r="AX20" s="1873"/>
      <c r="AY20" s="1597" t="s">
        <v>64</v>
      </c>
      <c r="AZ20" s="1873"/>
      <c r="BA20" s="1597" t="s">
        <v>64</v>
      </c>
    </row>
    <row customHeight="1" ht="14.25" hidden="1">
      <c r="BD21" s="626"/>
      <c r="BE21" s="626"/>
      <c r="BF21" s="626"/>
      <c r="BG21" s="626"/>
      <c r="BH21" s="626"/>
    </row>
    <row customHeight="1" ht="14.25" hidden="1">
      <c r="O22" s="1504" t="s">
        <v>497</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876" customFormat="1" customHeight="1" ht="14.25" hidden="1">
      <c r="M24" s="1645"/>
      <c r="N24" s="1645"/>
      <c r="O24" s="1646" t="s">
        <v>498</v>
      </c>
      <c r="P24" s="1645"/>
      <c r="Q24" s="1647"/>
      <c r="R24" s="1647"/>
      <c r="AA24" s="1644" t="s">
        <v>500</v>
      </c>
      <c r="AC24" s="1644" t="s">
        <v>501</v>
      </c>
      <c r="AD24" s="1644" t="s">
        <v>549</v>
      </c>
      <c r="AH24" s="1644" t="s">
        <v>549</v>
      </c>
      <c r="AK24" s="1644" t="s">
        <v>587</v>
      </c>
      <c r="AL24" s="1644" t="s">
        <v>549</v>
      </c>
      <c r="AP24" s="1644" t="s">
        <v>549</v>
      </c>
      <c r="AY24" s="1644" t="s">
        <v>500</v>
      </c>
      <c r="BA24" s="1644" t="s">
        <v>501</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662"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66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503</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66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504</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662"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662"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503</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662"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504</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662"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507</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507</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378</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379</v>
      </c>
    </row>
    <row customHeight="1" ht="14.25">
      <c r="Q41" s="421"/>
      <c r="R41" s="506"/>
      <c r="S41" s="2312" t="s">
        <v>85</v>
      </c>
      <c r="T41" s="2248" t="s">
        <v>588</v>
      </c>
      <c r="U41" s="431"/>
      <c r="V41" s="2313" t="s">
        <v>509</v>
      </c>
      <c r="W41" s="2314"/>
      <c r="X41" s="2314"/>
      <c r="Y41" s="2314"/>
      <c r="Z41" s="2314"/>
      <c r="AA41" s="2314"/>
      <c r="AB41" s="2315"/>
      <c r="AC41" s="2316" t="s">
        <v>510</v>
      </c>
      <c r="AD41" s="2360" t="s">
        <v>589</v>
      </c>
      <c r="AE41" s="2328"/>
      <c r="AF41" s="2328"/>
      <c r="AG41" s="2361"/>
      <c r="AH41" s="2360" t="s">
        <v>590</v>
      </c>
      <c r="AI41" s="2328"/>
      <c r="AJ41" s="2328"/>
      <c r="AK41" s="2361"/>
      <c r="AL41" s="2360" t="s">
        <v>591</v>
      </c>
      <c r="AM41" s="2328"/>
      <c r="AN41" s="2328"/>
      <c r="AO41" s="2361"/>
      <c r="AP41" s="2360" t="s">
        <v>592</v>
      </c>
      <c r="AQ41" s="2328"/>
      <c r="AR41" s="2328"/>
      <c r="AS41" s="2361"/>
      <c r="AT41" s="2313" t="s">
        <v>509</v>
      </c>
      <c r="AU41" s="2314"/>
      <c r="AV41" s="2314"/>
      <c r="AW41" s="2314"/>
      <c r="AX41" s="2314"/>
      <c r="AY41" s="2314"/>
      <c r="AZ41" s="2315"/>
      <c r="BA41" s="2316" t="s">
        <v>510</v>
      </c>
      <c r="BB41" s="2319" t="s">
        <v>512</v>
      </c>
      <c r="BC41" s="2167"/>
    </row>
    <row customHeight="1" ht="33.75">
      <c r="Q42" s="421"/>
      <c r="R42" s="506"/>
      <c r="S42" s="2312"/>
      <c r="T42" s="2248"/>
      <c r="U42" s="1162"/>
      <c r="V42" s="2230" t="s">
        <v>593</v>
      </c>
      <c r="W42" s="2231"/>
      <c r="X42" s="2230" t="s">
        <v>594</v>
      </c>
      <c r="Y42" s="2231"/>
      <c r="Z42" s="2331" t="s">
        <v>595</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593</v>
      </c>
      <c r="AU42" s="2231"/>
      <c r="AV42" s="2230" t="s">
        <v>594</v>
      </c>
      <c r="AW42" s="2231"/>
      <c r="AX42" s="2331" t="s">
        <v>595</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216</v>
      </c>
      <c r="C44" s="1507" t="s">
        <v>217</v>
      </c>
      <c r="D44" s="1507" t="s">
        <v>218</v>
      </c>
      <c r="E44" s="1501" t="s">
        <v>517</v>
      </c>
      <c r="F44" s="1501" t="s">
        <v>518</v>
      </c>
      <c r="G44" s="1501" t="s">
        <v>519</v>
      </c>
      <c r="H44" s="1501" t="s">
        <v>520</v>
      </c>
      <c r="I44" s="1501" t="s">
        <v>521</v>
      </c>
      <c r="J44" s="1501" t="s">
        <v>522</v>
      </c>
      <c r="K44" s="1501" t="s">
        <v>523</v>
      </c>
      <c r="L44" s="1501" t="s">
        <v>498</v>
      </c>
      <c r="Q44" s="421"/>
      <c r="R44" s="506"/>
      <c r="S44" s="2312"/>
      <c r="T44" s="2248"/>
      <c r="U44" s="432"/>
      <c r="V44" s="1585" t="s">
        <v>559</v>
      </c>
      <c r="W44" s="1585" t="s">
        <v>560</v>
      </c>
      <c r="X44" s="1585" t="s">
        <v>559</v>
      </c>
      <c r="Y44" s="1585" t="s">
        <v>560</v>
      </c>
      <c r="Z44" s="1592" t="s">
        <v>526</v>
      </c>
      <c r="AA44" s="2309" t="s">
        <v>527</v>
      </c>
      <c r="AB44" s="2310"/>
      <c r="AC44" s="2318"/>
      <c r="AD44" s="2365"/>
      <c r="AE44" s="2366"/>
      <c r="AF44" s="2366"/>
      <c r="AG44" s="2367"/>
      <c r="AH44" s="2365"/>
      <c r="AI44" s="2366"/>
      <c r="AJ44" s="2366"/>
      <c r="AK44" s="2367"/>
      <c r="AL44" s="2365"/>
      <c r="AM44" s="2366"/>
      <c r="AN44" s="2366"/>
      <c r="AO44" s="2367"/>
      <c r="AP44" s="2365"/>
      <c r="AQ44" s="2366"/>
      <c r="AR44" s="2366"/>
      <c r="AS44" s="2367"/>
      <c r="AT44" s="1585" t="s">
        <v>559</v>
      </c>
      <c r="AU44" s="1585" t="s">
        <v>560</v>
      </c>
      <c r="AV44" s="1585" t="s">
        <v>559</v>
      </c>
      <c r="AW44" s="1585" t="s">
        <v>560</v>
      </c>
      <c r="AX44" s="1592" t="s">
        <v>526</v>
      </c>
      <c r="AY44" s="2309" t="s">
        <v>527</v>
      </c>
      <c r="AZ44" s="2310"/>
      <c r="BA44" s="2318"/>
      <c r="BB44" s="2321"/>
      <c r="BC44" s="2167"/>
    </row>
    <row s="11482"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165</v>
      </c>
      <c r="T45" s="1391" t="s">
        <v>100</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324</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204</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324</v>
      </c>
      <c r="B47" s="1500" t="s">
        <v>325</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477</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478</v>
      </c>
      <c r="BE47" s="630"/>
      <c r="BF47" s="630" t="str">
        <f>IF(T47="","",T47)</f>
        <v>Территория действия тарифа</v>
      </c>
      <c r="BG47" s="630"/>
      <c r="BH47" s="630"/>
    </row>
    <row customHeight="1" ht="42">
      <c r="A48" s="1500" t="s">
        <v>324</v>
      </c>
      <c r="B48" s="1500" t="s">
        <v>325</v>
      </c>
      <c r="C48" s="1500" t="s">
        <v>326</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562</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563</v>
      </c>
      <c r="BE48" s="630"/>
      <c r="BF48" s="630" t="str">
        <f>IF(T48="","",T48)</f>
        <v>Наименование централизованной системы холодного водоснабжения</v>
      </c>
      <c r="BG48" s="630"/>
      <c r="BH48" s="630"/>
    </row>
    <row s="11721" customFormat="1" customHeight="1" ht="0">
      <c r="A49" s="1480" t="s">
        <v>324</v>
      </c>
      <c r="B49" s="1480" t="s">
        <v>325</v>
      </c>
      <c r="C49" s="1480" t="s">
        <v>326</v>
      </c>
      <c r="D49" s="1480" t="s">
        <v>596</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482</v>
      </c>
      <c r="BE49" s="630"/>
      <c r="BF49" s="630" t="str">
        <f>IF(T49="","",T49)</f>
        <v/>
      </c>
      <c r="BG49" s="630"/>
      <c r="BH49" s="630"/>
    </row>
    <row s="11721" customFormat="1" customHeight="1" ht="0">
      <c r="A50" s="1480" t="s">
        <v>324</v>
      </c>
      <c r="B50" s="1480" t="s">
        <v>325</v>
      </c>
      <c r="C50" s="1480" t="s">
        <v>326</v>
      </c>
      <c r="D50" s="1480" t="s">
        <v>596</v>
      </c>
      <c r="E50" s="2298"/>
      <c r="F50" s="2298"/>
      <c r="G50" s="2298"/>
      <c r="H50" s="2298"/>
      <c r="I50" s="2295" t="str">
        <f>S49&amp;".1"</f>
        <v>.1</v>
      </c>
      <c r="J50" s="1480"/>
      <c r="K50" s="1480"/>
      <c r="L50" s="1483" t="s">
        <v>483</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721" customFormat="1" customHeight="1" ht="0">
      <c r="A51" s="1480" t="s">
        <v>324</v>
      </c>
      <c r="B51" s="1480" t="s">
        <v>325</v>
      </c>
      <c r="C51" s="1480" t="s">
        <v>326</v>
      </c>
      <c r="D51" s="1480" t="s">
        <v>596</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324</v>
      </c>
      <c r="B52" s="1500" t="s">
        <v>325</v>
      </c>
      <c r="C52" s="1500" t="s">
        <v>326</v>
      </c>
      <c r="D52" s="1500" t="s">
        <v>596</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64</v>
      </c>
      <c r="AB52" s="1871"/>
      <c r="AC52" s="1596" t="s">
        <v>64</v>
      </c>
      <c r="AD52" s="2223" t="s">
        <v>64</v>
      </c>
      <c r="AE52" s="2358"/>
      <c r="AF52" s="2243">
        <v>1</v>
      </c>
      <c r="AG52" s="2394"/>
      <c r="AH52" s="2147" t="s">
        <v>64</v>
      </c>
      <c r="AI52" s="2358"/>
      <c r="AJ52" s="2243">
        <v>1</v>
      </c>
      <c r="AK52" s="2393" t="s">
        <v>18</v>
      </c>
      <c r="AL52" s="2147" t="s">
        <v>64</v>
      </c>
      <c r="AM52" s="2230"/>
      <c r="AN52" s="2243">
        <v>1</v>
      </c>
      <c r="AO52" s="2387"/>
      <c r="AP52" s="2388" t="s">
        <v>64</v>
      </c>
      <c r="AQ52" s="441"/>
      <c r="AR52" s="1600">
        <v>1</v>
      </c>
      <c r="AS52" s="1603" t="s">
        <v>18</v>
      </c>
      <c r="AT52" s="881"/>
      <c r="AU52" s="1393"/>
      <c r="AV52" s="881"/>
      <c r="AW52" s="1393"/>
      <c r="AX52" s="1871"/>
      <c r="AY52" s="1596" t="s">
        <v>64</v>
      </c>
      <c r="AZ52" s="1871"/>
      <c r="BA52" s="1596" t="s">
        <v>64</v>
      </c>
      <c r="BB52" s="1485"/>
      <c r="BC52" s="2292" t="s">
        <v>582</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583</v>
      </c>
      <c r="AT53" s="1530"/>
      <c r="AU53" s="1633"/>
      <c r="AV53" s="1530"/>
      <c r="AW53" s="1633"/>
      <c r="AX53" s="1530"/>
      <c r="AY53" s="1530"/>
      <c r="AZ53" s="1530"/>
      <c r="BA53" s="1530"/>
      <c r="BB53" s="1534"/>
      <c r="BC53" s="2293"/>
      <c r="BE53" s="630"/>
      <c r="BF53" s="630"/>
      <c r="BG53" s="630"/>
      <c r="BH53" s="630"/>
    </row>
    <row customHeight="1" ht="11.25">
      <c r="A54" s="1500" t="s">
        <v>324</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584</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324</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585</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324</v>
      </c>
      <c r="B56" s="1500" t="s">
        <v>325</v>
      </c>
      <c r="C56" s="1500" t="s">
        <v>326</v>
      </c>
      <c r="D56" s="1500" t="s">
        <v>596</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586</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324</v>
      </c>
      <c r="B57" s="1500" t="s">
        <v>325</v>
      </c>
      <c r="C57" s="1500" t="s">
        <v>326</v>
      </c>
      <c r="D57" s="1500" t="s">
        <v>596</v>
      </c>
      <c r="E57" s="2298"/>
      <c r="F57" s="2298"/>
      <c r="G57" s="2298"/>
      <c r="H57" s="2298"/>
      <c r="I57" s="2325"/>
      <c r="J57" s="2295"/>
      <c r="K57" s="1500"/>
      <c r="L57" s="1501"/>
      <c r="P57" s="2296"/>
      <c r="Q57" s="2296"/>
      <c r="R57" s="486"/>
      <c r="S57" s="1415"/>
      <c r="T57" s="417" t="s">
        <v>548</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721" customFormat="1" customHeight="1" ht="0">
      <c r="A58" s="1480" t="s">
        <v>324</v>
      </c>
      <c r="B58" s="1480" t="s">
        <v>325</v>
      </c>
      <c r="C58" s="1480" t="s">
        <v>326</v>
      </c>
      <c r="D58" s="1480" t="s">
        <v>596</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721" customFormat="1" customHeight="1" ht="0">
      <c r="A59" s="1480" t="s">
        <v>324</v>
      </c>
      <c r="B59" s="1480" t="s">
        <v>325</v>
      </c>
      <c r="C59" s="1480" t="s">
        <v>326</v>
      </c>
      <c r="D59" s="1480" t="s">
        <v>596</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630" customFormat="1" customHeight="1" ht="0">
      <c r="A60" s="1480" t="s">
        <v>324</v>
      </c>
      <c r="B60" s="1480" t="s">
        <v>325</v>
      </c>
      <c r="C60" s="1480" t="s">
        <v>326</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630" customFormat="1" customHeight="1" ht="0">
      <c r="A61" s="1480" t="s">
        <v>324</v>
      </c>
      <c r="B61" s="1480" t="s">
        <v>325</v>
      </c>
      <c r="C61" s="1451"/>
      <c r="D61" s="1451"/>
      <c r="E61" s="2298"/>
      <c r="F61" s="2297"/>
      <c r="G61" s="1451"/>
      <c r="H61" s="1451"/>
      <c r="I61" s="1451"/>
      <c r="J61" s="1451"/>
      <c r="K61" s="1451"/>
      <c r="L61" s="1601"/>
      <c r="M61" s="1458"/>
      <c r="N61" s="1458"/>
      <c r="P61" s="1453"/>
      <c r="Q61" s="1454"/>
      <c r="R61" s="1453"/>
      <c r="S61" s="1459"/>
      <c r="T61" s="1462" t="s">
        <v>495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721" customFormat="1" customHeight="1" ht="0">
      <c r="A62" s="1480" t="s">
        <v>324</v>
      </c>
      <c r="B62" s="1480"/>
      <c r="C62" s="1480"/>
      <c r="D62" s="1480"/>
      <c r="E62" s="2297"/>
      <c r="F62" s="1480"/>
      <c r="G62" s="1480"/>
      <c r="H62" s="1480"/>
      <c r="I62" s="1480"/>
      <c r="J62" s="1480"/>
      <c r="K62" s="1480"/>
      <c r="L62" s="1483"/>
      <c r="M62" s="1458"/>
      <c r="N62" s="1458"/>
      <c r="O62" s="648"/>
      <c r="P62" s="510"/>
      <c r="Q62" s="1481"/>
      <c r="R62" s="510"/>
      <c r="S62" s="1459"/>
      <c r="T62" s="1462" t="s">
        <v>496</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630"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528</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3947F-8D03-7146-EA91-67E9D4B79A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4.140625" hidden="1" customWidth="1"/>
    <col min="10" max="10" style="11649" width="9.8515625" hidden="1" customWidth="1"/>
    <col min="11" max="11" style="11649" width="14.7109375" hidden="1" customWidth="1"/>
    <col min="12" max="12" style="11999" width="19.140625" hidden="1" customWidth="1"/>
    <col min="13" max="14" style="11730" width="12.28125" hidden="1" customWidth="1"/>
    <col min="15" max="15" style="11730" width="23.421875" hidden="1" customWidth="1"/>
    <col min="16" max="16" style="12000" width="3.7109375" customWidth="1"/>
    <col min="17" max="18" style="11732" width="3.7109375" customWidth="1"/>
    <col min="19" max="19" style="11733" width="12.7109375" customWidth="1"/>
    <col min="20" max="20" style="11734" width="35.7109375" customWidth="1"/>
    <col min="21" max="21" style="11734" width="0.140625" customWidth="1"/>
    <col min="22" max="24" style="11734" width="24.7109375" hidden="1" customWidth="1"/>
    <col min="25" max="25" style="11734" width="11.7109375" hidden="1" customWidth="1"/>
    <col min="26" max="26" style="11734" width="3.7109375" hidden="1" customWidth="1"/>
    <col min="27" max="27" style="11734" width="11.7109375" hidden="1" customWidth="1"/>
    <col min="28" max="28" style="11734" width="8.57421875" hidden="1" customWidth="1"/>
    <col min="29" max="31" style="11734" width="24.7109375" customWidth="1"/>
    <col min="32" max="32" style="11734" width="11.7109375" customWidth="1"/>
    <col min="33" max="33" style="11734" width="3.7109375" customWidth="1"/>
    <col min="34" max="34" style="11734" width="11.7109375" customWidth="1"/>
    <col min="35" max="35" style="11734" width="8.57421875" hidden="1" customWidth="1"/>
    <col min="36" max="36" style="11734" width="4.7109375" customWidth="1"/>
    <col min="37" max="37" style="11734" width="115.7109375" customWidth="1"/>
    <col min="38" max="39" style="11721" width="10.57421875"/>
    <col min="40" max="40" style="11721" width="11.140625" customWidth="1"/>
    <col min="41" max="42" style="1172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204</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477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478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597</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598</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564</v>
      </c>
      <c r="U5" s="430"/>
      <c r="V5" s="2381"/>
      <c r="W5" s="2382"/>
      <c r="X5" s="2382"/>
      <c r="Y5" s="2382"/>
      <c r="Z5" s="2382"/>
      <c r="AA5" s="2382"/>
      <c r="AB5" s="2383"/>
      <c r="AC5" s="2384"/>
      <c r="AD5" s="2385"/>
      <c r="AE5" s="2385"/>
      <c r="AF5" s="2385"/>
      <c r="AG5" s="2385"/>
      <c r="AH5" s="2385"/>
      <c r="AI5" s="2385"/>
      <c r="AJ5" s="2386"/>
      <c r="AK5" s="1394" t="s">
        <v>565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486</v>
      </c>
      <c r="P6" s="2296"/>
      <c r="Q6" s="2296">
        <v>1</v>
      </c>
      <c r="R6" s="487"/>
      <c r="S6" s="1630">
        <f>$J6</f>
      </c>
      <c r="T6" s="416" t="s">
        <v>487</v>
      </c>
      <c r="U6" s="430"/>
      <c r="V6" s="2284"/>
      <c r="W6" s="2285"/>
      <c r="X6" s="2285"/>
      <c r="Y6" s="2285"/>
      <c r="Z6" s="2285"/>
      <c r="AA6" s="2285"/>
      <c r="AB6" s="2286"/>
      <c r="AC6" s="2284"/>
      <c r="AD6" s="2285"/>
      <c r="AE6" s="2285"/>
      <c r="AF6" s="2285"/>
      <c r="AG6" s="2285"/>
      <c r="AH6" s="2285"/>
      <c r="AI6" s="2285"/>
      <c r="AJ6" s="2286"/>
      <c r="AK6" s="1444" t="s">
        <v>566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567</v>
      </c>
      <c r="U9" s="497"/>
      <c r="V9" s="497"/>
      <c r="W9" s="497"/>
      <c r="X9" s="497"/>
      <c r="Y9" s="497"/>
      <c r="Z9" s="497"/>
      <c r="AA9" s="497"/>
      <c r="AB9" s="497"/>
      <c r="AC9" s="497"/>
      <c r="AD9" s="497"/>
      <c r="AE9" s="497"/>
      <c r="AF9" s="497"/>
      <c r="AG9" s="497"/>
      <c r="AH9" s="497"/>
      <c r="AI9" s="497"/>
      <c r="AJ9" s="497"/>
      <c r="AK9" s="1394" t="s">
        <v>568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492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569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630"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495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72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496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649" customFormat="1" customHeight="1" ht="22.5" hidden="1">
      <c r="L18" s="1615"/>
      <c r="M18" s="1499"/>
      <c r="N18" s="1499"/>
      <c r="O18" s="1504" t="s">
        <v>497</v>
      </c>
      <c r="P18" s="1499"/>
      <c r="Q18" s="1508"/>
      <c r="R18" s="1508"/>
      <c r="S18" s="859"/>
      <c r="Y18" s="1504"/>
      <c r="AA18" s="1504"/>
      <c r="AB18" s="1503"/>
      <c r="AF18" s="1504"/>
      <c r="AH18" s="1504"/>
      <c r="AI18" s="1503"/>
      <c r="AL18" s="641"/>
      <c r="AM18" s="641"/>
      <c r="AN18" s="641"/>
      <c r="AO18" s="641"/>
      <c r="AP18" s="641"/>
    </row>
    <row s="11649" customFormat="1" customHeight="1" ht="14.25" hidden="1">
      <c r="L19" s="1615"/>
      <c r="M19" s="1499"/>
      <c r="N19" s="1499"/>
      <c r="O19" s="1499"/>
      <c r="P19" s="1499"/>
      <c r="Q19" s="1508"/>
      <c r="R19" s="1508"/>
      <c r="S19" s="859"/>
      <c r="AB19" s="1503"/>
      <c r="AI19" s="1503"/>
      <c r="AL19" s="641"/>
      <c r="AM19" s="641"/>
      <c r="AN19" s="641"/>
      <c r="AO19" s="641"/>
      <c r="AP19" s="641"/>
    </row>
    <row s="11649" customFormat="1" customHeight="1" ht="12" hidden="1">
      <c r="L20" s="1615"/>
      <c r="M20" s="1499"/>
      <c r="N20" s="1499"/>
      <c r="O20" s="1501" t="s">
        <v>498</v>
      </c>
      <c r="P20" s="1499"/>
      <c r="Q20" s="1579"/>
      <c r="R20" s="1579"/>
      <c r="S20" s="859"/>
      <c r="T20" s="1292" t="s">
        <v>499</v>
      </c>
      <c r="Z20" s="316" t="s">
        <v>500</v>
      </c>
      <c r="AB20" s="316" t="s">
        <v>501</v>
      </c>
      <c r="AC20" s="1292" t="s">
        <v>499</v>
      </c>
      <c r="AG20" s="316" t="s">
        <v>502</v>
      </c>
      <c r="AI20" s="316" t="s">
        <v>501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66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662" customFormat="1" customHeight="1" ht="18.75" hidden="1">
      <c r="A28" s="1505"/>
      <c r="B28" s="1505"/>
      <c r="C28" s="1505"/>
      <c r="D28" s="1505"/>
      <c r="E28" s="1505"/>
      <c r="F28" s="1505"/>
      <c r="G28" s="1505"/>
      <c r="H28" s="1505"/>
      <c r="I28" s="1505"/>
      <c r="J28" s="1505"/>
      <c r="K28" s="1505"/>
      <c r="L28" s="1506"/>
      <c r="M28" s="1505"/>
      <c r="N28" s="1505"/>
      <c r="O28" s="1505"/>
      <c r="S28" s="2289" t="s">
        <v>503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662" customFormat="1" customHeight="1" ht="18.75" hidden="1">
      <c r="A29" s="1505"/>
      <c r="B29" s="1505"/>
      <c r="C29" s="1505"/>
      <c r="D29" s="1505"/>
      <c r="E29" s="1505"/>
      <c r="F29" s="1505"/>
      <c r="G29" s="1505"/>
      <c r="H29" s="1505"/>
      <c r="I29" s="1505"/>
      <c r="J29" s="1505"/>
      <c r="K29" s="1505"/>
      <c r="L29" s="1506"/>
      <c r="M29" s="1505"/>
      <c r="N29" s="1505"/>
      <c r="O29" s="1505"/>
      <c r="S29" s="2289" t="s">
        <v>504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66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662" customFormat="1" customHeight="1" ht="18.75" hidden="1">
      <c r="A32" s="1505"/>
      <c r="B32" s="1505"/>
      <c r="C32" s="1505"/>
      <c r="D32" s="1505"/>
      <c r="E32" s="1505"/>
      <c r="F32" s="1505"/>
      <c r="G32" s="1505"/>
      <c r="H32" s="1505"/>
      <c r="I32" s="1505"/>
      <c r="J32" s="1505"/>
      <c r="K32" s="1505"/>
      <c r="L32" s="1506"/>
      <c r="M32" s="1505"/>
      <c r="N32" s="1505"/>
      <c r="O32" s="1505"/>
      <c r="S32" s="2289" t="s">
        <v>505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662" customFormat="1" customHeight="1" ht="18.75" hidden="1">
      <c r="A33" s="1505"/>
      <c r="B33" s="1505"/>
      <c r="C33" s="1505"/>
      <c r="D33" s="1505"/>
      <c r="E33" s="1505"/>
      <c r="F33" s="1505"/>
      <c r="G33" s="1505"/>
      <c r="H33" s="1505"/>
      <c r="I33" s="1505"/>
      <c r="J33" s="1505"/>
      <c r="K33" s="1505"/>
      <c r="L33" s="1506"/>
      <c r="M33" s="1505"/>
      <c r="N33" s="1505"/>
      <c r="O33" s="1505"/>
      <c r="S33" s="2289" t="s">
        <v>506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66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507</v>
      </c>
      <c r="AC34" s="456"/>
      <c r="AD34" s="456"/>
      <c r="AE34" s="456"/>
      <c r="AF34" s="456"/>
      <c r="AG34" s="456"/>
      <c r="AH34" s="456"/>
      <c r="AI34" s="408" t="s">
        <v>507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378</v>
      </c>
      <c r="T36" s="2167"/>
      <c r="U36" s="2167"/>
      <c r="V36" s="2167"/>
      <c r="W36" s="2167"/>
      <c r="X36" s="2167"/>
      <c r="Y36" s="2167"/>
      <c r="Z36" s="2167"/>
      <c r="AA36" s="2167"/>
      <c r="AB36" s="2167"/>
      <c r="AC36" s="2167"/>
      <c r="AD36" s="2167"/>
      <c r="AE36" s="2167"/>
      <c r="AF36" s="2167"/>
      <c r="AG36" s="2167"/>
      <c r="AH36" s="2167"/>
      <c r="AI36" s="2167"/>
      <c r="AJ36" s="2167"/>
      <c r="AK36" s="2167" t="s">
        <v>379</v>
      </c>
    </row>
    <row customHeight="1" ht="14.25">
      <c r="Q37" s="506"/>
      <c r="R37" s="506"/>
      <c r="S37" s="2312" t="s">
        <v>85</v>
      </c>
      <c r="T37" s="2248" t="s">
        <v>508</v>
      </c>
      <c r="U37" s="431"/>
      <c r="V37" s="2313" t="s">
        <v>509</v>
      </c>
      <c r="W37" s="2314"/>
      <c r="X37" s="2314"/>
      <c r="Y37" s="2314"/>
      <c r="Z37" s="2314"/>
      <c r="AA37" s="2315"/>
      <c r="AB37" s="2316" t="s">
        <v>510</v>
      </c>
      <c r="AC37" s="2313" t="s">
        <v>509</v>
      </c>
      <c r="AD37" s="2314"/>
      <c r="AE37" s="2314"/>
      <c r="AF37" s="2314"/>
      <c r="AG37" s="2314"/>
      <c r="AH37" s="2315"/>
      <c r="AI37" s="2316" t="s">
        <v>511</v>
      </c>
      <c r="AJ37" s="2319" t="s">
        <v>512</v>
      </c>
      <c r="AK37" s="2167"/>
    </row>
    <row customHeight="1" ht="33.75">
      <c r="Q38" s="506"/>
      <c r="R38" s="506"/>
      <c r="S38" s="2312"/>
      <c r="T38" s="2248"/>
      <c r="U38" s="1162"/>
      <c r="V38" s="1620" t="s">
        <v>570</v>
      </c>
      <c r="W38" s="2301" t="s">
        <v>515</v>
      </c>
      <c r="X38" s="2302"/>
      <c r="Y38" s="2301" t="s">
        <v>516</v>
      </c>
      <c r="Z38" s="2308"/>
      <c r="AA38" s="2302"/>
      <c r="AB38" s="2317"/>
      <c r="AC38" s="1620" t="s">
        <v>570</v>
      </c>
      <c r="AD38" s="2301" t="s">
        <v>515</v>
      </c>
      <c r="AE38" s="2302"/>
      <c r="AF38" s="2301" t="s">
        <v>516</v>
      </c>
      <c r="AG38" s="2308"/>
      <c r="AH38" s="2302"/>
      <c r="AI38" s="2317"/>
      <c r="AJ38" s="2320"/>
      <c r="AK38" s="2167"/>
    </row>
    <row customHeight="1" ht="86.25">
      <c r="A39" s="1507"/>
      <c r="B39" s="1507" t="s">
        <v>216</v>
      </c>
      <c r="C39" s="1507" t="s">
        <v>217</v>
      </c>
      <c r="D39" s="1507" t="s">
        <v>218</v>
      </c>
      <c r="E39" s="1501" t="s">
        <v>517</v>
      </c>
      <c r="F39" s="1501" t="s">
        <v>518</v>
      </c>
      <c r="G39" s="1501" t="s">
        <v>519</v>
      </c>
      <c r="H39" s="1501"/>
      <c r="I39" s="1501" t="s">
        <v>571</v>
      </c>
      <c r="J39" s="1501" t="s">
        <v>522</v>
      </c>
      <c r="K39" s="1501" t="s">
        <v>572</v>
      </c>
      <c r="L39" s="1501" t="s">
        <v>498</v>
      </c>
      <c r="Q39" s="506"/>
      <c r="R39" s="506"/>
      <c r="S39" s="2312"/>
      <c r="T39" s="2248"/>
      <c r="U39" s="432"/>
      <c r="V39" s="1620" t="s">
        <v>599</v>
      </c>
      <c r="W39" s="1358" t="s">
        <v>600</v>
      </c>
      <c r="X39" s="1358" t="s">
        <v>575</v>
      </c>
      <c r="Y39" s="1626" t="s">
        <v>526</v>
      </c>
      <c r="Z39" s="2309" t="s">
        <v>527</v>
      </c>
      <c r="AA39" s="2310"/>
      <c r="AB39" s="2318"/>
      <c r="AC39" s="1620" t="s">
        <v>599</v>
      </c>
      <c r="AD39" s="1358" t="s">
        <v>600</v>
      </c>
      <c r="AE39" s="1358" t="s">
        <v>575</v>
      </c>
      <c r="AF39" s="1626" t="s">
        <v>526</v>
      </c>
      <c r="AG39" s="2309" t="s">
        <v>527</v>
      </c>
      <c r="AH39" s="2310"/>
      <c r="AI39" s="2318"/>
      <c r="AJ39" s="2321"/>
      <c r="AK39" s="2167"/>
    </row>
    <row s="11482"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165</v>
      </c>
      <c r="T40" s="1391" t="s">
        <v>100</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344</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204</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344</v>
      </c>
      <c r="B42" s="1500" t="s">
        <v>345</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477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478</v>
      </c>
      <c r="AM42" s="630"/>
      <c r="AN42" s="630" t="str">
        <f>IF(T42="","",T42)</f>
        <v>Территория действия тарифа</v>
      </c>
      <c r="AO42" s="630"/>
      <c r="AP42" s="630"/>
    </row>
    <row customHeight="1" ht="23.25">
      <c r="A43" s="1500" t="s">
        <v>344</v>
      </c>
      <c r="B43" s="1500" t="s">
        <v>345</v>
      </c>
      <c r="C43" s="1500" t="s">
        <v>346</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597</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598</v>
      </c>
      <c r="AM43" s="630"/>
      <c r="AN43" s="630" t="str">
        <f>IF(T43="","",T43)</f>
        <v>Наименование централизованной системы водоотведения</v>
      </c>
      <c r="AO43" s="630"/>
      <c r="AP43" s="630"/>
    </row>
    <row customHeight="1" ht="23.25">
      <c r="A44" s="1500" t="s">
        <v>344</v>
      </c>
      <c r="B44" s="1500" t="s">
        <v>345</v>
      </c>
      <c r="C44" s="1500" t="s">
        <v>346</v>
      </c>
      <c r="D44" s="1500" t="s">
        <v>601</v>
      </c>
      <c r="E44" s="2298"/>
      <c r="F44" s="2298"/>
      <c r="G44" s="2298"/>
      <c r="H44" s="2298"/>
      <c r="I44" s="2295" t="str">
        <f>S43&amp;".1"</f>
        <v>...1</v>
      </c>
      <c r="J44" s="1500"/>
      <c r="K44" s="1500"/>
      <c r="L44" s="1501"/>
      <c r="P44" s="2296">
        <v>1</v>
      </c>
      <c r="Q44" s="1618"/>
      <c r="R44" s="486"/>
      <c r="S44" s="1630" t="str">
        <f>$I44</f>
        <v>...1</v>
      </c>
      <c r="T44" s="415" t="s">
        <v>564</v>
      </c>
      <c r="U44" s="430"/>
      <c r="V44" s="2381"/>
      <c r="W44" s="2382"/>
      <c r="X44" s="2382"/>
      <c r="Y44" s="2382"/>
      <c r="Z44" s="2382"/>
      <c r="AA44" s="2382"/>
      <c r="AB44" s="2383"/>
      <c r="AC44" s="2384"/>
      <c r="AD44" s="2385"/>
      <c r="AE44" s="2385"/>
      <c r="AF44" s="2385"/>
      <c r="AG44" s="2385"/>
      <c r="AH44" s="2385"/>
      <c r="AI44" s="2385"/>
      <c r="AJ44" s="2386"/>
      <c r="AK44" s="1394" t="s">
        <v>565</v>
      </c>
      <c r="AM44" s="630"/>
      <c r="AN44" s="630" t="str">
        <f>IF(T44="","",T44)</f>
        <v>Наименование признака дифференциации</v>
      </c>
      <c r="AO44" s="630"/>
      <c r="AP44" s="630"/>
    </row>
    <row customHeight="1" ht="23.25">
      <c r="A45" s="1500" t="s">
        <v>344</v>
      </c>
      <c r="B45" s="1500" t="s">
        <v>345</v>
      </c>
      <c r="C45" s="1500" t="s">
        <v>346</v>
      </c>
      <c r="D45" s="1500" t="s">
        <v>601</v>
      </c>
      <c r="E45" s="2298"/>
      <c r="F45" s="2298"/>
      <c r="G45" s="2298"/>
      <c r="H45" s="2298"/>
      <c r="I45" s="2325"/>
      <c r="J45" s="2295" t="str">
        <f>I44&amp;".1"</f>
        <v>...1.1</v>
      </c>
      <c r="K45" s="1500"/>
      <c r="L45" s="1501" t="s">
        <v>486</v>
      </c>
      <c r="P45" s="2296"/>
      <c r="Q45" s="2296">
        <v>1</v>
      </c>
      <c r="R45" s="487"/>
      <c r="S45" s="1630" t="str">
        <f>$J45</f>
        <v>...1.1</v>
      </c>
      <c r="T45" s="416" t="s">
        <v>487</v>
      </c>
      <c r="U45" s="430"/>
      <c r="V45" s="2284"/>
      <c r="W45" s="2285"/>
      <c r="X45" s="2285"/>
      <c r="Y45" s="2285"/>
      <c r="Z45" s="2285"/>
      <c r="AA45" s="2285"/>
      <c r="AB45" s="2286"/>
      <c r="AC45" s="2284"/>
      <c r="AD45" s="2285"/>
      <c r="AE45" s="2285"/>
      <c r="AF45" s="2285"/>
      <c r="AG45" s="2285"/>
      <c r="AH45" s="2285"/>
      <c r="AI45" s="2285"/>
      <c r="AJ45" s="2286"/>
      <c r="AK45" s="1444" t="s">
        <v>566</v>
      </c>
      <c r="AM45" s="630"/>
      <c r="AN45" s="630" t="str">
        <f>IF(T45="","",T45)</f>
        <v>Группа потребителей</v>
      </c>
      <c r="AO45" s="630"/>
      <c r="AP45" s="630"/>
    </row>
    <row customHeight="1" ht="23.25">
      <c r="A46" s="1500" t="s">
        <v>344</v>
      </c>
      <c r="B46" s="1500" t="s">
        <v>345</v>
      </c>
      <c r="C46" s="1500" t="s">
        <v>346</v>
      </c>
      <c r="D46" s="1500" t="s">
        <v>601</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344</v>
      </c>
      <c r="B47" s="1500" t="s">
        <v>345</v>
      </c>
      <c r="C47" s="1500" t="s">
        <v>346</v>
      </c>
      <c r="D47" s="1500" t="s">
        <v>601</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344</v>
      </c>
      <c r="B48" s="1500" t="s">
        <v>345</v>
      </c>
      <c r="C48" s="1500" t="s">
        <v>346</v>
      </c>
      <c r="D48" s="1500" t="s">
        <v>601</v>
      </c>
      <c r="E48" s="2298"/>
      <c r="F48" s="2298"/>
      <c r="G48" s="2298"/>
      <c r="H48" s="2298"/>
      <c r="I48" s="2325"/>
      <c r="J48" s="2295"/>
      <c r="K48" s="1500"/>
      <c r="L48" s="1501"/>
      <c r="P48" s="2296"/>
      <c r="Q48" s="2296"/>
      <c r="R48" s="486"/>
      <c r="S48" s="1415"/>
      <c r="T48" s="417" t="s">
        <v>567</v>
      </c>
      <c r="U48" s="497"/>
      <c r="V48" s="497"/>
      <c r="W48" s="497"/>
      <c r="X48" s="497"/>
      <c r="Y48" s="497"/>
      <c r="Z48" s="497"/>
      <c r="AA48" s="497"/>
      <c r="AB48" s="497"/>
      <c r="AC48" s="497"/>
      <c r="AD48" s="497"/>
      <c r="AE48" s="497"/>
      <c r="AF48" s="497"/>
      <c r="AG48" s="497"/>
      <c r="AH48" s="497"/>
      <c r="AI48" s="497"/>
      <c r="AJ48" s="497"/>
      <c r="AK48" s="1394" t="s">
        <v>568</v>
      </c>
      <c r="AM48" s="630"/>
      <c r="AN48" s="630" t="str">
        <f>IF(T48="","",T48)</f>
        <v>Добавить значение признака дифференциации</v>
      </c>
      <c r="AO48" s="630"/>
      <c r="AP48" s="630"/>
    </row>
    <row customHeight="1" ht="21">
      <c r="A49" s="1500" t="s">
        <v>344</v>
      </c>
      <c r="B49" s="1500" t="s">
        <v>345</v>
      </c>
      <c r="C49" s="1500" t="s">
        <v>346</v>
      </c>
      <c r="D49" s="1500" t="s">
        <v>601</v>
      </c>
      <c r="E49" s="2298"/>
      <c r="F49" s="2298"/>
      <c r="G49" s="2298"/>
      <c r="H49" s="2298"/>
      <c r="I49" s="2295"/>
      <c r="J49" s="1500"/>
      <c r="K49" s="1500"/>
      <c r="L49" s="1501"/>
      <c r="P49" s="2296"/>
      <c r="Q49" s="1618"/>
      <c r="R49" s="486"/>
      <c r="S49" s="1415"/>
      <c r="T49" s="495" t="s">
        <v>492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344</v>
      </c>
      <c r="B50" s="1500" t="s">
        <v>345</v>
      </c>
      <c r="C50" s="1500" t="s">
        <v>346</v>
      </c>
      <c r="D50" s="1500" t="s">
        <v>601</v>
      </c>
      <c r="E50" s="2298"/>
      <c r="F50" s="2298"/>
      <c r="G50" s="2298"/>
      <c r="H50" s="2297"/>
      <c r="I50" s="1500"/>
      <c r="J50" s="1500"/>
      <c r="K50" s="1500"/>
      <c r="L50" s="1501"/>
      <c r="M50" s="1502"/>
      <c r="N50" s="1502"/>
      <c r="O50" s="667"/>
      <c r="P50" s="490"/>
      <c r="Q50" s="505"/>
      <c r="R50" s="485"/>
      <c r="S50" s="1415"/>
      <c r="T50" s="502" t="s">
        <v>569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630" customFormat="1" customHeight="1" ht="0">
      <c r="A51" s="1480" t="s">
        <v>344</v>
      </c>
      <c r="B51" s="1480" t="s">
        <v>345</v>
      </c>
      <c r="C51" s="1451"/>
      <c r="D51" s="1451"/>
      <c r="E51" s="2298"/>
      <c r="F51" s="2297"/>
      <c r="G51" s="1451"/>
      <c r="H51" s="1451"/>
      <c r="I51" s="1451"/>
      <c r="J51" s="1451"/>
      <c r="K51" s="1451"/>
      <c r="L51" s="1631"/>
      <c r="M51" s="1458"/>
      <c r="N51" s="1458"/>
      <c r="P51" s="1453"/>
      <c r="Q51" s="1454"/>
      <c r="R51" s="1453"/>
      <c r="S51" s="1459"/>
      <c r="T51" s="1462" t="s">
        <v>495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721" customFormat="1" customHeight="1" ht="0">
      <c r="A52" s="1480" t="s">
        <v>344</v>
      </c>
      <c r="B52" s="1480"/>
      <c r="C52" s="1480"/>
      <c r="D52" s="1480"/>
      <c r="E52" s="2297"/>
      <c r="F52" s="1480"/>
      <c r="G52" s="1480"/>
      <c r="H52" s="1480"/>
      <c r="I52" s="1480"/>
      <c r="J52" s="1480"/>
      <c r="K52" s="1480"/>
      <c r="L52" s="1483"/>
      <c r="M52" s="1458"/>
      <c r="N52" s="1458"/>
      <c r="O52" s="648"/>
      <c r="P52" s="510"/>
      <c r="Q52" s="1481"/>
      <c r="R52" s="510"/>
      <c r="S52" s="1459"/>
      <c r="T52" s="1462" t="s">
        <v>496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630"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528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173FD-C242-6D0F-DB82-A7A13AD994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4.140625" hidden="1" customWidth="1"/>
    <col min="10" max="10" style="11649" width="9.8515625" hidden="1" customWidth="1"/>
    <col min="11" max="11" style="11649" width="14.7109375" hidden="1" customWidth="1"/>
    <col min="12" max="12" style="11999" width="19.140625" hidden="1" customWidth="1"/>
    <col min="13" max="14" style="11730" width="12.28125" hidden="1" customWidth="1"/>
    <col min="15" max="15" style="11730" width="23.421875" hidden="1" customWidth="1"/>
    <col min="16" max="16" style="12000" width="3.7109375" customWidth="1"/>
    <col min="17" max="18" style="11732" width="3.7109375" customWidth="1"/>
    <col min="19" max="19" style="11733" width="12.7109375" customWidth="1"/>
    <col min="20" max="20" style="11734" width="35.7109375" customWidth="1"/>
    <col min="21" max="21" style="11734" width="0.140625" customWidth="1"/>
    <col min="22" max="24" style="11734" width="24.7109375" hidden="1" customWidth="1"/>
    <col min="25" max="25" style="11734" width="11.7109375" hidden="1" customWidth="1"/>
    <col min="26" max="26" style="11734" width="3.7109375" hidden="1" customWidth="1"/>
    <col min="27" max="27" style="11734" width="11.7109375" hidden="1" customWidth="1"/>
    <col min="28" max="28" style="11734" width="8.57421875" hidden="1" customWidth="1"/>
    <col min="29" max="31" style="11734" width="24.7109375" customWidth="1"/>
    <col min="32" max="32" style="11734" width="11.7109375" customWidth="1"/>
    <col min="33" max="33" style="11734" width="3.7109375" customWidth="1"/>
    <col min="34" max="34" style="11734" width="11.7109375" customWidth="1"/>
    <col min="35" max="35" style="11734" width="8.57421875" hidden="1" customWidth="1"/>
    <col min="36" max="36" style="11734" width="4.7109375" customWidth="1"/>
    <col min="37" max="37" style="11734" width="115.7109375" customWidth="1"/>
    <col min="38" max="39" style="11721" width="10.57421875"/>
    <col min="40" max="40" style="11721" width="11.140625" customWidth="1"/>
    <col min="41" max="42" style="1172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204</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477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478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597</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598</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564</v>
      </c>
      <c r="U5" s="430"/>
      <c r="V5" s="2381"/>
      <c r="W5" s="2382"/>
      <c r="X5" s="2382"/>
      <c r="Y5" s="2382"/>
      <c r="Z5" s="2382"/>
      <c r="AA5" s="2382"/>
      <c r="AB5" s="2383"/>
      <c r="AC5" s="2384"/>
      <c r="AD5" s="2385"/>
      <c r="AE5" s="2385"/>
      <c r="AF5" s="2385"/>
      <c r="AG5" s="2385"/>
      <c r="AH5" s="2385"/>
      <c r="AI5" s="2385"/>
      <c r="AJ5" s="2386"/>
      <c r="AK5" s="1394" t="s">
        <v>565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486</v>
      </c>
      <c r="P6" s="2296"/>
      <c r="Q6" s="2296">
        <v>1</v>
      </c>
      <c r="R6" s="487"/>
      <c r="S6" s="1630">
        <f>$J6</f>
      </c>
      <c r="T6" s="416" t="s">
        <v>487</v>
      </c>
      <c r="U6" s="430"/>
      <c r="V6" s="2284"/>
      <c r="W6" s="2285"/>
      <c r="X6" s="2285"/>
      <c r="Y6" s="2285"/>
      <c r="Z6" s="2285"/>
      <c r="AA6" s="2285"/>
      <c r="AB6" s="2286"/>
      <c r="AC6" s="2284"/>
      <c r="AD6" s="2285"/>
      <c r="AE6" s="2285"/>
      <c r="AF6" s="2285"/>
      <c r="AG6" s="2285"/>
      <c r="AH6" s="2285"/>
      <c r="AI6" s="2285"/>
      <c r="AJ6" s="2286"/>
      <c r="AK6" s="1444" t="s">
        <v>566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567</v>
      </c>
      <c r="U9" s="497"/>
      <c r="V9" s="497"/>
      <c r="W9" s="497"/>
      <c r="X9" s="497"/>
      <c r="Y9" s="497"/>
      <c r="Z9" s="497"/>
      <c r="AA9" s="497"/>
      <c r="AB9" s="497"/>
      <c r="AC9" s="497"/>
      <c r="AD9" s="497"/>
      <c r="AE9" s="497"/>
      <c r="AF9" s="497"/>
      <c r="AG9" s="497"/>
      <c r="AH9" s="497"/>
      <c r="AI9" s="497"/>
      <c r="AJ9" s="497"/>
      <c r="AK9" s="1394" t="s">
        <v>568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492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569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630"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495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72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496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649" customFormat="1" customHeight="1" ht="22.5" hidden="1">
      <c r="L18" s="1615"/>
      <c r="M18" s="1499"/>
      <c r="N18" s="1499"/>
      <c r="O18" s="1504" t="s">
        <v>497</v>
      </c>
      <c r="P18" s="1499"/>
      <c r="Q18" s="1508"/>
      <c r="R18" s="1508"/>
      <c r="S18" s="859"/>
      <c r="Y18" s="1504"/>
      <c r="AA18" s="1504"/>
      <c r="AB18" s="1503"/>
      <c r="AF18" s="1504"/>
      <c r="AH18" s="1504"/>
      <c r="AI18" s="1503"/>
      <c r="AL18" s="641"/>
      <c r="AM18" s="641"/>
      <c r="AN18" s="641"/>
      <c r="AO18" s="641"/>
      <c r="AP18" s="641"/>
    </row>
    <row s="11649" customFormat="1" customHeight="1" ht="14.25" hidden="1">
      <c r="L19" s="1615"/>
      <c r="M19" s="1499"/>
      <c r="N19" s="1499"/>
      <c r="O19" s="1499"/>
      <c r="P19" s="1499"/>
      <c r="Q19" s="1508"/>
      <c r="R19" s="1508"/>
      <c r="S19" s="859"/>
      <c r="AB19" s="1503"/>
      <c r="AI19" s="1503"/>
      <c r="AL19" s="641"/>
      <c r="AM19" s="641"/>
      <c r="AN19" s="641"/>
      <c r="AO19" s="641"/>
      <c r="AP19" s="641"/>
    </row>
    <row s="11649" customFormat="1" customHeight="1" ht="12" hidden="1">
      <c r="L20" s="1615"/>
      <c r="M20" s="1499"/>
      <c r="N20" s="1499"/>
      <c r="O20" s="1501" t="s">
        <v>498</v>
      </c>
      <c r="P20" s="1499"/>
      <c r="Q20" s="1579"/>
      <c r="R20" s="1579"/>
      <c r="S20" s="859"/>
      <c r="T20" s="1292" t="s">
        <v>499</v>
      </c>
      <c r="Z20" s="316" t="s">
        <v>500</v>
      </c>
      <c r="AB20" s="316" t="s">
        <v>501</v>
      </c>
      <c r="AC20" s="1292" t="s">
        <v>499</v>
      </c>
      <c r="AG20" s="316" t="s">
        <v>502</v>
      </c>
      <c r="AI20" s="316" t="s">
        <v>501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66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662" customFormat="1" customHeight="1" ht="18.75" hidden="1">
      <c r="A28" s="1505"/>
      <c r="B28" s="1505"/>
      <c r="C28" s="1505"/>
      <c r="D28" s="1505"/>
      <c r="E28" s="1505"/>
      <c r="F28" s="1505"/>
      <c r="G28" s="1505"/>
      <c r="H28" s="1505"/>
      <c r="I28" s="1505"/>
      <c r="J28" s="1505"/>
      <c r="K28" s="1505"/>
      <c r="L28" s="1506"/>
      <c r="M28" s="1505"/>
      <c r="N28" s="1505"/>
      <c r="O28" s="1505"/>
      <c r="S28" s="2289" t="s">
        <v>503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662" customFormat="1" customHeight="1" ht="18.75" hidden="1">
      <c r="A29" s="1505"/>
      <c r="B29" s="1505"/>
      <c r="C29" s="1505"/>
      <c r="D29" s="1505"/>
      <c r="E29" s="1505"/>
      <c r="F29" s="1505"/>
      <c r="G29" s="1505"/>
      <c r="H29" s="1505"/>
      <c r="I29" s="1505"/>
      <c r="J29" s="1505"/>
      <c r="K29" s="1505"/>
      <c r="L29" s="1506"/>
      <c r="M29" s="1505"/>
      <c r="N29" s="1505"/>
      <c r="O29" s="1505"/>
      <c r="S29" s="2289" t="s">
        <v>504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66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662" customFormat="1" customHeight="1" ht="18.75" hidden="1">
      <c r="A32" s="1505"/>
      <c r="B32" s="1505"/>
      <c r="C32" s="1505"/>
      <c r="D32" s="1505"/>
      <c r="E32" s="1505"/>
      <c r="F32" s="1505"/>
      <c r="G32" s="1505"/>
      <c r="H32" s="1505"/>
      <c r="I32" s="1505"/>
      <c r="J32" s="1505"/>
      <c r="K32" s="1505"/>
      <c r="L32" s="1506"/>
      <c r="M32" s="1505"/>
      <c r="N32" s="1505"/>
      <c r="O32" s="1505"/>
      <c r="S32" s="2289" t="s">
        <v>505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662" customFormat="1" customHeight="1" ht="18.75" hidden="1">
      <c r="A33" s="1505"/>
      <c r="B33" s="1505"/>
      <c r="C33" s="1505"/>
      <c r="D33" s="1505"/>
      <c r="E33" s="1505"/>
      <c r="F33" s="1505"/>
      <c r="G33" s="1505"/>
      <c r="H33" s="1505"/>
      <c r="I33" s="1505"/>
      <c r="J33" s="1505"/>
      <c r="K33" s="1505"/>
      <c r="L33" s="1506"/>
      <c r="M33" s="1505"/>
      <c r="N33" s="1505"/>
      <c r="O33" s="1505"/>
      <c r="S33" s="2289" t="s">
        <v>506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66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507</v>
      </c>
      <c r="AC34" s="456"/>
      <c r="AD34" s="456"/>
      <c r="AE34" s="456"/>
      <c r="AF34" s="456"/>
      <c r="AG34" s="456"/>
      <c r="AH34" s="456"/>
      <c r="AI34" s="408" t="s">
        <v>507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378</v>
      </c>
      <c r="T36" s="2167"/>
      <c r="U36" s="2167"/>
      <c r="V36" s="2167"/>
      <c r="W36" s="2167"/>
      <c r="X36" s="2167"/>
      <c r="Y36" s="2167"/>
      <c r="Z36" s="2167"/>
      <c r="AA36" s="2167"/>
      <c r="AB36" s="2167"/>
      <c r="AC36" s="2167"/>
      <c r="AD36" s="2167"/>
      <c r="AE36" s="2167"/>
      <c r="AF36" s="2167"/>
      <c r="AG36" s="2167"/>
      <c r="AH36" s="2167"/>
      <c r="AI36" s="2167"/>
      <c r="AJ36" s="2167"/>
      <c r="AK36" s="2167" t="s">
        <v>379</v>
      </c>
    </row>
    <row customHeight="1" ht="14.25">
      <c r="Q37" s="506"/>
      <c r="R37" s="506"/>
      <c r="S37" s="2312" t="s">
        <v>85</v>
      </c>
      <c r="T37" s="2248" t="s">
        <v>508</v>
      </c>
      <c r="U37" s="431"/>
      <c r="V37" s="2313" t="s">
        <v>509</v>
      </c>
      <c r="W37" s="2314"/>
      <c r="X37" s="2314"/>
      <c r="Y37" s="2314"/>
      <c r="Z37" s="2314"/>
      <c r="AA37" s="2315"/>
      <c r="AB37" s="2316" t="s">
        <v>510</v>
      </c>
      <c r="AC37" s="2313" t="s">
        <v>509</v>
      </c>
      <c r="AD37" s="2314"/>
      <c r="AE37" s="2314"/>
      <c r="AF37" s="2314"/>
      <c r="AG37" s="2314"/>
      <c r="AH37" s="2315"/>
      <c r="AI37" s="2316" t="s">
        <v>511</v>
      </c>
      <c r="AJ37" s="2319" t="s">
        <v>512</v>
      </c>
      <c r="AK37" s="2167"/>
    </row>
    <row customHeight="1" ht="33.75">
      <c r="Q38" s="506"/>
      <c r="R38" s="506"/>
      <c r="S38" s="2312"/>
      <c r="T38" s="2248"/>
      <c r="U38" s="1162"/>
      <c r="V38" s="1620" t="s">
        <v>570</v>
      </c>
      <c r="W38" s="2301" t="s">
        <v>515</v>
      </c>
      <c r="X38" s="2302"/>
      <c r="Y38" s="2301" t="s">
        <v>516</v>
      </c>
      <c r="Z38" s="2308"/>
      <c r="AA38" s="2302"/>
      <c r="AB38" s="2317"/>
      <c r="AC38" s="1620" t="s">
        <v>570</v>
      </c>
      <c r="AD38" s="2301" t="s">
        <v>515</v>
      </c>
      <c r="AE38" s="2302"/>
      <c r="AF38" s="2301" t="s">
        <v>516</v>
      </c>
      <c r="AG38" s="2308"/>
      <c r="AH38" s="2302"/>
      <c r="AI38" s="2317"/>
      <c r="AJ38" s="2320"/>
      <c r="AK38" s="2167"/>
    </row>
    <row customHeight="1" ht="86.25">
      <c r="A39" s="1507"/>
      <c r="B39" s="1507" t="s">
        <v>216</v>
      </c>
      <c r="C39" s="1507" t="s">
        <v>217</v>
      </c>
      <c r="D39" s="1507" t="s">
        <v>218</v>
      </c>
      <c r="E39" s="1501" t="s">
        <v>517</v>
      </c>
      <c r="F39" s="1501" t="s">
        <v>518</v>
      </c>
      <c r="G39" s="1501" t="s">
        <v>519</v>
      </c>
      <c r="H39" s="1501"/>
      <c r="I39" s="1501" t="s">
        <v>571</v>
      </c>
      <c r="J39" s="1501" t="s">
        <v>522</v>
      </c>
      <c r="K39" s="1501" t="s">
        <v>572</v>
      </c>
      <c r="L39" s="1501" t="s">
        <v>498</v>
      </c>
      <c r="Q39" s="506"/>
      <c r="R39" s="506"/>
      <c r="S39" s="2312"/>
      <c r="T39" s="2248"/>
      <c r="U39" s="432"/>
      <c r="V39" s="1620" t="s">
        <v>599</v>
      </c>
      <c r="W39" s="1358" t="s">
        <v>600</v>
      </c>
      <c r="X39" s="1358" t="s">
        <v>575</v>
      </c>
      <c r="Y39" s="1626" t="s">
        <v>526</v>
      </c>
      <c r="Z39" s="2309" t="s">
        <v>527</v>
      </c>
      <c r="AA39" s="2310"/>
      <c r="AB39" s="2318"/>
      <c r="AC39" s="1620" t="s">
        <v>599</v>
      </c>
      <c r="AD39" s="1358" t="s">
        <v>600</v>
      </c>
      <c r="AE39" s="1358" t="s">
        <v>575</v>
      </c>
      <c r="AF39" s="1626" t="s">
        <v>526</v>
      </c>
      <c r="AG39" s="2309" t="s">
        <v>527</v>
      </c>
      <c r="AH39" s="2310"/>
      <c r="AI39" s="2318"/>
      <c r="AJ39" s="2321"/>
      <c r="AK39" s="2167"/>
    </row>
    <row s="11482"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165</v>
      </c>
      <c r="T40" s="1391" t="s">
        <v>100</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349</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204</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349</v>
      </c>
      <c r="B42" s="1500" t="s">
        <v>350</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477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478</v>
      </c>
      <c r="AM42" s="630"/>
      <c r="AN42" s="630" t="str">
        <f>IF(T42="","",T42)</f>
        <v>Территория действия тарифа</v>
      </c>
      <c r="AO42" s="630"/>
      <c r="AP42" s="630"/>
    </row>
    <row customHeight="1" ht="23.25">
      <c r="A43" s="1500" t="s">
        <v>349</v>
      </c>
      <c r="B43" s="1500" t="s">
        <v>350</v>
      </c>
      <c r="C43" s="1500" t="s">
        <v>351</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597</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598</v>
      </c>
      <c r="AM43" s="630"/>
      <c r="AN43" s="630" t="str">
        <f>IF(T43="","",T43)</f>
        <v>Наименование централизованной системы водоотведения</v>
      </c>
      <c r="AO43" s="630"/>
      <c r="AP43" s="630"/>
    </row>
    <row customHeight="1" ht="23.25">
      <c r="A44" s="1500" t="s">
        <v>349</v>
      </c>
      <c r="B44" s="1500" t="s">
        <v>350</v>
      </c>
      <c r="C44" s="1500" t="s">
        <v>351</v>
      </c>
      <c r="D44" s="1500" t="s">
        <v>602</v>
      </c>
      <c r="E44" s="2298"/>
      <c r="F44" s="2298"/>
      <c r="G44" s="2298"/>
      <c r="H44" s="2298"/>
      <c r="I44" s="2295" t="str">
        <f>S43&amp;".1"</f>
        <v>...1</v>
      </c>
      <c r="J44" s="1500"/>
      <c r="K44" s="1500"/>
      <c r="L44" s="1501"/>
      <c r="P44" s="2296">
        <v>1</v>
      </c>
      <c r="Q44" s="1618"/>
      <c r="R44" s="486"/>
      <c r="S44" s="1630" t="str">
        <f>$I44</f>
        <v>...1</v>
      </c>
      <c r="T44" s="415" t="s">
        <v>564</v>
      </c>
      <c r="U44" s="430"/>
      <c r="V44" s="2381"/>
      <c r="W44" s="2382"/>
      <c r="X44" s="2382"/>
      <c r="Y44" s="2382"/>
      <c r="Z44" s="2382"/>
      <c r="AA44" s="2382"/>
      <c r="AB44" s="2383"/>
      <c r="AC44" s="2384"/>
      <c r="AD44" s="2385"/>
      <c r="AE44" s="2385"/>
      <c r="AF44" s="2385"/>
      <c r="AG44" s="2385"/>
      <c r="AH44" s="2385"/>
      <c r="AI44" s="2385"/>
      <c r="AJ44" s="2386"/>
      <c r="AK44" s="1394" t="s">
        <v>565</v>
      </c>
      <c r="AM44" s="630"/>
      <c r="AN44" s="630" t="str">
        <f>IF(T44="","",T44)</f>
        <v>Наименование признака дифференциации</v>
      </c>
      <c r="AO44" s="630"/>
      <c r="AP44" s="630"/>
    </row>
    <row customHeight="1" ht="23.25">
      <c r="A45" s="1500" t="s">
        <v>349</v>
      </c>
      <c r="B45" s="1500" t="s">
        <v>350</v>
      </c>
      <c r="C45" s="1500" t="s">
        <v>351</v>
      </c>
      <c r="D45" s="1500" t="s">
        <v>602</v>
      </c>
      <c r="E45" s="2298"/>
      <c r="F45" s="2298"/>
      <c r="G45" s="2298"/>
      <c r="H45" s="2298"/>
      <c r="I45" s="2325"/>
      <c r="J45" s="2295" t="str">
        <f>I44&amp;".1"</f>
        <v>...1.1</v>
      </c>
      <c r="K45" s="1500"/>
      <c r="L45" s="1501" t="s">
        <v>486</v>
      </c>
      <c r="P45" s="2296"/>
      <c r="Q45" s="2296">
        <v>1</v>
      </c>
      <c r="R45" s="487"/>
      <c r="S45" s="1630" t="str">
        <f>$J45</f>
        <v>...1.1</v>
      </c>
      <c r="T45" s="416" t="s">
        <v>487</v>
      </c>
      <c r="U45" s="430"/>
      <c r="V45" s="2284"/>
      <c r="W45" s="2285"/>
      <c r="X45" s="2285"/>
      <c r="Y45" s="2285"/>
      <c r="Z45" s="2285"/>
      <c r="AA45" s="2285"/>
      <c r="AB45" s="2286"/>
      <c r="AC45" s="2284"/>
      <c r="AD45" s="2285"/>
      <c r="AE45" s="2285"/>
      <c r="AF45" s="2285"/>
      <c r="AG45" s="2285"/>
      <c r="AH45" s="2285"/>
      <c r="AI45" s="2285"/>
      <c r="AJ45" s="2286"/>
      <c r="AK45" s="1444" t="s">
        <v>566</v>
      </c>
      <c r="AM45" s="630"/>
      <c r="AN45" s="630" t="str">
        <f>IF(T45="","",T45)</f>
        <v>Группа потребителей</v>
      </c>
      <c r="AO45" s="630"/>
      <c r="AP45" s="630"/>
    </row>
    <row customHeight="1" ht="23.25">
      <c r="A46" s="1500" t="s">
        <v>349</v>
      </c>
      <c r="B46" s="1500" t="s">
        <v>350</v>
      </c>
      <c r="C46" s="1500" t="s">
        <v>351</v>
      </c>
      <c r="D46" s="1500" t="s">
        <v>602</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349</v>
      </c>
      <c r="B47" s="1500" t="s">
        <v>350</v>
      </c>
      <c r="C47" s="1500" t="s">
        <v>351</v>
      </c>
      <c r="D47" s="1500" t="s">
        <v>602</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349</v>
      </c>
      <c r="B48" s="1500" t="s">
        <v>350</v>
      </c>
      <c r="C48" s="1500" t="s">
        <v>351</v>
      </c>
      <c r="D48" s="1500" t="s">
        <v>602</v>
      </c>
      <c r="E48" s="2298"/>
      <c r="F48" s="2298"/>
      <c r="G48" s="2298"/>
      <c r="H48" s="2298"/>
      <c r="I48" s="2325"/>
      <c r="J48" s="2295"/>
      <c r="K48" s="1500"/>
      <c r="L48" s="1501"/>
      <c r="P48" s="2296"/>
      <c r="Q48" s="2296"/>
      <c r="R48" s="486"/>
      <c r="S48" s="1415"/>
      <c r="T48" s="417" t="s">
        <v>567</v>
      </c>
      <c r="U48" s="497"/>
      <c r="V48" s="497"/>
      <c r="W48" s="497"/>
      <c r="X48" s="497"/>
      <c r="Y48" s="497"/>
      <c r="Z48" s="497"/>
      <c r="AA48" s="497"/>
      <c r="AB48" s="497"/>
      <c r="AC48" s="497"/>
      <c r="AD48" s="497"/>
      <c r="AE48" s="497"/>
      <c r="AF48" s="497"/>
      <c r="AG48" s="497"/>
      <c r="AH48" s="497"/>
      <c r="AI48" s="497"/>
      <c r="AJ48" s="497"/>
      <c r="AK48" s="1394" t="s">
        <v>568</v>
      </c>
      <c r="AM48" s="630"/>
      <c r="AN48" s="630" t="str">
        <f>IF(T48="","",T48)</f>
        <v>Добавить значение признака дифференциации</v>
      </c>
      <c r="AO48" s="630"/>
      <c r="AP48" s="630"/>
    </row>
    <row customHeight="1" ht="21">
      <c r="A49" s="1500" t="s">
        <v>349</v>
      </c>
      <c r="B49" s="1500" t="s">
        <v>350</v>
      </c>
      <c r="C49" s="1500" t="s">
        <v>351</v>
      </c>
      <c r="D49" s="1500" t="s">
        <v>602</v>
      </c>
      <c r="E49" s="2298"/>
      <c r="F49" s="2298"/>
      <c r="G49" s="2298"/>
      <c r="H49" s="2298"/>
      <c r="I49" s="2295"/>
      <c r="J49" s="1500"/>
      <c r="K49" s="1500"/>
      <c r="L49" s="1501"/>
      <c r="P49" s="2296"/>
      <c r="Q49" s="1618"/>
      <c r="R49" s="486"/>
      <c r="S49" s="1415"/>
      <c r="T49" s="495" t="s">
        <v>492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349</v>
      </c>
      <c r="B50" s="1500" t="s">
        <v>350</v>
      </c>
      <c r="C50" s="1500" t="s">
        <v>351</v>
      </c>
      <c r="D50" s="1500" t="s">
        <v>602</v>
      </c>
      <c r="E50" s="2298"/>
      <c r="F50" s="2298"/>
      <c r="G50" s="2298"/>
      <c r="H50" s="2297"/>
      <c r="I50" s="1500"/>
      <c r="J50" s="1500"/>
      <c r="K50" s="1500"/>
      <c r="L50" s="1501"/>
      <c r="M50" s="1502"/>
      <c r="N50" s="1502"/>
      <c r="O50" s="667"/>
      <c r="P50" s="490"/>
      <c r="Q50" s="505"/>
      <c r="R50" s="485"/>
      <c r="S50" s="1415"/>
      <c r="T50" s="502" t="s">
        <v>569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630" customFormat="1" customHeight="1" ht="0">
      <c r="A51" s="1480" t="s">
        <v>349</v>
      </c>
      <c r="B51" s="1480" t="s">
        <v>350</v>
      </c>
      <c r="C51" s="1451"/>
      <c r="D51" s="1451"/>
      <c r="E51" s="2298"/>
      <c r="F51" s="2297"/>
      <c r="G51" s="1451"/>
      <c r="H51" s="1451"/>
      <c r="I51" s="1451"/>
      <c r="J51" s="1451"/>
      <c r="K51" s="1451"/>
      <c r="L51" s="1631"/>
      <c r="M51" s="1458"/>
      <c r="N51" s="1458"/>
      <c r="P51" s="1453"/>
      <c r="Q51" s="1454"/>
      <c r="R51" s="1453"/>
      <c r="S51" s="1459"/>
      <c r="T51" s="1462" t="s">
        <v>495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721" customFormat="1" customHeight="1" ht="0">
      <c r="A52" s="1480" t="s">
        <v>349</v>
      </c>
      <c r="B52" s="1480"/>
      <c r="C52" s="1480"/>
      <c r="D52" s="1480"/>
      <c r="E52" s="2297"/>
      <c r="F52" s="1480"/>
      <c r="G52" s="1480"/>
      <c r="H52" s="1480"/>
      <c r="I52" s="1480"/>
      <c r="J52" s="1480"/>
      <c r="K52" s="1480"/>
      <c r="L52" s="1483"/>
      <c r="M52" s="1458"/>
      <c r="N52" s="1458"/>
      <c r="O52" s="648"/>
      <c r="P52" s="510"/>
      <c r="Q52" s="1481"/>
      <c r="R52" s="510"/>
      <c r="S52" s="1459"/>
      <c r="T52" s="1462" t="s">
        <v>496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630"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528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1D174-B7C7-3AE2-4A7C-035CF42A38C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649" width="11.57421875" hidden="1" customWidth="1"/>
    <col min="2" max="2" style="11649" width="11.00390625" hidden="1" customWidth="1"/>
    <col min="3" max="3" style="11649" width="10.57421875" hidden="1"/>
    <col min="4" max="4" style="11649" width="12.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1" style="11649" width="11.421875" hidden="1" customWidth="1"/>
    <col min="12" max="12" style="11999" width="19.140625" hidden="1" customWidth="1"/>
    <col min="13" max="14" style="11730" width="12.28125" hidden="1" customWidth="1"/>
    <col min="15" max="15" style="11730" width="23.421875" hidden="1" customWidth="1"/>
    <col min="16" max="16" style="11730" width="3.7109375" hidden="1" customWidth="1"/>
    <col min="17" max="17" style="11902" width="3.7109375" hidden="1" customWidth="1"/>
    <col min="18" max="18" style="11732" width="3.7109375" customWidth="1"/>
    <col min="19" max="19" style="11733" width="12.7109375" customWidth="1"/>
    <col min="20" max="20" style="11734" width="32.00390625" customWidth="1"/>
    <col min="21" max="21" style="11734" width="0.140625" customWidth="1"/>
    <col min="22" max="25" style="11734" width="21.7109375" hidden="1" customWidth="1"/>
    <col min="26" max="26" style="11734" width="11.7109375" hidden="1" customWidth="1"/>
    <col min="27" max="27" style="11734" width="3.7109375" hidden="1" customWidth="1"/>
    <col min="28" max="28" style="11734" width="11.7109375" hidden="1" customWidth="1"/>
    <col min="29" max="29" style="11734" width="8.57421875" hidden="1" customWidth="1"/>
    <col min="30" max="32" style="11734" width="3.7109375" customWidth="1"/>
    <col min="33" max="33" style="11734" width="24.7109375" customWidth="1"/>
    <col min="34" max="36" style="11734" width="3.7109375" customWidth="1"/>
    <col min="37" max="37" style="11734" width="24.7109375" customWidth="1"/>
    <col min="38" max="40" style="11734" width="3.7109375" customWidth="1"/>
    <col min="41" max="41" style="11734" width="18.8515625" customWidth="1"/>
    <col min="42" max="44" style="11734" width="3.7109375" customWidth="1"/>
    <col min="45" max="45" style="11734" width="18.8515625" customWidth="1"/>
    <col min="46" max="49" style="11734" width="21.7109375" customWidth="1"/>
    <col min="50" max="50" style="11734" width="11.7109375" customWidth="1"/>
    <col min="51" max="51" style="11734" width="3.7109375" customWidth="1"/>
    <col min="52" max="52" style="11734" width="11.7109375" customWidth="1"/>
    <col min="53" max="53" style="11734" width="8.57421875" hidden="1" customWidth="1"/>
    <col min="54" max="54" style="11734" width="4.7109375" customWidth="1"/>
    <col min="55" max="55" style="11734" width="115.7109375" customWidth="1"/>
    <col min="56" max="57" style="11721" width="10.57421875"/>
    <col min="58" max="58" style="11721" width="11.140625" customWidth="1"/>
    <col min="59" max="60" style="11721"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204</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477</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478</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597</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598</v>
      </c>
      <c r="BE4" s="630"/>
      <c r="BF4" s="630" t="str">
        <f>IF(T4="","",T4)</f>
        <v>Наименование централизованной системы водоотведения</v>
      </c>
      <c r="BG4" s="630"/>
      <c r="BH4" s="630"/>
    </row>
    <row s="11721"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482</v>
      </c>
      <c r="BE5" s="630"/>
      <c r="BF5" s="630" t="str">
        <f>IF(T5="","",T5)</f>
        <v/>
      </c>
      <c r="BG5" s="630"/>
      <c r="BH5" s="630"/>
    </row>
    <row s="11721" customFormat="1" customHeight="1" ht="14.25" hidden="1">
      <c r="A6" s="1480"/>
      <c r="B6" s="1480"/>
      <c r="C6" s="1480"/>
      <c r="D6" s="1480"/>
      <c r="E6" s="2298"/>
      <c r="F6" s="2298"/>
      <c r="G6" s="2298"/>
      <c r="H6" s="2298"/>
      <c r="I6" s="2295" t="str">
        <f>S5&amp;".1"</f>
        <v>.1</v>
      </c>
      <c r="J6" s="1480"/>
      <c r="K6" s="1480"/>
      <c r="L6" s="1483" t="s">
        <v>483</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721"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64</v>
      </c>
      <c r="AB8" s="1871"/>
      <c r="AC8" s="1606" t="s">
        <v>64</v>
      </c>
      <c r="AD8" s="2223" t="s">
        <v>64</v>
      </c>
      <c r="AE8" s="2358"/>
      <c r="AF8" s="2243">
        <v>1</v>
      </c>
      <c r="AG8" s="2394"/>
      <c r="AH8" s="2147" t="s">
        <v>64</v>
      </c>
      <c r="AI8" s="2358"/>
      <c r="AJ8" s="2243">
        <v>1</v>
      </c>
      <c r="AK8" s="2393" t="s">
        <v>18</v>
      </c>
      <c r="AL8" s="2147" t="s">
        <v>64</v>
      </c>
      <c r="AM8" s="2230"/>
      <c r="AN8" s="2243">
        <v>1</v>
      </c>
      <c r="AO8" s="2387"/>
      <c r="AP8" s="2388" t="s">
        <v>64</v>
      </c>
      <c r="AQ8" s="441"/>
      <c r="AR8" s="1623">
        <v>1</v>
      </c>
      <c r="AS8" s="1629" t="s">
        <v>18</v>
      </c>
      <c r="AT8" s="881"/>
      <c r="AU8" s="1393"/>
      <c r="AV8" s="881"/>
      <c r="AW8" s="1393"/>
      <c r="AX8" s="1871"/>
      <c r="AY8" s="1606" t="s">
        <v>64</v>
      </c>
      <c r="AZ8" s="1871"/>
      <c r="BA8" s="1606" t="s">
        <v>64</v>
      </c>
      <c r="BB8" s="1485"/>
      <c r="BC8" s="2292" t="s">
        <v>582</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583</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603</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604</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586</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548</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721"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721"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630"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630"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495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721"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496</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54</v>
      </c>
      <c r="AE20" s="1638"/>
      <c r="AF20" s="678">
        <v>1</v>
      </c>
      <c r="AG20" s="1639"/>
      <c r="AH20" s="1461" t="s">
        <v>54</v>
      </c>
      <c r="AI20" s="1638"/>
      <c r="AJ20" s="678">
        <v>1</v>
      </c>
      <c r="AK20" s="1639"/>
      <c r="AL20" s="1461" t="s">
        <v>54</v>
      </c>
      <c r="AM20" s="1640"/>
      <c r="AN20" s="678">
        <v>1</v>
      </c>
      <c r="AO20" s="1641"/>
      <c r="AP20" s="1461" t="s">
        <v>54</v>
      </c>
      <c r="AQ20" s="1640"/>
      <c r="AR20" s="678">
        <v>1</v>
      </c>
      <c r="AS20" s="1641"/>
      <c r="AT20" s="455"/>
      <c r="AU20" s="514"/>
      <c r="AV20" s="455"/>
      <c r="AW20" s="514"/>
      <c r="AX20" s="1873"/>
      <c r="AY20" s="1622" t="s">
        <v>64</v>
      </c>
      <c r="AZ20" s="1873"/>
      <c r="BA20" s="1622" t="s">
        <v>64</v>
      </c>
    </row>
    <row customHeight="1" ht="14.25" hidden="1">
      <c r="BD21" s="626"/>
      <c r="BE21" s="626"/>
      <c r="BF21" s="626"/>
      <c r="BG21" s="626"/>
      <c r="BH21" s="626"/>
    </row>
    <row customHeight="1" ht="14.25" hidden="1">
      <c r="O22" s="1504" t="s">
        <v>497</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876" customFormat="1" customHeight="1" ht="14.25" hidden="1">
      <c r="M24" s="1645"/>
      <c r="N24" s="1645"/>
      <c r="O24" s="1646" t="s">
        <v>498</v>
      </c>
      <c r="P24" s="1645"/>
      <c r="Q24" s="1647"/>
      <c r="R24" s="1647"/>
      <c r="AA24" s="1644" t="s">
        <v>500</v>
      </c>
      <c r="AC24" s="1644" t="s">
        <v>501</v>
      </c>
      <c r="AD24" s="1644" t="s">
        <v>549</v>
      </c>
      <c r="AH24" s="1644" t="s">
        <v>549</v>
      </c>
      <c r="AK24" s="1644" t="s">
        <v>587</v>
      </c>
      <c r="AL24" s="1644" t="s">
        <v>549</v>
      </c>
      <c r="AP24" s="1644" t="s">
        <v>549</v>
      </c>
      <c r="AY24" s="1644" t="s">
        <v>500</v>
      </c>
      <c r="BA24" s="1644" t="s">
        <v>501</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662"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66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503</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66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504</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662"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662"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503</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662"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504</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662"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507</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507</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378</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379</v>
      </c>
    </row>
    <row customHeight="1" ht="14.25">
      <c r="Q41" s="421"/>
      <c r="R41" s="506"/>
      <c r="S41" s="2312" t="s">
        <v>85</v>
      </c>
      <c r="T41" s="2248" t="s">
        <v>588</v>
      </c>
      <c r="U41" s="431"/>
      <c r="V41" s="2313" t="s">
        <v>509</v>
      </c>
      <c r="W41" s="2314"/>
      <c r="X41" s="2314"/>
      <c r="Y41" s="2314"/>
      <c r="Z41" s="2314"/>
      <c r="AA41" s="2314"/>
      <c r="AB41" s="2315"/>
      <c r="AC41" s="2316" t="s">
        <v>510</v>
      </c>
      <c r="AD41" s="2360" t="s">
        <v>605</v>
      </c>
      <c r="AE41" s="2328"/>
      <c r="AF41" s="2328"/>
      <c r="AG41" s="2361"/>
      <c r="AH41" s="2360" t="s">
        <v>606</v>
      </c>
      <c r="AI41" s="2328"/>
      <c r="AJ41" s="2328"/>
      <c r="AK41" s="2361"/>
      <c r="AL41" s="2360" t="s">
        <v>607</v>
      </c>
      <c r="AM41" s="2328"/>
      <c r="AN41" s="2328"/>
      <c r="AO41" s="2361"/>
      <c r="AP41" s="2360" t="s">
        <v>592</v>
      </c>
      <c r="AQ41" s="2328"/>
      <c r="AR41" s="2328"/>
      <c r="AS41" s="2361"/>
      <c r="AT41" s="2313" t="s">
        <v>509</v>
      </c>
      <c r="AU41" s="2314"/>
      <c r="AV41" s="2314"/>
      <c r="AW41" s="2314"/>
      <c r="AX41" s="2314"/>
      <c r="AY41" s="2314"/>
      <c r="AZ41" s="2315"/>
      <c r="BA41" s="2316" t="s">
        <v>510</v>
      </c>
      <c r="BB41" s="2319" t="s">
        <v>512</v>
      </c>
      <c r="BC41" s="2167"/>
    </row>
    <row customHeight="1" ht="33.75">
      <c r="Q42" s="421"/>
      <c r="R42" s="506"/>
      <c r="S42" s="2312"/>
      <c r="T42" s="2248"/>
      <c r="U42" s="1162"/>
      <c r="V42" s="2230" t="s">
        <v>593</v>
      </c>
      <c r="W42" s="2231"/>
      <c r="X42" s="2230" t="s">
        <v>594</v>
      </c>
      <c r="Y42" s="2231"/>
      <c r="Z42" s="2331" t="s">
        <v>595</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608</v>
      </c>
      <c r="AU42" s="2231"/>
      <c r="AV42" s="2230" t="s">
        <v>609</v>
      </c>
      <c r="AW42" s="2231"/>
      <c r="AX42" s="2331" t="s">
        <v>595</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216</v>
      </c>
      <c r="C44" s="1507" t="s">
        <v>217</v>
      </c>
      <c r="D44" s="1507" t="s">
        <v>218</v>
      </c>
      <c r="E44" s="1501" t="s">
        <v>517</v>
      </c>
      <c r="F44" s="1501" t="s">
        <v>518</v>
      </c>
      <c r="G44" s="1501" t="s">
        <v>519</v>
      </c>
      <c r="H44" s="1501" t="s">
        <v>520</v>
      </c>
      <c r="I44" s="1501" t="s">
        <v>521</v>
      </c>
      <c r="J44" s="1501" t="s">
        <v>522</v>
      </c>
      <c r="K44" s="1501" t="s">
        <v>523</v>
      </c>
      <c r="L44" s="1501" t="s">
        <v>498</v>
      </c>
      <c r="Q44" s="421"/>
      <c r="R44" s="506"/>
      <c r="S44" s="2312"/>
      <c r="T44" s="2248"/>
      <c r="U44" s="432"/>
      <c r="V44" s="1616" t="s">
        <v>559</v>
      </c>
      <c r="W44" s="1616" t="s">
        <v>560</v>
      </c>
      <c r="X44" s="1616" t="s">
        <v>559</v>
      </c>
      <c r="Y44" s="1616" t="s">
        <v>560</v>
      </c>
      <c r="Z44" s="1626" t="s">
        <v>526</v>
      </c>
      <c r="AA44" s="2309" t="s">
        <v>527</v>
      </c>
      <c r="AB44" s="2310"/>
      <c r="AC44" s="2318"/>
      <c r="AD44" s="2365"/>
      <c r="AE44" s="2366"/>
      <c r="AF44" s="2366"/>
      <c r="AG44" s="2367"/>
      <c r="AH44" s="2365"/>
      <c r="AI44" s="2366"/>
      <c r="AJ44" s="2366"/>
      <c r="AK44" s="2367"/>
      <c r="AL44" s="2365"/>
      <c r="AM44" s="2366"/>
      <c r="AN44" s="2366"/>
      <c r="AO44" s="2367"/>
      <c r="AP44" s="2365"/>
      <c r="AQ44" s="2366"/>
      <c r="AR44" s="2366"/>
      <c r="AS44" s="2367"/>
      <c r="AT44" s="1616" t="s">
        <v>559</v>
      </c>
      <c r="AU44" s="1616" t="s">
        <v>560</v>
      </c>
      <c r="AV44" s="1616" t="s">
        <v>559</v>
      </c>
      <c r="AW44" s="1616" t="s">
        <v>560</v>
      </c>
      <c r="AX44" s="1626" t="s">
        <v>526</v>
      </c>
      <c r="AY44" s="2309" t="s">
        <v>527</v>
      </c>
      <c r="AZ44" s="2310"/>
      <c r="BA44" s="2318"/>
      <c r="BB44" s="2321"/>
      <c r="BC44" s="2167"/>
    </row>
    <row s="11482"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165</v>
      </c>
      <c r="T45" s="1391" t="s">
        <v>100</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354</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204</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354</v>
      </c>
      <c r="B47" s="1500" t="s">
        <v>355</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477</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478</v>
      </c>
      <c r="BE47" s="630"/>
      <c r="BF47" s="630" t="str">
        <f>IF(T47="","",T47)</f>
        <v>Территория действия тарифа</v>
      </c>
      <c r="BG47" s="630"/>
      <c r="BH47" s="630"/>
    </row>
    <row customHeight="1" ht="33.75">
      <c r="A48" s="1500" t="s">
        <v>354</v>
      </c>
      <c r="B48" s="1500" t="s">
        <v>355</v>
      </c>
      <c r="C48" s="1500" t="s">
        <v>356</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597</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598</v>
      </c>
      <c r="BE48" s="630"/>
      <c r="BF48" s="630" t="str">
        <f>IF(T48="","",T48)</f>
        <v>Наименование централизованной системы водоотведения</v>
      </c>
      <c r="BG48" s="630"/>
      <c r="BH48" s="630"/>
    </row>
    <row s="11721" customFormat="1" customHeight="1" ht="0">
      <c r="A49" s="1480" t="s">
        <v>354</v>
      </c>
      <c r="B49" s="1480" t="s">
        <v>355</v>
      </c>
      <c r="C49" s="1480" t="s">
        <v>356</v>
      </c>
      <c r="D49" s="1480" t="s">
        <v>610</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482</v>
      </c>
      <c r="BE49" s="630"/>
      <c r="BF49" s="630" t="str">
        <f>IF(T49="","",T49)</f>
        <v/>
      </c>
      <c r="BG49" s="630"/>
      <c r="BH49" s="630"/>
    </row>
    <row s="11721" customFormat="1" customHeight="1" ht="0">
      <c r="A50" s="1480" t="s">
        <v>354</v>
      </c>
      <c r="B50" s="1480" t="s">
        <v>355</v>
      </c>
      <c r="C50" s="1480" t="s">
        <v>356</v>
      </c>
      <c r="D50" s="1480" t="s">
        <v>610</v>
      </c>
      <c r="E50" s="2298"/>
      <c r="F50" s="2298"/>
      <c r="G50" s="2298"/>
      <c r="H50" s="2298"/>
      <c r="I50" s="2295" t="str">
        <f>S49&amp;".1"</f>
        <v>.1</v>
      </c>
      <c r="J50" s="1480"/>
      <c r="K50" s="1480"/>
      <c r="L50" s="1483" t="s">
        <v>483</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721" customFormat="1" customHeight="1" ht="0">
      <c r="A51" s="1480" t="s">
        <v>354</v>
      </c>
      <c r="B51" s="1480" t="s">
        <v>355</v>
      </c>
      <c r="C51" s="1480" t="s">
        <v>356</v>
      </c>
      <c r="D51" s="1480" t="s">
        <v>610</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354</v>
      </c>
      <c r="B52" s="1500" t="s">
        <v>355</v>
      </c>
      <c r="C52" s="1500" t="s">
        <v>356</v>
      </c>
      <c r="D52" s="1500" t="s">
        <v>610</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64</v>
      </c>
      <c r="AB52" s="1871"/>
      <c r="AC52" s="1606" t="s">
        <v>64</v>
      </c>
      <c r="AD52" s="2223" t="s">
        <v>64</v>
      </c>
      <c r="AE52" s="2358"/>
      <c r="AF52" s="2243">
        <v>1</v>
      </c>
      <c r="AG52" s="2394"/>
      <c r="AH52" s="2147" t="s">
        <v>64</v>
      </c>
      <c r="AI52" s="2358"/>
      <c r="AJ52" s="2243">
        <v>1</v>
      </c>
      <c r="AK52" s="2393" t="s">
        <v>18</v>
      </c>
      <c r="AL52" s="2147" t="s">
        <v>64</v>
      </c>
      <c r="AM52" s="2230"/>
      <c r="AN52" s="2243">
        <v>1</v>
      </c>
      <c r="AO52" s="2387"/>
      <c r="AP52" s="2388" t="s">
        <v>64</v>
      </c>
      <c r="AQ52" s="441"/>
      <c r="AR52" s="1623">
        <v>1</v>
      </c>
      <c r="AS52" s="1629" t="s">
        <v>18</v>
      </c>
      <c r="AT52" s="881"/>
      <c r="AU52" s="1393"/>
      <c r="AV52" s="881"/>
      <c r="AW52" s="1393"/>
      <c r="AX52" s="1871"/>
      <c r="AY52" s="1606" t="s">
        <v>64</v>
      </c>
      <c r="AZ52" s="1871"/>
      <c r="BA52" s="1606" t="s">
        <v>64</v>
      </c>
      <c r="BB52" s="1485"/>
      <c r="BC52" s="2292" t="s">
        <v>582</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583</v>
      </c>
      <c r="AT53" s="1530"/>
      <c r="AU53" s="1633"/>
      <c r="AV53" s="1530"/>
      <c r="AW53" s="1633"/>
      <c r="AX53" s="1530"/>
      <c r="AY53" s="1530"/>
      <c r="AZ53" s="1530"/>
      <c r="BA53" s="1530"/>
      <c r="BB53" s="1534"/>
      <c r="BC53" s="2293"/>
      <c r="BE53" s="630"/>
      <c r="BF53" s="630"/>
      <c r="BG53" s="630"/>
      <c r="BH53" s="630"/>
    </row>
    <row customHeight="1" ht="11.25">
      <c r="A54" s="1500" t="s">
        <v>354</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603</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354</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604</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354</v>
      </c>
      <c r="B56" s="1500" t="s">
        <v>355</v>
      </c>
      <c r="C56" s="1500" t="s">
        <v>356</v>
      </c>
      <c r="D56" s="1500" t="s">
        <v>610</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586</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354</v>
      </c>
      <c r="B57" s="1500" t="s">
        <v>355</v>
      </c>
      <c r="C57" s="1500" t="s">
        <v>356</v>
      </c>
      <c r="D57" s="1500" t="s">
        <v>610</v>
      </c>
      <c r="E57" s="2298"/>
      <c r="F57" s="2298"/>
      <c r="G57" s="2298"/>
      <c r="H57" s="2298"/>
      <c r="I57" s="2325"/>
      <c r="J57" s="2295"/>
      <c r="K57" s="1500"/>
      <c r="L57" s="1501"/>
      <c r="P57" s="2296"/>
      <c r="Q57" s="2296"/>
      <c r="R57" s="486"/>
      <c r="S57" s="1415"/>
      <c r="T57" s="417" t="s">
        <v>548</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721" customFormat="1" customHeight="1" ht="0">
      <c r="A58" s="1480" t="s">
        <v>354</v>
      </c>
      <c r="B58" s="1480" t="s">
        <v>355</v>
      </c>
      <c r="C58" s="1480" t="s">
        <v>356</v>
      </c>
      <c r="D58" s="1480" t="s">
        <v>610</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721" customFormat="1" customHeight="1" ht="0">
      <c r="A59" s="1480" t="s">
        <v>354</v>
      </c>
      <c r="B59" s="1480" t="s">
        <v>355</v>
      </c>
      <c r="C59" s="1480" t="s">
        <v>356</v>
      </c>
      <c r="D59" s="1480" t="s">
        <v>610</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630" customFormat="1" customHeight="1" ht="0">
      <c r="A60" s="1480" t="s">
        <v>354</v>
      </c>
      <c r="B60" s="1480" t="s">
        <v>355</v>
      </c>
      <c r="C60" s="1480" t="s">
        <v>356</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630" customFormat="1" customHeight="1" ht="0">
      <c r="A61" s="1480" t="s">
        <v>354</v>
      </c>
      <c r="B61" s="1480" t="s">
        <v>355</v>
      </c>
      <c r="C61" s="1451"/>
      <c r="D61" s="1451"/>
      <c r="E61" s="2298"/>
      <c r="F61" s="2297"/>
      <c r="G61" s="1451"/>
      <c r="H61" s="1451"/>
      <c r="I61" s="1451"/>
      <c r="J61" s="1451"/>
      <c r="K61" s="1451"/>
      <c r="L61" s="1631"/>
      <c r="M61" s="1458"/>
      <c r="N61" s="1458"/>
      <c r="P61" s="1453"/>
      <c r="Q61" s="1454"/>
      <c r="R61" s="1453"/>
      <c r="S61" s="1459"/>
      <c r="T61" s="1462" t="s">
        <v>495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721" customFormat="1" customHeight="1" ht="0">
      <c r="A62" s="1480" t="s">
        <v>354</v>
      </c>
      <c r="B62" s="1480"/>
      <c r="C62" s="1480"/>
      <c r="D62" s="1480"/>
      <c r="E62" s="2297"/>
      <c r="F62" s="1480"/>
      <c r="G62" s="1480"/>
      <c r="H62" s="1480"/>
      <c r="I62" s="1480"/>
      <c r="J62" s="1480"/>
      <c r="K62" s="1480"/>
      <c r="L62" s="1483"/>
      <c r="M62" s="1458"/>
      <c r="N62" s="1458"/>
      <c r="O62" s="648"/>
      <c r="P62" s="510"/>
      <c r="Q62" s="1481"/>
      <c r="R62" s="510"/>
      <c r="S62" s="1459"/>
      <c r="T62" s="1462" t="s">
        <v>496</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630"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528</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19FC9-DBCA-7AC8-975C-2FBBDD14D9B6}"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4.140625" hidden="1" customWidth="1"/>
    <col min="10" max="10" style="11649" width="9.8515625" hidden="1" customWidth="1"/>
    <col min="11" max="11" style="11649" width="14.7109375" hidden="1" customWidth="1"/>
    <col min="12" max="12" style="11999" width="19.140625" hidden="1" customWidth="1"/>
    <col min="13" max="14" style="11730" width="12.28125" hidden="1" customWidth="1"/>
    <col min="15" max="15" style="11730" width="23.421875" hidden="1" customWidth="1"/>
    <col min="16" max="16" style="12000" width="3.7109375" customWidth="1"/>
    <col min="17" max="18" style="11732" width="3.7109375" customWidth="1"/>
    <col min="19" max="19" style="11733" width="12.7109375" customWidth="1"/>
    <col min="20" max="20" style="11734" width="35.7109375" customWidth="1"/>
    <col min="21" max="21" style="11734" width="0.140625" customWidth="1"/>
    <col min="22" max="22" style="11734" width="22.7109375" hidden="1" customWidth="1"/>
    <col min="23" max="29" style="11775" width="22.7109375" hidden="1" customWidth="1"/>
    <col min="30" max="30" style="11734" width="11.7109375" hidden="1" customWidth="1"/>
    <col min="31" max="31" style="11734" width="3.7109375" hidden="1" customWidth="1"/>
    <col min="32" max="32" style="11734" width="11.7109375" hidden="1" customWidth="1"/>
    <col min="33" max="33" style="11734" width="8.57421875" hidden="1" customWidth="1"/>
    <col min="34" max="34" style="11734" width="22.7109375" customWidth="1"/>
    <col min="35" max="40" style="11775" width="22.7109375" customWidth="1"/>
    <col min="41" max="41" style="11734" width="22.7109375" customWidth="1"/>
    <col min="42" max="42" style="11734" width="11.7109375" customWidth="1"/>
    <col min="43" max="43" style="11734" width="3.7109375" customWidth="1"/>
    <col min="44" max="44" style="11734" width="11.7109375" customWidth="1"/>
    <col min="45" max="45" style="11734" width="8.57421875" customWidth="1"/>
    <col min="46" max="46" style="11734" width="4.7109375" customWidth="1"/>
    <col min="47" max="47" style="11734" width="115.7109375" customWidth="1"/>
    <col min="48" max="49" style="11721" width="10.57421875"/>
    <col min="50" max="50" style="11721" width="11.140625" customWidth="1"/>
    <col min="51" max="52" style="11721"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204</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477</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478</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611</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612</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564</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565</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486</v>
      </c>
      <c r="P6" s="2296"/>
      <c r="Q6" s="2296">
        <v>1</v>
      </c>
      <c r="R6" s="487"/>
      <c r="S6" s="1630">
        <f>$J6</f>
      </c>
      <c r="T6" s="416" t="s">
        <v>487</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566</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64</v>
      </c>
      <c r="AF7" s="2304"/>
      <c r="AG7" s="2147" t="s">
        <v>64</v>
      </c>
      <c r="AH7" s="881"/>
      <c r="AI7" s="881"/>
      <c r="AJ7" s="881"/>
      <c r="AK7" s="881"/>
      <c r="AL7" s="881"/>
      <c r="AM7" s="881"/>
      <c r="AN7" s="881"/>
      <c r="AO7" s="881"/>
      <c r="AP7" s="2304"/>
      <c r="AQ7" s="2147" t="s">
        <v>64</v>
      </c>
      <c r="AR7" s="2326"/>
      <c r="AS7" s="2147" t="s">
        <v>64</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567</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568</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492</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569</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1630"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495</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72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496</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64</v>
      </c>
      <c r="AR15" s="2306"/>
      <c r="AS15" s="2307" t="s">
        <v>64</v>
      </c>
    </row>
    <row customHeight="1" ht="14.25" hidden="1">
      <c r="AH16" s="1497"/>
      <c r="AI16" s="1497"/>
      <c r="AJ16" s="1497"/>
      <c r="AK16" s="1497"/>
      <c r="AL16" s="1497"/>
      <c r="AM16" s="1497"/>
      <c r="AN16" s="1497"/>
      <c r="AO16" s="1497"/>
      <c r="AP16" s="2307"/>
      <c r="AQ16" s="2307"/>
      <c r="AR16" s="2307"/>
      <c r="AS16" s="2307"/>
    </row>
    <row customHeight="1" ht="14.25" hidden="1">
      <c r="AS17" s="457"/>
    </row>
    <row s="11649" customFormat="1" customHeight="1" ht="22.5" hidden="1">
      <c r="L18" s="1615"/>
      <c r="M18" s="1499"/>
      <c r="N18" s="1499"/>
      <c r="O18" s="1504" t="s">
        <v>497</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649"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649" customFormat="1" customHeight="1" ht="12" hidden="1">
      <c r="L20" s="1615"/>
      <c r="M20" s="1499"/>
      <c r="N20" s="1499"/>
      <c r="O20" s="1501" t="s">
        <v>498</v>
      </c>
      <c r="P20" s="1499"/>
      <c r="Q20" s="1579"/>
      <c r="R20" s="1579"/>
      <c r="S20" s="859"/>
      <c r="T20" s="1292" t="s">
        <v>499</v>
      </c>
      <c r="W20" s="1503"/>
      <c r="X20" s="1503"/>
      <c r="Y20" s="1503"/>
      <c r="Z20" s="1503"/>
      <c r="AA20" s="1503"/>
      <c r="AB20" s="1503"/>
      <c r="AC20" s="1503"/>
      <c r="AE20" s="316" t="s">
        <v>500</v>
      </c>
      <c r="AG20" s="316" t="s">
        <v>501</v>
      </c>
      <c r="AH20" s="1292" t="s">
        <v>499</v>
      </c>
      <c r="AI20" s="1503"/>
      <c r="AJ20" s="1503"/>
      <c r="AK20" s="1503"/>
      <c r="AL20" s="1503"/>
      <c r="AM20" s="1503"/>
      <c r="AN20" s="1503"/>
      <c r="AQ20" s="316" t="s">
        <v>502</v>
      </c>
      <c r="AS20" s="316" t="s">
        <v>501</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66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662" customFormat="1" customHeight="1" ht="18.75" hidden="1">
      <c r="A28" s="1505"/>
      <c r="B28" s="1505"/>
      <c r="C28" s="1505"/>
      <c r="D28" s="1505"/>
      <c r="E28" s="1505"/>
      <c r="F28" s="1505"/>
      <c r="G28" s="1505"/>
      <c r="H28" s="1505"/>
      <c r="I28" s="1505"/>
      <c r="J28" s="1505"/>
      <c r="K28" s="1505"/>
      <c r="L28" s="1506"/>
      <c r="M28" s="1505"/>
      <c r="N28" s="1505"/>
      <c r="O28" s="1505"/>
      <c r="S28" s="2289" t="s">
        <v>503</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662" customFormat="1" customHeight="1" ht="18.75" hidden="1">
      <c r="A29" s="1505"/>
      <c r="B29" s="1505"/>
      <c r="C29" s="1505"/>
      <c r="D29" s="1505"/>
      <c r="E29" s="1505"/>
      <c r="F29" s="1505"/>
      <c r="G29" s="1505"/>
      <c r="H29" s="1505"/>
      <c r="I29" s="1505"/>
      <c r="J29" s="1505"/>
      <c r="K29" s="1505"/>
      <c r="L29" s="1506"/>
      <c r="M29" s="1505"/>
      <c r="N29" s="1505"/>
      <c r="O29" s="1505"/>
      <c r="S29" s="2289" t="s">
        <v>504</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66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662" customFormat="1" customHeight="1" ht="18.75" hidden="1">
      <c r="A32" s="1505"/>
      <c r="B32" s="1505"/>
      <c r="C32" s="1505"/>
      <c r="D32" s="1505"/>
      <c r="E32" s="1505"/>
      <c r="F32" s="1505"/>
      <c r="G32" s="1505"/>
      <c r="H32" s="1505"/>
      <c r="I32" s="1505"/>
      <c r="J32" s="1505"/>
      <c r="K32" s="1505"/>
      <c r="L32" s="1506"/>
      <c r="M32" s="1505"/>
      <c r="N32" s="1505"/>
      <c r="O32" s="1505"/>
      <c r="S32" s="2289" t="s">
        <v>505</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662" customFormat="1" customHeight="1" ht="18.75" hidden="1">
      <c r="A33" s="1505"/>
      <c r="B33" s="1505"/>
      <c r="C33" s="1505"/>
      <c r="D33" s="1505"/>
      <c r="E33" s="1505"/>
      <c r="F33" s="1505"/>
      <c r="G33" s="1505"/>
      <c r="H33" s="1505"/>
      <c r="I33" s="1505"/>
      <c r="J33" s="1505"/>
      <c r="K33" s="1505"/>
      <c r="L33" s="1506"/>
      <c r="M33" s="1505"/>
      <c r="N33" s="1505"/>
      <c r="O33" s="1505"/>
      <c r="S33" s="2289" t="s">
        <v>506</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66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507</v>
      </c>
      <c r="AH34" s="456"/>
      <c r="AI34" s="1772"/>
      <c r="AJ34" s="1772"/>
      <c r="AK34" s="1772"/>
      <c r="AL34" s="1772"/>
      <c r="AM34" s="1772"/>
      <c r="AN34" s="1772"/>
      <c r="AO34" s="456"/>
      <c r="AP34" s="456"/>
      <c r="AQ34" s="456"/>
      <c r="AR34" s="456"/>
      <c r="AS34" s="408" t="s">
        <v>507</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378</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379</v>
      </c>
    </row>
    <row customHeight="1" ht="14.25">
      <c r="Q37" s="506"/>
      <c r="R37" s="506"/>
      <c r="S37" s="2312" t="s">
        <v>85</v>
      </c>
      <c r="T37" s="2248" t="s">
        <v>508</v>
      </c>
      <c r="U37" s="431"/>
      <c r="V37" s="2313" t="s">
        <v>509</v>
      </c>
      <c r="W37" s="2328"/>
      <c r="X37" s="2328"/>
      <c r="Y37" s="2328"/>
      <c r="Z37" s="2328"/>
      <c r="AA37" s="2328"/>
      <c r="AB37" s="2328"/>
      <c r="AC37" s="2328"/>
      <c r="AD37" s="2314"/>
      <c r="AE37" s="2314"/>
      <c r="AF37" s="2315"/>
      <c r="AG37" s="2316" t="s">
        <v>510</v>
      </c>
      <c r="AH37" s="2313" t="s">
        <v>509</v>
      </c>
      <c r="AI37" s="2314"/>
      <c r="AJ37" s="2314"/>
      <c r="AK37" s="2314"/>
      <c r="AL37" s="2314"/>
      <c r="AM37" s="2314"/>
      <c r="AN37" s="2314"/>
      <c r="AO37" s="2314"/>
      <c r="AP37" s="2314"/>
      <c r="AQ37" s="2314"/>
      <c r="AR37" s="2315"/>
      <c r="AS37" s="2316" t="s">
        <v>511</v>
      </c>
      <c r="AT37" s="2319" t="s">
        <v>512</v>
      </c>
      <c r="AU37" s="2167"/>
    </row>
    <row customHeight="1" ht="18.75">
      <c r="Q38" s="506"/>
      <c r="R38" s="506"/>
      <c r="S38" s="2312"/>
      <c r="T38" s="2248"/>
      <c r="U38" s="1162"/>
      <c r="V38" s="2301" t="s">
        <v>613</v>
      </c>
      <c r="W38" s="2308"/>
      <c r="X38" s="2302"/>
      <c r="Y38" s="2301" t="s">
        <v>614</v>
      </c>
      <c r="Z38" s="2308"/>
      <c r="AA38" s="2308"/>
      <c r="AB38" s="2308"/>
      <c r="AC38" s="2302"/>
      <c r="AD38" s="2331" t="s">
        <v>516</v>
      </c>
      <c r="AE38" s="2345"/>
      <c r="AF38" s="2346"/>
      <c r="AG38" s="2317"/>
      <c r="AH38" s="2301" t="s">
        <v>613</v>
      </c>
      <c r="AI38" s="2308"/>
      <c r="AJ38" s="2302"/>
      <c r="AK38" s="2301" t="s">
        <v>614</v>
      </c>
      <c r="AL38" s="2308"/>
      <c r="AM38" s="2308"/>
      <c r="AN38" s="2308"/>
      <c r="AO38" s="2302"/>
      <c r="AP38" s="2331" t="s">
        <v>516</v>
      </c>
      <c r="AQ38" s="2345"/>
      <c r="AR38" s="2346"/>
      <c r="AS38" s="2317"/>
      <c r="AT38" s="2320"/>
      <c r="AU38" s="2167"/>
    </row>
    <row s="11775"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615</v>
      </c>
      <c r="W39" s="2301" t="s">
        <v>515</v>
      </c>
      <c r="X39" s="2302"/>
      <c r="Y39" s="2301" t="s">
        <v>570</v>
      </c>
      <c r="Z39" s="2302"/>
      <c r="AA39" s="2301" t="s">
        <v>515</v>
      </c>
      <c r="AB39" s="2308"/>
      <c r="AC39" s="2302"/>
      <c r="AD39" s="2332"/>
      <c r="AE39" s="2347"/>
      <c r="AF39" s="2348"/>
      <c r="AG39" s="2317"/>
      <c r="AH39" s="2299" t="s">
        <v>615</v>
      </c>
      <c r="AI39" s="2301" t="s">
        <v>515</v>
      </c>
      <c r="AJ39" s="2302"/>
      <c r="AK39" s="2301" t="s">
        <v>570</v>
      </c>
      <c r="AL39" s="2302"/>
      <c r="AM39" s="2301" t="s">
        <v>515</v>
      </c>
      <c r="AN39" s="2308"/>
      <c r="AO39" s="2302"/>
      <c r="AP39" s="2332"/>
      <c r="AQ39" s="2347"/>
      <c r="AR39" s="2348"/>
      <c r="AS39" s="2317"/>
      <c r="AT39" s="2320"/>
      <c r="AU39" s="2167"/>
      <c r="AV39" s="1773"/>
      <c r="AW39" s="1773"/>
      <c r="AX39" s="1773"/>
      <c r="AY39" s="1773"/>
      <c r="AZ39" s="1773"/>
    </row>
    <row customHeight="1" ht="86.25">
      <c r="A40" s="1507"/>
      <c r="B40" s="1507" t="s">
        <v>216</v>
      </c>
      <c r="C40" s="1507" t="s">
        <v>217</v>
      </c>
      <c r="D40" s="1507" t="s">
        <v>218</v>
      </c>
      <c r="E40" s="1501" t="s">
        <v>517</v>
      </c>
      <c r="F40" s="1501" t="s">
        <v>518</v>
      </c>
      <c r="G40" s="1501" t="s">
        <v>519</v>
      </c>
      <c r="H40" s="1501"/>
      <c r="I40" s="1501" t="s">
        <v>571</v>
      </c>
      <c r="J40" s="1501" t="s">
        <v>522</v>
      </c>
      <c r="K40" s="1501" t="s">
        <v>572</v>
      </c>
      <c r="L40" s="1501" t="s">
        <v>498</v>
      </c>
      <c r="Q40" s="506"/>
      <c r="R40" s="506"/>
      <c r="S40" s="2312"/>
      <c r="T40" s="2248"/>
      <c r="U40" s="432"/>
      <c r="V40" s="2300"/>
      <c r="W40" s="2102" t="s">
        <v>616</v>
      </c>
      <c r="X40" s="2102" t="s">
        <v>617</v>
      </c>
      <c r="Y40" s="2099" t="s">
        <v>618</v>
      </c>
      <c r="Z40" s="2100" t="s">
        <v>619</v>
      </c>
      <c r="AA40" s="2102" t="s">
        <v>620</v>
      </c>
      <c r="AB40" s="2102" t="s">
        <v>621</v>
      </c>
      <c r="AC40" s="2102" t="s">
        <v>622</v>
      </c>
      <c r="AD40" s="1626" t="s">
        <v>526</v>
      </c>
      <c r="AE40" s="2309" t="s">
        <v>527</v>
      </c>
      <c r="AF40" s="2310"/>
      <c r="AG40" s="2318"/>
      <c r="AH40" s="2300"/>
      <c r="AI40" s="2102" t="s">
        <v>616</v>
      </c>
      <c r="AJ40" s="2102" t="s">
        <v>617</v>
      </c>
      <c r="AK40" s="2099" t="s">
        <v>618</v>
      </c>
      <c r="AL40" s="2100" t="s">
        <v>623</v>
      </c>
      <c r="AM40" s="2102" t="s">
        <v>620</v>
      </c>
      <c r="AN40" s="2102" t="s">
        <v>621</v>
      </c>
      <c r="AO40" s="2102" t="s">
        <v>624</v>
      </c>
      <c r="AP40" s="1626" t="s">
        <v>526</v>
      </c>
      <c r="AQ40" s="2309" t="s">
        <v>527</v>
      </c>
      <c r="AR40" s="2310"/>
      <c r="AS40" s="2318"/>
      <c r="AT40" s="2321"/>
      <c r="AU40" s="2167"/>
    </row>
    <row s="11482"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165</v>
      </c>
      <c r="T41" s="1391" t="s">
        <v>100</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329</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204</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329</v>
      </c>
      <c r="B43" s="1500" t="s">
        <v>330</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477</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478</v>
      </c>
      <c r="AW43" s="630"/>
      <c r="AX43" s="630" t="str">
        <f>IF(T43="","",T43)</f>
        <v>Территория действия тарифа</v>
      </c>
      <c r="AY43" s="630"/>
      <c r="AZ43" s="630"/>
    </row>
    <row customHeight="1" ht="23.25">
      <c r="A44" s="1500" t="s">
        <v>329</v>
      </c>
      <c r="B44" s="1500" t="s">
        <v>330</v>
      </c>
      <c r="C44" s="1500" t="s">
        <v>331</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611</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612</v>
      </c>
      <c r="AW44" s="630"/>
      <c r="AX44" s="630" t="str">
        <f>IF(T44="","",T44)</f>
        <v>Наименование централизованной системы горячего водоснабжения</v>
      </c>
      <c r="AY44" s="630"/>
      <c r="AZ44" s="630"/>
    </row>
    <row customHeight="1" ht="23.25">
      <c r="A45" s="1500" t="s">
        <v>329</v>
      </c>
      <c r="B45" s="1500" t="s">
        <v>330</v>
      </c>
      <c r="C45" s="1500" t="s">
        <v>331</v>
      </c>
      <c r="D45" s="1500" t="s">
        <v>625</v>
      </c>
      <c r="E45" s="2298"/>
      <c r="F45" s="2298"/>
      <c r="G45" s="2298"/>
      <c r="H45" s="2298"/>
      <c r="I45" s="2295" t="str">
        <f>S44&amp;".1"</f>
        <v>...1</v>
      </c>
      <c r="J45" s="1500"/>
      <c r="K45" s="1500"/>
      <c r="L45" s="1501"/>
      <c r="P45" s="2296">
        <v>1</v>
      </c>
      <c r="Q45" s="1618"/>
      <c r="R45" s="486"/>
      <c r="S45" s="1630" t="str">
        <f>$I45</f>
        <v>...1</v>
      </c>
      <c r="T45" s="415" t="s">
        <v>564</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565</v>
      </c>
      <c r="AW45" s="630"/>
      <c r="AX45" s="630" t="str">
        <f>IF(T45="","",T45)</f>
        <v>Наименование признака дифференциации</v>
      </c>
      <c r="AY45" s="630"/>
      <c r="AZ45" s="630"/>
    </row>
    <row customHeight="1" ht="23.25">
      <c r="A46" s="1500" t="s">
        <v>329</v>
      </c>
      <c r="B46" s="1500" t="s">
        <v>330</v>
      </c>
      <c r="C46" s="1500" t="s">
        <v>331</v>
      </c>
      <c r="D46" s="1500" t="s">
        <v>625</v>
      </c>
      <c r="E46" s="2298"/>
      <c r="F46" s="2298"/>
      <c r="G46" s="2298"/>
      <c r="H46" s="2298"/>
      <c r="I46" s="2325"/>
      <c r="J46" s="2295" t="str">
        <f>I45&amp;".1"</f>
        <v>...1.1</v>
      </c>
      <c r="K46" s="1500"/>
      <c r="L46" s="1501" t="s">
        <v>486</v>
      </c>
      <c r="P46" s="2296"/>
      <c r="Q46" s="2296">
        <v>1</v>
      </c>
      <c r="R46" s="487"/>
      <c r="S46" s="1630" t="str">
        <f>$J46</f>
        <v>...1.1</v>
      </c>
      <c r="T46" s="416" t="s">
        <v>487</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566</v>
      </c>
      <c r="AW46" s="630"/>
      <c r="AX46" s="630" t="str">
        <f>IF(T46="","",T46)</f>
        <v>Группа потребителей</v>
      </c>
      <c r="AY46" s="630"/>
      <c r="AZ46" s="630"/>
    </row>
    <row customHeight="1" ht="23.25">
      <c r="A47" s="1500" t="s">
        <v>329</v>
      </c>
      <c r="B47" s="1500" t="s">
        <v>330</v>
      </c>
      <c r="C47" s="1500" t="s">
        <v>331</v>
      </c>
      <c r="D47" s="1500" t="s">
        <v>625</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64</v>
      </c>
      <c r="AF47" s="2306"/>
      <c r="AG47" s="2307" t="s">
        <v>64</v>
      </c>
      <c r="AH47" s="881"/>
      <c r="AI47" s="881"/>
      <c r="AJ47" s="881"/>
      <c r="AK47" s="881"/>
      <c r="AL47" s="881"/>
      <c r="AM47" s="881"/>
      <c r="AN47" s="881"/>
      <c r="AO47" s="881"/>
      <c r="AP47" s="2304"/>
      <c r="AQ47" s="2147" t="s">
        <v>64</v>
      </c>
      <c r="AR47" s="2326"/>
      <c r="AS47" s="2147" t="s">
        <v>54</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329</v>
      </c>
      <c r="B48" s="1500" t="s">
        <v>330</v>
      </c>
      <c r="C48" s="1500" t="s">
        <v>331</v>
      </c>
      <c r="D48" s="1500" t="s">
        <v>625</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329</v>
      </c>
      <c r="B49" s="1500" t="s">
        <v>330</v>
      </c>
      <c r="C49" s="1500" t="s">
        <v>331</v>
      </c>
      <c r="D49" s="1500" t="s">
        <v>625</v>
      </c>
      <c r="E49" s="2298"/>
      <c r="F49" s="2298"/>
      <c r="G49" s="2298"/>
      <c r="H49" s="2298"/>
      <c r="I49" s="2325"/>
      <c r="J49" s="2295"/>
      <c r="K49" s="1500"/>
      <c r="L49" s="1501"/>
      <c r="P49" s="2296"/>
      <c r="Q49" s="2296"/>
      <c r="R49" s="486"/>
      <c r="S49" s="1415"/>
      <c r="T49" s="417" t="s">
        <v>567</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568</v>
      </c>
      <c r="AW49" s="630"/>
      <c r="AX49" s="630" t="str">
        <f>IF(T49="","",T49)</f>
        <v>Добавить значение признака дифференциации</v>
      </c>
      <c r="AY49" s="630"/>
      <c r="AZ49" s="630"/>
    </row>
    <row customHeight="1" ht="21">
      <c r="A50" s="1500" t="s">
        <v>329</v>
      </c>
      <c r="B50" s="1500" t="s">
        <v>330</v>
      </c>
      <c r="C50" s="1500" t="s">
        <v>331</v>
      </c>
      <c r="D50" s="1500" t="s">
        <v>625</v>
      </c>
      <c r="E50" s="2298"/>
      <c r="F50" s="2298"/>
      <c r="G50" s="2298"/>
      <c r="H50" s="2298"/>
      <c r="I50" s="2295"/>
      <c r="J50" s="1500"/>
      <c r="K50" s="1500"/>
      <c r="L50" s="1501"/>
      <c r="P50" s="2296"/>
      <c r="Q50" s="1618"/>
      <c r="R50" s="486"/>
      <c r="S50" s="1415"/>
      <c r="T50" s="495" t="s">
        <v>492</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329</v>
      </c>
      <c r="B51" s="1500" t="s">
        <v>330</v>
      </c>
      <c r="C51" s="1500" t="s">
        <v>331</v>
      </c>
      <c r="D51" s="1500" t="s">
        <v>625</v>
      </c>
      <c r="E51" s="2298"/>
      <c r="F51" s="2298"/>
      <c r="G51" s="2298"/>
      <c r="H51" s="2297"/>
      <c r="I51" s="1500"/>
      <c r="J51" s="1500"/>
      <c r="K51" s="1500"/>
      <c r="L51" s="1501"/>
      <c r="M51" s="1502"/>
      <c r="N51" s="1502"/>
      <c r="O51" s="667"/>
      <c r="P51" s="490"/>
      <c r="Q51" s="505"/>
      <c r="R51" s="485"/>
      <c r="S51" s="1415"/>
      <c r="T51" s="502" t="s">
        <v>569</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1630" customFormat="1" customHeight="1" ht="0">
      <c r="A52" s="1480" t="s">
        <v>329</v>
      </c>
      <c r="B52" s="1480" t="s">
        <v>330</v>
      </c>
      <c r="C52" s="1451"/>
      <c r="D52" s="1451"/>
      <c r="E52" s="2298"/>
      <c r="F52" s="2297"/>
      <c r="G52" s="1451"/>
      <c r="H52" s="1451"/>
      <c r="I52" s="1451"/>
      <c r="J52" s="1451"/>
      <c r="K52" s="1451"/>
      <c r="L52" s="1631"/>
      <c r="M52" s="1458"/>
      <c r="N52" s="1458"/>
      <c r="P52" s="1453"/>
      <c r="Q52" s="1454"/>
      <c r="R52" s="1453"/>
      <c r="S52" s="1459"/>
      <c r="T52" s="1462" t="s">
        <v>495</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721" customFormat="1" customHeight="1" ht="0">
      <c r="A53" s="1480" t="s">
        <v>329</v>
      </c>
      <c r="B53" s="1480"/>
      <c r="C53" s="1480"/>
      <c r="D53" s="1480"/>
      <c r="E53" s="2297"/>
      <c r="F53" s="1480"/>
      <c r="G53" s="1480"/>
      <c r="H53" s="1480"/>
      <c r="I53" s="1480"/>
      <c r="J53" s="1480"/>
      <c r="K53" s="1480"/>
      <c r="L53" s="1483"/>
      <c r="M53" s="1458"/>
      <c r="N53" s="1458"/>
      <c r="O53" s="648"/>
      <c r="P53" s="510"/>
      <c r="Q53" s="1481"/>
      <c r="R53" s="510"/>
      <c r="S53" s="1459"/>
      <c r="T53" s="1462" t="s">
        <v>496</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1630"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528</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8B145-F3E5-5E3B-C404-F540061779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4.140625" hidden="1" customWidth="1"/>
    <col min="10" max="10" style="11649" width="9.8515625" hidden="1" customWidth="1"/>
    <col min="11" max="11" style="11649" width="14.7109375" hidden="1" customWidth="1"/>
    <col min="12" max="12" style="11999" width="19.140625" hidden="1" customWidth="1"/>
    <col min="13" max="14" style="11730" width="12.28125" hidden="1" customWidth="1"/>
    <col min="15" max="15" style="11730" width="23.421875" hidden="1" customWidth="1"/>
    <col min="16" max="16" style="12000" width="3.7109375" customWidth="1"/>
    <col min="17" max="18" style="11732" width="3.7109375" customWidth="1"/>
    <col min="19" max="19" style="11733" width="12.7109375" customWidth="1"/>
    <col min="20" max="20" style="11734" width="35.7109375" customWidth="1"/>
    <col min="21" max="21" style="11734" width="0.140625" customWidth="1"/>
    <col min="22" max="24" style="11734" width="24.7109375" hidden="1" customWidth="1"/>
    <col min="25" max="25" style="11734" width="11.7109375" hidden="1" customWidth="1"/>
    <col min="26" max="26" style="11734" width="3.7109375" hidden="1" customWidth="1"/>
    <col min="27" max="27" style="11734" width="11.7109375" hidden="1" customWidth="1"/>
    <col min="28" max="28" style="11734" width="8.57421875" hidden="1" customWidth="1"/>
    <col min="29" max="31" style="11734" width="24.7109375" customWidth="1"/>
    <col min="32" max="32" style="11734" width="11.7109375" customWidth="1"/>
    <col min="33" max="33" style="11734" width="3.7109375" customWidth="1"/>
    <col min="34" max="34" style="11734" width="11.7109375" customWidth="1"/>
    <col min="35" max="35" style="11734" width="8.57421875" hidden="1" customWidth="1"/>
    <col min="36" max="36" style="11734" width="4.7109375" customWidth="1"/>
    <col min="37" max="37" style="11734" width="115.7109375" customWidth="1"/>
    <col min="38" max="39" style="11721" width="10.57421875"/>
    <col min="40" max="40" style="11721" width="11.140625" customWidth="1"/>
    <col min="41" max="42" style="1172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204</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477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478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611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612</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564</v>
      </c>
      <c r="U5" s="430"/>
      <c r="V5" s="2381"/>
      <c r="W5" s="2382"/>
      <c r="X5" s="2382"/>
      <c r="Y5" s="2382"/>
      <c r="Z5" s="2382"/>
      <c r="AA5" s="2382"/>
      <c r="AB5" s="2383"/>
      <c r="AC5" s="2384"/>
      <c r="AD5" s="2385"/>
      <c r="AE5" s="2385"/>
      <c r="AF5" s="2385"/>
      <c r="AG5" s="2385"/>
      <c r="AH5" s="2385"/>
      <c r="AI5" s="2385"/>
      <c r="AJ5" s="2386"/>
      <c r="AK5" s="1394" t="s">
        <v>565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486</v>
      </c>
      <c r="P6" s="2296"/>
      <c r="Q6" s="2296">
        <v>1</v>
      </c>
      <c r="R6" s="487"/>
      <c r="S6" s="1630">
        <f>$J6</f>
      </c>
      <c r="T6" s="416" t="s">
        <v>487</v>
      </c>
      <c r="U6" s="430"/>
      <c r="V6" s="2284"/>
      <c r="W6" s="2285"/>
      <c r="X6" s="2285"/>
      <c r="Y6" s="2285"/>
      <c r="Z6" s="2285"/>
      <c r="AA6" s="2285"/>
      <c r="AB6" s="2286"/>
      <c r="AC6" s="2284"/>
      <c r="AD6" s="2285"/>
      <c r="AE6" s="2285"/>
      <c r="AF6" s="2285"/>
      <c r="AG6" s="2285"/>
      <c r="AH6" s="2285"/>
      <c r="AI6" s="2285"/>
      <c r="AJ6" s="2286"/>
      <c r="AK6" s="1444" t="s">
        <v>566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567</v>
      </c>
      <c r="U9" s="497"/>
      <c r="V9" s="497"/>
      <c r="W9" s="497"/>
      <c r="X9" s="497"/>
      <c r="Y9" s="497"/>
      <c r="Z9" s="497"/>
      <c r="AA9" s="497"/>
      <c r="AB9" s="497"/>
      <c r="AC9" s="497"/>
      <c r="AD9" s="497"/>
      <c r="AE9" s="497"/>
      <c r="AF9" s="497"/>
      <c r="AG9" s="497"/>
      <c r="AH9" s="497"/>
      <c r="AI9" s="497"/>
      <c r="AJ9" s="497"/>
      <c r="AK9" s="1394" t="s">
        <v>568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492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569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630"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495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72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496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649" customFormat="1" customHeight="1" ht="22.5" hidden="1">
      <c r="L18" s="1615"/>
      <c r="M18" s="1499"/>
      <c r="N18" s="1499"/>
      <c r="O18" s="1504" t="s">
        <v>497</v>
      </c>
      <c r="P18" s="1499"/>
      <c r="Q18" s="1508"/>
      <c r="R18" s="1508"/>
      <c r="S18" s="859"/>
      <c r="Y18" s="1504"/>
      <c r="AA18" s="1504"/>
      <c r="AB18" s="1503"/>
      <c r="AF18" s="1504"/>
      <c r="AH18" s="1504"/>
      <c r="AI18" s="1503"/>
      <c r="AL18" s="641"/>
      <c r="AM18" s="641"/>
      <c r="AN18" s="641"/>
      <c r="AO18" s="641"/>
      <c r="AP18" s="641"/>
    </row>
    <row s="11649" customFormat="1" customHeight="1" ht="14.25" hidden="1">
      <c r="L19" s="1615"/>
      <c r="M19" s="1499"/>
      <c r="N19" s="1499"/>
      <c r="O19" s="1499"/>
      <c r="P19" s="1499"/>
      <c r="Q19" s="1508"/>
      <c r="R19" s="1508"/>
      <c r="S19" s="859"/>
      <c r="AB19" s="1503"/>
      <c r="AI19" s="1503"/>
      <c r="AL19" s="641"/>
      <c r="AM19" s="641"/>
      <c r="AN19" s="641"/>
      <c r="AO19" s="641"/>
      <c r="AP19" s="641"/>
    </row>
    <row s="11649" customFormat="1" customHeight="1" ht="12" hidden="1">
      <c r="L20" s="1615"/>
      <c r="M20" s="1499"/>
      <c r="N20" s="1499"/>
      <c r="O20" s="1501" t="s">
        <v>498</v>
      </c>
      <c r="P20" s="1499"/>
      <c r="Q20" s="1579"/>
      <c r="R20" s="1579"/>
      <c r="S20" s="859"/>
      <c r="T20" s="1292" t="s">
        <v>499</v>
      </c>
      <c r="Z20" s="316" t="s">
        <v>500</v>
      </c>
      <c r="AB20" s="316" t="s">
        <v>501</v>
      </c>
      <c r="AC20" s="1292" t="s">
        <v>499</v>
      </c>
      <c r="AG20" s="316" t="s">
        <v>502</v>
      </c>
      <c r="AI20" s="316" t="s">
        <v>501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662"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662" customFormat="1" customHeight="1" ht="18.75">
      <c r="A28" s="1505"/>
      <c r="B28" s="1505"/>
      <c r="C28" s="1505"/>
      <c r="D28" s="1505"/>
      <c r="E28" s="1505"/>
      <c r="F28" s="1505"/>
      <c r="G28" s="1505"/>
      <c r="H28" s="1505"/>
      <c r="I28" s="1505"/>
      <c r="J28" s="1505"/>
      <c r="K28" s="1505"/>
      <c r="L28" s="1506"/>
      <c r="M28" s="1505"/>
      <c r="N28" s="1505"/>
      <c r="O28" s="1505"/>
      <c r="S28" s="2289" t="s">
        <v>503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662" customFormat="1" customHeight="1" ht="18.75">
      <c r="A29" s="1505"/>
      <c r="B29" s="1505"/>
      <c r="C29" s="1505"/>
      <c r="D29" s="1505"/>
      <c r="E29" s="1505"/>
      <c r="F29" s="1505"/>
      <c r="G29" s="1505"/>
      <c r="H29" s="1505"/>
      <c r="I29" s="1505"/>
      <c r="J29" s="1505"/>
      <c r="K29" s="1505"/>
      <c r="L29" s="1506"/>
      <c r="M29" s="1505"/>
      <c r="N29" s="1505"/>
      <c r="O29" s="1505"/>
      <c r="S29" s="2289" t="s">
        <v>504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662"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662" customFormat="1" customHeight="1" ht="18.75">
      <c r="A32" s="1505"/>
      <c r="B32" s="1505"/>
      <c r="C32" s="1505"/>
      <c r="D32" s="1505"/>
      <c r="E32" s="1505"/>
      <c r="F32" s="1505"/>
      <c r="G32" s="1505"/>
      <c r="H32" s="1505"/>
      <c r="I32" s="1505"/>
      <c r="J32" s="1505"/>
      <c r="K32" s="1505"/>
      <c r="L32" s="1506"/>
      <c r="M32" s="1505"/>
      <c r="N32" s="1505"/>
      <c r="O32" s="1505"/>
      <c r="S32" s="2289" t="s">
        <v>505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662" customFormat="1" customHeight="1" ht="18.75">
      <c r="A33" s="1505"/>
      <c r="B33" s="1505"/>
      <c r="C33" s="1505"/>
      <c r="D33" s="1505"/>
      <c r="E33" s="1505"/>
      <c r="F33" s="1505"/>
      <c r="G33" s="1505"/>
      <c r="H33" s="1505"/>
      <c r="I33" s="1505"/>
      <c r="J33" s="1505"/>
      <c r="K33" s="1505"/>
      <c r="L33" s="1506"/>
      <c r="M33" s="1505"/>
      <c r="N33" s="1505"/>
      <c r="O33" s="1505"/>
      <c r="S33" s="2289" t="s">
        <v>506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66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507</v>
      </c>
      <c r="AC34" s="456"/>
      <c r="AD34" s="456"/>
      <c r="AE34" s="456"/>
      <c r="AF34" s="456"/>
      <c r="AG34" s="456"/>
      <c r="AH34" s="456"/>
      <c r="AI34" s="408" t="s">
        <v>507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378</v>
      </c>
      <c r="T36" s="2167"/>
      <c r="U36" s="2167"/>
      <c r="V36" s="2167"/>
      <c r="W36" s="2167"/>
      <c r="X36" s="2167"/>
      <c r="Y36" s="2167"/>
      <c r="Z36" s="2167"/>
      <c r="AA36" s="2167"/>
      <c r="AB36" s="2167"/>
      <c r="AC36" s="2167"/>
      <c r="AD36" s="2167"/>
      <c r="AE36" s="2167"/>
      <c r="AF36" s="2167"/>
      <c r="AG36" s="2167"/>
      <c r="AH36" s="2167"/>
      <c r="AI36" s="2167"/>
      <c r="AJ36" s="2167"/>
      <c r="AK36" s="2167" t="s">
        <v>379</v>
      </c>
    </row>
    <row customHeight="1" ht="14.25">
      <c r="Q37" s="506"/>
      <c r="R37" s="506"/>
      <c r="S37" s="2312" t="s">
        <v>85</v>
      </c>
      <c r="T37" s="2248" t="s">
        <v>508</v>
      </c>
      <c r="U37" s="431"/>
      <c r="V37" s="2313" t="s">
        <v>509</v>
      </c>
      <c r="W37" s="2314"/>
      <c r="X37" s="2314"/>
      <c r="Y37" s="2314"/>
      <c r="Z37" s="2314"/>
      <c r="AA37" s="2315"/>
      <c r="AB37" s="2316" t="s">
        <v>510</v>
      </c>
      <c r="AC37" s="2313" t="s">
        <v>509</v>
      </c>
      <c r="AD37" s="2314"/>
      <c r="AE37" s="2314"/>
      <c r="AF37" s="2314"/>
      <c r="AG37" s="2314"/>
      <c r="AH37" s="2315"/>
      <c r="AI37" s="2316" t="s">
        <v>511</v>
      </c>
      <c r="AJ37" s="2319" t="s">
        <v>512</v>
      </c>
      <c r="AK37" s="2167"/>
    </row>
    <row customHeight="1" ht="33.75">
      <c r="Q38" s="506"/>
      <c r="R38" s="506"/>
      <c r="S38" s="2312"/>
      <c r="T38" s="2248"/>
      <c r="U38" s="1162"/>
      <c r="V38" s="1620" t="s">
        <v>626</v>
      </c>
      <c r="W38" s="2301" t="s">
        <v>614</v>
      </c>
      <c r="X38" s="2302"/>
      <c r="Y38" s="2301" t="s">
        <v>516</v>
      </c>
      <c r="Z38" s="2308"/>
      <c r="AA38" s="2302"/>
      <c r="AB38" s="2317"/>
      <c r="AC38" s="1620" t="s">
        <v>626</v>
      </c>
      <c r="AD38" s="2301" t="s">
        <v>614</v>
      </c>
      <c r="AE38" s="2302"/>
      <c r="AF38" s="2301" t="s">
        <v>516</v>
      </c>
      <c r="AG38" s="2308"/>
      <c r="AH38" s="2302"/>
      <c r="AI38" s="2317"/>
      <c r="AJ38" s="2320"/>
      <c r="AK38" s="2167"/>
    </row>
    <row customHeight="1" ht="86.25">
      <c r="A39" s="1507"/>
      <c r="B39" s="1507" t="s">
        <v>216</v>
      </c>
      <c r="C39" s="1507" t="s">
        <v>217</v>
      </c>
      <c r="D39" s="1507" t="s">
        <v>218</v>
      </c>
      <c r="E39" s="1501" t="s">
        <v>517</v>
      </c>
      <c r="F39" s="1501" t="s">
        <v>518</v>
      </c>
      <c r="G39" s="1501" t="s">
        <v>519</v>
      </c>
      <c r="H39" s="1501"/>
      <c r="I39" s="1501" t="s">
        <v>571</v>
      </c>
      <c r="J39" s="1501" t="s">
        <v>522</v>
      </c>
      <c r="K39" s="1501" t="s">
        <v>572</v>
      </c>
      <c r="L39" s="1501" t="s">
        <v>498</v>
      </c>
      <c r="Q39" s="506"/>
      <c r="R39" s="506"/>
      <c r="S39" s="2312"/>
      <c r="T39" s="2248"/>
      <c r="U39" s="432"/>
      <c r="V39" s="1620" t="s">
        <v>615</v>
      </c>
      <c r="W39" s="1358" t="s">
        <v>619</v>
      </c>
      <c r="X39" s="1358" t="s">
        <v>622</v>
      </c>
      <c r="Y39" s="1626" t="s">
        <v>526</v>
      </c>
      <c r="Z39" s="2309" t="s">
        <v>527</v>
      </c>
      <c r="AA39" s="2310"/>
      <c r="AB39" s="2318"/>
      <c r="AC39" s="1620" t="s">
        <v>615</v>
      </c>
      <c r="AD39" s="1358" t="s">
        <v>619</v>
      </c>
      <c r="AE39" s="1358" t="s">
        <v>622</v>
      </c>
      <c r="AF39" s="1626" t="s">
        <v>526</v>
      </c>
      <c r="AG39" s="2309" t="s">
        <v>527</v>
      </c>
      <c r="AH39" s="2310"/>
      <c r="AI39" s="2318"/>
      <c r="AJ39" s="2321"/>
      <c r="AK39" s="2167"/>
    </row>
    <row s="11482"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165</v>
      </c>
      <c r="T40" s="1391" t="s">
        <v>100</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329</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204</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329</v>
      </c>
      <c r="B42" s="1500" t="s">
        <v>330</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477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478</v>
      </c>
      <c r="AM42" s="630"/>
      <c r="AN42" s="630" t="str">
        <f>IF(T42="","",T42)</f>
        <v>Территория действия тарифа</v>
      </c>
      <c r="AO42" s="630"/>
      <c r="AP42" s="630"/>
    </row>
    <row customHeight="1" ht="23.25">
      <c r="A43" s="1500" t="s">
        <v>329</v>
      </c>
      <c r="B43" s="1500" t="s">
        <v>330</v>
      </c>
      <c r="C43" s="1500" t="s">
        <v>331</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611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612</v>
      </c>
      <c r="AM43" s="630"/>
      <c r="AN43" s="630" t="str">
        <f>IF(T43="","",T43)</f>
        <v>Наименование централизованной системы горячего водоснабжения</v>
      </c>
      <c r="AO43" s="630"/>
      <c r="AP43" s="630"/>
    </row>
    <row customHeight="1" ht="23.25">
      <c r="A44" s="1500" t="s">
        <v>329</v>
      </c>
      <c r="B44" s="1500" t="s">
        <v>330</v>
      </c>
      <c r="C44" s="1500" t="s">
        <v>331</v>
      </c>
      <c r="D44" s="1500" t="s">
        <v>625</v>
      </c>
      <c r="E44" s="2298"/>
      <c r="F44" s="2298"/>
      <c r="G44" s="2298"/>
      <c r="H44" s="2298"/>
      <c r="I44" s="2295" t="str">
        <f>S43&amp;".1"</f>
        <v>...1</v>
      </c>
      <c r="J44" s="1500"/>
      <c r="K44" s="1500"/>
      <c r="L44" s="1501"/>
      <c r="P44" s="2296">
        <v>1</v>
      </c>
      <c r="Q44" s="1618"/>
      <c r="R44" s="486"/>
      <c r="S44" s="1630" t="str">
        <f>$I44</f>
        <v>...1</v>
      </c>
      <c r="T44" s="415" t="s">
        <v>564</v>
      </c>
      <c r="U44" s="430"/>
      <c r="V44" s="2381"/>
      <c r="W44" s="2382"/>
      <c r="X44" s="2382"/>
      <c r="Y44" s="2382"/>
      <c r="Z44" s="2382"/>
      <c r="AA44" s="2382"/>
      <c r="AB44" s="2383"/>
      <c r="AC44" s="2384"/>
      <c r="AD44" s="2385"/>
      <c r="AE44" s="2385"/>
      <c r="AF44" s="2385"/>
      <c r="AG44" s="2385"/>
      <c r="AH44" s="2385"/>
      <c r="AI44" s="2385"/>
      <c r="AJ44" s="2386"/>
      <c r="AK44" s="1394" t="s">
        <v>565</v>
      </c>
      <c r="AM44" s="630"/>
      <c r="AN44" s="630" t="str">
        <f>IF(T44="","",T44)</f>
        <v>Наименование признака дифференциации</v>
      </c>
      <c r="AO44" s="630"/>
      <c r="AP44" s="630"/>
    </row>
    <row customHeight="1" ht="23.25">
      <c r="A45" s="1500" t="s">
        <v>329</v>
      </c>
      <c r="B45" s="1500" t="s">
        <v>330</v>
      </c>
      <c r="C45" s="1500" t="s">
        <v>331</v>
      </c>
      <c r="D45" s="1500" t="s">
        <v>625</v>
      </c>
      <c r="E45" s="2298"/>
      <c r="F45" s="2298"/>
      <c r="G45" s="2298"/>
      <c r="H45" s="2298"/>
      <c r="I45" s="2325"/>
      <c r="J45" s="2295" t="str">
        <f>I44&amp;".1"</f>
        <v>...1.1</v>
      </c>
      <c r="K45" s="1500"/>
      <c r="L45" s="1501" t="s">
        <v>486</v>
      </c>
      <c r="P45" s="2296"/>
      <c r="Q45" s="2296">
        <v>1</v>
      </c>
      <c r="R45" s="487"/>
      <c r="S45" s="1630" t="str">
        <f>$J45</f>
        <v>...1.1</v>
      </c>
      <c r="T45" s="416" t="s">
        <v>487</v>
      </c>
      <c r="U45" s="430"/>
      <c r="V45" s="2284"/>
      <c r="W45" s="2285"/>
      <c r="X45" s="2285"/>
      <c r="Y45" s="2285"/>
      <c r="Z45" s="2285"/>
      <c r="AA45" s="2285"/>
      <c r="AB45" s="2286"/>
      <c r="AC45" s="2284"/>
      <c r="AD45" s="2285"/>
      <c r="AE45" s="2285"/>
      <c r="AF45" s="2285"/>
      <c r="AG45" s="2285"/>
      <c r="AH45" s="2285"/>
      <c r="AI45" s="2285"/>
      <c r="AJ45" s="2286"/>
      <c r="AK45" s="1444" t="s">
        <v>566</v>
      </c>
      <c r="AM45" s="630"/>
      <c r="AN45" s="630" t="str">
        <f>IF(T45="","",T45)</f>
        <v>Группа потребителей</v>
      </c>
      <c r="AO45" s="630"/>
      <c r="AP45" s="630"/>
    </row>
    <row customHeight="1" ht="23.25">
      <c r="A46" s="1500" t="s">
        <v>329</v>
      </c>
      <c r="B46" s="1500" t="s">
        <v>330</v>
      </c>
      <c r="C46" s="1500" t="s">
        <v>331</v>
      </c>
      <c r="D46" s="1500" t="s">
        <v>625</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329</v>
      </c>
      <c r="B47" s="1500" t="s">
        <v>330</v>
      </c>
      <c r="C47" s="1500" t="s">
        <v>331</v>
      </c>
      <c r="D47" s="1500" t="s">
        <v>625</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329</v>
      </c>
      <c r="B48" s="1500" t="s">
        <v>330</v>
      </c>
      <c r="C48" s="1500" t="s">
        <v>331</v>
      </c>
      <c r="D48" s="1500" t="s">
        <v>625</v>
      </c>
      <c r="E48" s="2298"/>
      <c r="F48" s="2298"/>
      <c r="G48" s="2298"/>
      <c r="H48" s="2298"/>
      <c r="I48" s="2325"/>
      <c r="J48" s="2295"/>
      <c r="K48" s="1500"/>
      <c r="L48" s="1501"/>
      <c r="P48" s="2296"/>
      <c r="Q48" s="2296"/>
      <c r="R48" s="486"/>
      <c r="S48" s="1415"/>
      <c r="T48" s="417" t="s">
        <v>567</v>
      </c>
      <c r="U48" s="497"/>
      <c r="V48" s="497"/>
      <c r="W48" s="497"/>
      <c r="X48" s="497"/>
      <c r="Y48" s="497"/>
      <c r="Z48" s="497"/>
      <c r="AA48" s="497"/>
      <c r="AB48" s="497"/>
      <c r="AC48" s="497"/>
      <c r="AD48" s="497"/>
      <c r="AE48" s="497"/>
      <c r="AF48" s="497"/>
      <c r="AG48" s="497"/>
      <c r="AH48" s="497"/>
      <c r="AI48" s="497"/>
      <c r="AJ48" s="497"/>
      <c r="AK48" s="1394" t="s">
        <v>568</v>
      </c>
      <c r="AM48" s="630"/>
      <c r="AN48" s="630" t="str">
        <f>IF(T48="","",T48)</f>
        <v>Добавить значение признака дифференциации</v>
      </c>
      <c r="AO48" s="630"/>
      <c r="AP48" s="630"/>
    </row>
    <row customHeight="1" ht="21">
      <c r="A49" s="1500" t="s">
        <v>329</v>
      </c>
      <c r="B49" s="1500" t="s">
        <v>330</v>
      </c>
      <c r="C49" s="1500" t="s">
        <v>331</v>
      </c>
      <c r="D49" s="1500" t="s">
        <v>625</v>
      </c>
      <c r="E49" s="2298"/>
      <c r="F49" s="2298"/>
      <c r="G49" s="2298"/>
      <c r="H49" s="2298"/>
      <c r="I49" s="2295"/>
      <c r="J49" s="1500"/>
      <c r="K49" s="1500"/>
      <c r="L49" s="1501"/>
      <c r="P49" s="2296"/>
      <c r="Q49" s="1618"/>
      <c r="R49" s="486"/>
      <c r="S49" s="1415"/>
      <c r="T49" s="495" t="s">
        <v>492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329</v>
      </c>
      <c r="B50" s="1500" t="s">
        <v>330</v>
      </c>
      <c r="C50" s="1500" t="s">
        <v>331</v>
      </c>
      <c r="D50" s="1500" t="s">
        <v>625</v>
      </c>
      <c r="E50" s="2298"/>
      <c r="F50" s="2298"/>
      <c r="G50" s="2298"/>
      <c r="H50" s="2297"/>
      <c r="I50" s="1500"/>
      <c r="J50" s="1500"/>
      <c r="K50" s="1500"/>
      <c r="L50" s="1501"/>
      <c r="M50" s="1502"/>
      <c r="N50" s="1502"/>
      <c r="O50" s="667"/>
      <c r="P50" s="490"/>
      <c r="Q50" s="505"/>
      <c r="R50" s="485"/>
      <c r="S50" s="1415"/>
      <c r="T50" s="502" t="s">
        <v>569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630" customFormat="1" customHeight="1" ht="0">
      <c r="A51" s="1480" t="s">
        <v>329</v>
      </c>
      <c r="B51" s="1480" t="s">
        <v>330</v>
      </c>
      <c r="C51" s="1451"/>
      <c r="D51" s="1451"/>
      <c r="E51" s="2298"/>
      <c r="F51" s="2297"/>
      <c r="G51" s="1451"/>
      <c r="H51" s="1451"/>
      <c r="I51" s="1451"/>
      <c r="J51" s="1451"/>
      <c r="K51" s="1451"/>
      <c r="L51" s="1631"/>
      <c r="M51" s="1458"/>
      <c r="N51" s="1458"/>
      <c r="P51" s="1453"/>
      <c r="Q51" s="1454"/>
      <c r="R51" s="1453"/>
      <c r="S51" s="1459"/>
      <c r="T51" s="1462" t="s">
        <v>495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721" customFormat="1" customHeight="1" ht="0">
      <c r="A52" s="1480" t="s">
        <v>329</v>
      </c>
      <c r="B52" s="1480"/>
      <c r="C52" s="1480"/>
      <c r="D52" s="1480"/>
      <c r="E52" s="2297"/>
      <c r="F52" s="1480"/>
      <c r="G52" s="1480"/>
      <c r="H52" s="1480"/>
      <c r="I52" s="1480"/>
      <c r="J52" s="1480"/>
      <c r="K52" s="1480"/>
      <c r="L52" s="1483"/>
      <c r="M52" s="1458"/>
      <c r="N52" s="1458"/>
      <c r="O52" s="648"/>
      <c r="P52" s="510"/>
      <c r="Q52" s="1481"/>
      <c r="R52" s="510"/>
      <c r="S52" s="1459"/>
      <c r="T52" s="1462" t="s">
        <v>496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630"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528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1D8DA-C0B3-49BA-3B26-9BE7F64F72F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649" width="11.57421875" hidden="1" customWidth="1"/>
    <col min="2" max="2" style="11649" width="11.00390625" hidden="1" customWidth="1"/>
    <col min="3" max="3" style="11649" width="10.57421875" hidden="1"/>
    <col min="4" max="4" style="11649" width="12.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1" style="11649" width="11.421875" hidden="1" customWidth="1"/>
    <col min="12" max="12" style="11999" width="19.140625" hidden="1" customWidth="1"/>
    <col min="13" max="14" style="11730" width="12.28125" hidden="1" customWidth="1"/>
    <col min="15" max="15" style="11730" width="23.421875" hidden="1" customWidth="1"/>
    <col min="16" max="16" style="11730" width="3.7109375" hidden="1" customWidth="1"/>
    <col min="17" max="17" style="11902" width="3.7109375" hidden="1" customWidth="1"/>
    <col min="18" max="18" style="11732" width="3.7109375" customWidth="1"/>
    <col min="19" max="19" style="11733" width="12.7109375" customWidth="1"/>
    <col min="20" max="20" style="11734" width="32.00390625" customWidth="1"/>
    <col min="21" max="21" style="11734" width="0.140625" customWidth="1"/>
    <col min="22" max="25" style="11734" width="21.7109375" hidden="1" customWidth="1"/>
    <col min="26" max="26" style="11734" width="11.7109375" hidden="1" customWidth="1"/>
    <col min="27" max="27" style="11734" width="3.7109375" hidden="1" customWidth="1"/>
    <col min="28" max="28" style="11734" width="11.7109375" hidden="1" customWidth="1"/>
    <col min="29" max="29" style="11734" width="8.57421875" hidden="1" customWidth="1"/>
    <col min="30" max="32" style="11734" width="3.7109375" customWidth="1"/>
    <col min="33" max="33" style="11734" width="24.7109375" customWidth="1"/>
    <col min="34" max="36" style="11734" width="3.7109375" customWidth="1"/>
    <col min="37" max="37" style="11734" width="24.7109375" customWidth="1"/>
    <col min="38" max="40" style="11734" width="3.7109375" customWidth="1"/>
    <col min="41" max="41" style="11734" width="18.8515625" customWidth="1"/>
    <col min="42" max="44" style="11734" width="3.7109375" customWidth="1"/>
    <col min="45" max="45" style="11734" width="18.8515625" customWidth="1"/>
    <col min="46" max="49" style="11734" width="21.7109375" customWidth="1"/>
    <col min="50" max="50" style="11734" width="11.7109375" customWidth="1"/>
    <col min="51" max="51" style="11734" width="3.7109375" customWidth="1"/>
    <col min="52" max="52" style="11734" width="11.7109375" customWidth="1"/>
    <col min="53" max="53" style="11734" width="8.57421875" hidden="1" customWidth="1"/>
    <col min="54" max="54" style="11734" width="4.7109375" customWidth="1"/>
    <col min="55" max="55" style="11734" width="115.7109375" customWidth="1"/>
    <col min="56" max="57" style="11721" width="10.57421875"/>
    <col min="58" max="58" style="11721" width="11.140625" customWidth="1"/>
    <col min="59" max="60" style="11721"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204</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477</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478</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611</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612</v>
      </c>
      <c r="BE4" s="630"/>
      <c r="BF4" s="630" t="str">
        <f>IF(T4="","",T4)</f>
        <v>Наименование централизованной системы горячего водоснабжения</v>
      </c>
      <c r="BG4" s="630"/>
      <c r="BH4" s="630"/>
    </row>
    <row s="11721"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482</v>
      </c>
      <c r="BE5" s="630"/>
      <c r="BF5" s="630" t="str">
        <f>IF(T5="","",T5)</f>
        <v/>
      </c>
      <c r="BG5" s="630"/>
      <c r="BH5" s="630"/>
    </row>
    <row s="11721" customFormat="1" customHeight="1" ht="14.25" hidden="1">
      <c r="A6" s="1480"/>
      <c r="B6" s="1480"/>
      <c r="C6" s="1480"/>
      <c r="D6" s="1480"/>
      <c r="E6" s="2298"/>
      <c r="F6" s="2298"/>
      <c r="G6" s="2298"/>
      <c r="H6" s="2298"/>
      <c r="I6" s="2295" t="str">
        <f>S5&amp;".1"</f>
        <v>.1</v>
      </c>
      <c r="J6" s="1480"/>
      <c r="K6" s="1480"/>
      <c r="L6" s="1483" t="s">
        <v>483</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721"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64</v>
      </c>
      <c r="AB8" s="1871"/>
      <c r="AC8" s="1606" t="s">
        <v>64</v>
      </c>
      <c r="AD8" s="2223" t="s">
        <v>64</v>
      </c>
      <c r="AE8" s="2358"/>
      <c r="AF8" s="2243">
        <v>1</v>
      </c>
      <c r="AG8" s="2394"/>
      <c r="AH8" s="2147" t="s">
        <v>64</v>
      </c>
      <c r="AI8" s="2358"/>
      <c r="AJ8" s="2243">
        <v>1</v>
      </c>
      <c r="AK8" s="2393" t="s">
        <v>18</v>
      </c>
      <c r="AL8" s="2147" t="s">
        <v>64</v>
      </c>
      <c r="AM8" s="2230"/>
      <c r="AN8" s="2243">
        <v>1</v>
      </c>
      <c r="AO8" s="2387"/>
      <c r="AP8" s="2388" t="s">
        <v>64</v>
      </c>
      <c r="AQ8" s="441"/>
      <c r="AR8" s="1623">
        <v>1</v>
      </c>
      <c r="AS8" s="1629" t="s">
        <v>18</v>
      </c>
      <c r="AT8" s="881"/>
      <c r="AU8" s="1393"/>
      <c r="AV8" s="881"/>
      <c r="AW8" s="1393"/>
      <c r="AX8" s="1871"/>
      <c r="AY8" s="1606" t="s">
        <v>64</v>
      </c>
      <c r="AZ8" s="1871"/>
      <c r="BA8" s="1606" t="s">
        <v>64</v>
      </c>
      <c r="BB8" s="1485"/>
      <c r="BC8" s="2292" t="s">
        <v>582</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583</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584</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585</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586</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548</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721"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721"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630"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630"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495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721"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496</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54</v>
      </c>
      <c r="AE20" s="1638"/>
      <c r="AF20" s="678">
        <v>1</v>
      </c>
      <c r="AG20" s="1639"/>
      <c r="AH20" s="1461" t="s">
        <v>54</v>
      </c>
      <c r="AI20" s="1638"/>
      <c r="AJ20" s="678">
        <v>1</v>
      </c>
      <c r="AK20" s="1639"/>
      <c r="AL20" s="1461" t="s">
        <v>54</v>
      </c>
      <c r="AM20" s="1640"/>
      <c r="AN20" s="678">
        <v>1</v>
      </c>
      <c r="AO20" s="1641"/>
      <c r="AP20" s="1461" t="s">
        <v>54</v>
      </c>
      <c r="AQ20" s="1640"/>
      <c r="AR20" s="678">
        <v>1</v>
      </c>
      <c r="AS20" s="1641"/>
      <c r="AT20" s="455"/>
      <c r="AU20" s="514"/>
      <c r="AV20" s="455"/>
      <c r="AW20" s="514"/>
      <c r="AX20" s="1873"/>
      <c r="AY20" s="1622" t="s">
        <v>64</v>
      </c>
      <c r="AZ20" s="1873"/>
      <c r="BA20" s="1622" t="s">
        <v>64</v>
      </c>
    </row>
    <row customHeight="1" ht="14.25" hidden="1">
      <c r="BD21" s="626"/>
      <c r="BE21" s="626"/>
      <c r="BF21" s="626"/>
      <c r="BG21" s="626"/>
      <c r="BH21" s="626"/>
    </row>
    <row customHeight="1" ht="14.25" hidden="1">
      <c r="O22" s="1504" t="s">
        <v>497</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876" customFormat="1" customHeight="1" ht="14.25" hidden="1">
      <c r="M24" s="1645"/>
      <c r="N24" s="1645"/>
      <c r="O24" s="1646" t="s">
        <v>498</v>
      </c>
      <c r="P24" s="1645"/>
      <c r="Q24" s="1647"/>
      <c r="R24" s="1647"/>
      <c r="AA24" s="1644" t="s">
        <v>500</v>
      </c>
      <c r="AC24" s="1644" t="s">
        <v>501</v>
      </c>
      <c r="AD24" s="1644" t="s">
        <v>549</v>
      </c>
      <c r="AH24" s="1644" t="s">
        <v>549</v>
      </c>
      <c r="AK24" s="1644" t="s">
        <v>587</v>
      </c>
      <c r="AL24" s="1644" t="s">
        <v>549</v>
      </c>
      <c r="AP24" s="1644" t="s">
        <v>549</v>
      </c>
      <c r="AY24" s="1644" t="s">
        <v>500</v>
      </c>
      <c r="BA24" s="1644" t="s">
        <v>501</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662"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66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503</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66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504</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662"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662"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503</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662"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504</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662"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507</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507</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378</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379</v>
      </c>
    </row>
    <row customHeight="1" ht="14.25">
      <c r="Q41" s="421"/>
      <c r="R41" s="506"/>
      <c r="S41" s="2312" t="s">
        <v>85</v>
      </c>
      <c r="T41" s="2248" t="s">
        <v>588</v>
      </c>
      <c r="U41" s="431"/>
      <c r="V41" s="2313" t="s">
        <v>509</v>
      </c>
      <c r="W41" s="2314"/>
      <c r="X41" s="2314"/>
      <c r="Y41" s="2314"/>
      <c r="Z41" s="2314"/>
      <c r="AA41" s="2314"/>
      <c r="AB41" s="2315"/>
      <c r="AC41" s="2316" t="s">
        <v>510</v>
      </c>
      <c r="AD41" s="2360" t="s">
        <v>589</v>
      </c>
      <c r="AE41" s="2328"/>
      <c r="AF41" s="2328"/>
      <c r="AG41" s="2361"/>
      <c r="AH41" s="2360" t="s">
        <v>590</v>
      </c>
      <c r="AI41" s="2328"/>
      <c r="AJ41" s="2328"/>
      <c r="AK41" s="2361"/>
      <c r="AL41" s="2360" t="s">
        <v>591</v>
      </c>
      <c r="AM41" s="2328"/>
      <c r="AN41" s="2328"/>
      <c r="AO41" s="2361"/>
      <c r="AP41" s="2360" t="s">
        <v>592</v>
      </c>
      <c r="AQ41" s="2328"/>
      <c r="AR41" s="2328"/>
      <c r="AS41" s="2361"/>
      <c r="AT41" s="2313" t="s">
        <v>509</v>
      </c>
      <c r="AU41" s="2314"/>
      <c r="AV41" s="2314"/>
      <c r="AW41" s="2314"/>
      <c r="AX41" s="2314"/>
      <c r="AY41" s="2314"/>
      <c r="AZ41" s="2315"/>
      <c r="BA41" s="2316" t="s">
        <v>510</v>
      </c>
      <c r="BB41" s="2319" t="s">
        <v>512</v>
      </c>
      <c r="BC41" s="2167"/>
    </row>
    <row customHeight="1" ht="33.75">
      <c r="Q42" s="421"/>
      <c r="R42" s="506"/>
      <c r="S42" s="2312"/>
      <c r="T42" s="2248"/>
      <c r="U42" s="1162"/>
      <c r="V42" s="2230" t="s">
        <v>593</v>
      </c>
      <c r="W42" s="2231"/>
      <c r="X42" s="2230" t="s">
        <v>594</v>
      </c>
      <c r="Y42" s="2231"/>
      <c r="Z42" s="2331" t="s">
        <v>595</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593</v>
      </c>
      <c r="AU42" s="2231"/>
      <c r="AV42" s="2230" t="s">
        <v>594</v>
      </c>
      <c r="AW42" s="2231"/>
      <c r="AX42" s="2331" t="s">
        <v>595</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216</v>
      </c>
      <c r="C44" s="1507" t="s">
        <v>217</v>
      </c>
      <c r="D44" s="1507" t="s">
        <v>218</v>
      </c>
      <c r="E44" s="1501" t="s">
        <v>517</v>
      </c>
      <c r="F44" s="1501" t="s">
        <v>518</v>
      </c>
      <c r="G44" s="1501" t="s">
        <v>519</v>
      </c>
      <c r="H44" s="1501" t="s">
        <v>520</v>
      </c>
      <c r="I44" s="1501" t="s">
        <v>521</v>
      </c>
      <c r="J44" s="1501" t="s">
        <v>522</v>
      </c>
      <c r="K44" s="1501" t="s">
        <v>523</v>
      </c>
      <c r="L44" s="1501" t="s">
        <v>498</v>
      </c>
      <c r="Q44" s="421"/>
      <c r="R44" s="506"/>
      <c r="S44" s="2312"/>
      <c r="T44" s="2248"/>
      <c r="U44" s="432"/>
      <c r="V44" s="1616" t="s">
        <v>559</v>
      </c>
      <c r="W44" s="1616" t="s">
        <v>560</v>
      </c>
      <c r="X44" s="1616" t="s">
        <v>559</v>
      </c>
      <c r="Y44" s="1616" t="s">
        <v>560</v>
      </c>
      <c r="Z44" s="1626" t="s">
        <v>526</v>
      </c>
      <c r="AA44" s="2309" t="s">
        <v>527</v>
      </c>
      <c r="AB44" s="2310"/>
      <c r="AC44" s="2318"/>
      <c r="AD44" s="2365"/>
      <c r="AE44" s="2366"/>
      <c r="AF44" s="2366"/>
      <c r="AG44" s="2367"/>
      <c r="AH44" s="2365"/>
      <c r="AI44" s="2366"/>
      <c r="AJ44" s="2366"/>
      <c r="AK44" s="2367"/>
      <c r="AL44" s="2365"/>
      <c r="AM44" s="2366"/>
      <c r="AN44" s="2366"/>
      <c r="AO44" s="2367"/>
      <c r="AP44" s="2365"/>
      <c r="AQ44" s="2366"/>
      <c r="AR44" s="2366"/>
      <c r="AS44" s="2367"/>
      <c r="AT44" s="1616" t="s">
        <v>559</v>
      </c>
      <c r="AU44" s="1616" t="s">
        <v>560</v>
      </c>
      <c r="AV44" s="1616" t="s">
        <v>559</v>
      </c>
      <c r="AW44" s="1616" t="s">
        <v>560</v>
      </c>
      <c r="AX44" s="1626" t="s">
        <v>526</v>
      </c>
      <c r="AY44" s="2309" t="s">
        <v>527</v>
      </c>
      <c r="AZ44" s="2310"/>
      <c r="BA44" s="2318"/>
      <c r="BB44" s="2321"/>
      <c r="BC44" s="2167"/>
    </row>
    <row s="11482"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165</v>
      </c>
      <c r="T45" s="1391" t="s">
        <v>100</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339</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204</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339</v>
      </c>
      <c r="B47" s="1500" t="s">
        <v>340</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477</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478</v>
      </c>
      <c r="BE47" s="630"/>
      <c r="BF47" s="630" t="str">
        <f>IF(T47="","",T47)</f>
        <v>Территория действия тарифа</v>
      </c>
      <c r="BG47" s="630"/>
      <c r="BH47" s="630"/>
    </row>
    <row customHeight="1" ht="33.75">
      <c r="A48" s="1500" t="s">
        <v>339</v>
      </c>
      <c r="B48" s="1500" t="s">
        <v>340</v>
      </c>
      <c r="C48" s="1500" t="s">
        <v>341</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611</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612</v>
      </c>
      <c r="BE48" s="630"/>
      <c r="BF48" s="630" t="str">
        <f>IF(T48="","",T48)</f>
        <v>Наименование централизованной системы горячего водоснабжения</v>
      </c>
      <c r="BG48" s="630"/>
      <c r="BH48" s="630"/>
    </row>
    <row s="11721" customFormat="1" customHeight="1" ht="0">
      <c r="A49" s="1480" t="s">
        <v>339</v>
      </c>
      <c r="B49" s="1480" t="s">
        <v>340</v>
      </c>
      <c r="C49" s="1480" t="s">
        <v>341</v>
      </c>
      <c r="D49" s="1480" t="s">
        <v>627</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482</v>
      </c>
      <c r="BE49" s="630"/>
      <c r="BF49" s="630" t="str">
        <f>IF(T49="","",T49)</f>
        <v/>
      </c>
      <c r="BG49" s="630"/>
      <c r="BH49" s="630"/>
    </row>
    <row s="11721" customFormat="1" customHeight="1" ht="0">
      <c r="A50" s="1480" t="s">
        <v>339</v>
      </c>
      <c r="B50" s="1480" t="s">
        <v>340</v>
      </c>
      <c r="C50" s="1480" t="s">
        <v>341</v>
      </c>
      <c r="D50" s="1480" t="s">
        <v>627</v>
      </c>
      <c r="E50" s="2298"/>
      <c r="F50" s="2298"/>
      <c r="G50" s="2298"/>
      <c r="H50" s="2298"/>
      <c r="I50" s="2295" t="str">
        <f>S49&amp;".1"</f>
        <v>.1</v>
      </c>
      <c r="J50" s="1480"/>
      <c r="K50" s="1480"/>
      <c r="L50" s="1483" t="s">
        <v>483</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721" customFormat="1" customHeight="1" ht="0">
      <c r="A51" s="1480" t="s">
        <v>339</v>
      </c>
      <c r="B51" s="1480" t="s">
        <v>340</v>
      </c>
      <c r="C51" s="1480" t="s">
        <v>341</v>
      </c>
      <c r="D51" s="1480" t="s">
        <v>627</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339</v>
      </c>
      <c r="B52" s="1500" t="s">
        <v>340</v>
      </c>
      <c r="C52" s="1500" t="s">
        <v>341</v>
      </c>
      <c r="D52" s="1500" t="s">
        <v>627</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64</v>
      </c>
      <c r="AB52" s="1871"/>
      <c r="AC52" s="1606" t="s">
        <v>64</v>
      </c>
      <c r="AD52" s="2223" t="s">
        <v>64</v>
      </c>
      <c r="AE52" s="2358"/>
      <c r="AF52" s="2243">
        <v>1</v>
      </c>
      <c r="AG52" s="2394"/>
      <c r="AH52" s="2147" t="s">
        <v>64</v>
      </c>
      <c r="AI52" s="2358"/>
      <c r="AJ52" s="2243">
        <v>1</v>
      </c>
      <c r="AK52" s="2393" t="s">
        <v>18</v>
      </c>
      <c r="AL52" s="2147" t="s">
        <v>64</v>
      </c>
      <c r="AM52" s="2230"/>
      <c r="AN52" s="2243">
        <v>1</v>
      </c>
      <c r="AO52" s="2387"/>
      <c r="AP52" s="2388" t="s">
        <v>64</v>
      </c>
      <c r="AQ52" s="441"/>
      <c r="AR52" s="1623">
        <v>1</v>
      </c>
      <c r="AS52" s="1629" t="s">
        <v>18</v>
      </c>
      <c r="AT52" s="881"/>
      <c r="AU52" s="1393"/>
      <c r="AV52" s="881"/>
      <c r="AW52" s="1393"/>
      <c r="AX52" s="1871"/>
      <c r="AY52" s="1606" t="s">
        <v>64</v>
      </c>
      <c r="AZ52" s="1871"/>
      <c r="BA52" s="1606" t="s">
        <v>64</v>
      </c>
      <c r="BB52" s="1485"/>
      <c r="BC52" s="2292" t="s">
        <v>582</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583</v>
      </c>
      <c r="AT53" s="1530"/>
      <c r="AU53" s="1633"/>
      <c r="AV53" s="1530"/>
      <c r="AW53" s="1633"/>
      <c r="AX53" s="1530"/>
      <c r="AY53" s="1530"/>
      <c r="AZ53" s="1530"/>
      <c r="BA53" s="1530"/>
      <c r="BB53" s="1534"/>
      <c r="BC53" s="2293"/>
      <c r="BE53" s="630"/>
      <c r="BF53" s="630"/>
      <c r="BG53" s="630"/>
      <c r="BH53" s="630"/>
    </row>
    <row customHeight="1" ht="11.25">
      <c r="A54" s="1500" t="s">
        <v>339</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584</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339</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585</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339</v>
      </c>
      <c r="B56" s="1500" t="s">
        <v>340</v>
      </c>
      <c r="C56" s="1500" t="s">
        <v>341</v>
      </c>
      <c r="D56" s="1500" t="s">
        <v>627</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586</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339</v>
      </c>
      <c r="B57" s="1500" t="s">
        <v>340</v>
      </c>
      <c r="C57" s="1500" t="s">
        <v>341</v>
      </c>
      <c r="D57" s="1500" t="s">
        <v>627</v>
      </c>
      <c r="E57" s="2298"/>
      <c r="F57" s="2298"/>
      <c r="G57" s="2298"/>
      <c r="H57" s="2298"/>
      <c r="I57" s="2325"/>
      <c r="J57" s="2295"/>
      <c r="K57" s="1500"/>
      <c r="L57" s="1501"/>
      <c r="P57" s="2296"/>
      <c r="Q57" s="2296"/>
      <c r="R57" s="486"/>
      <c r="S57" s="1415"/>
      <c r="T57" s="417" t="s">
        <v>548</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721" customFormat="1" customHeight="1" ht="0">
      <c r="A58" s="1480" t="s">
        <v>339</v>
      </c>
      <c r="B58" s="1480" t="s">
        <v>340</v>
      </c>
      <c r="C58" s="1480" t="s">
        <v>341</v>
      </c>
      <c r="D58" s="1480" t="s">
        <v>627</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721" customFormat="1" customHeight="1" ht="0">
      <c r="A59" s="1480" t="s">
        <v>339</v>
      </c>
      <c r="B59" s="1480" t="s">
        <v>340</v>
      </c>
      <c r="C59" s="1480" t="s">
        <v>341</v>
      </c>
      <c r="D59" s="1480" t="s">
        <v>627</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630" customFormat="1" customHeight="1" ht="0">
      <c r="A60" s="1480" t="s">
        <v>339</v>
      </c>
      <c r="B60" s="1480" t="s">
        <v>340</v>
      </c>
      <c r="C60" s="1480" t="s">
        <v>341</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630" customFormat="1" customHeight="1" ht="0">
      <c r="A61" s="1480" t="s">
        <v>339</v>
      </c>
      <c r="B61" s="1480" t="s">
        <v>340</v>
      </c>
      <c r="C61" s="1451"/>
      <c r="D61" s="1451"/>
      <c r="E61" s="2298"/>
      <c r="F61" s="2297"/>
      <c r="G61" s="1451"/>
      <c r="H61" s="1451"/>
      <c r="I61" s="1451"/>
      <c r="J61" s="1451"/>
      <c r="K61" s="1451"/>
      <c r="L61" s="1631"/>
      <c r="M61" s="1458"/>
      <c r="N61" s="1458"/>
      <c r="P61" s="1453"/>
      <c r="Q61" s="1454"/>
      <c r="R61" s="1453"/>
      <c r="S61" s="1459"/>
      <c r="T61" s="1462" t="s">
        <v>495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721" customFormat="1" customHeight="1" ht="0">
      <c r="A62" s="1480" t="s">
        <v>339</v>
      </c>
      <c r="B62" s="1480"/>
      <c r="C62" s="1480"/>
      <c r="D62" s="1480"/>
      <c r="E62" s="2297"/>
      <c r="F62" s="1480"/>
      <c r="G62" s="1480"/>
      <c r="H62" s="1480"/>
      <c r="I62" s="1480"/>
      <c r="J62" s="1480"/>
      <c r="K62" s="1480"/>
      <c r="L62" s="1483"/>
      <c r="M62" s="1458"/>
      <c r="N62" s="1458"/>
      <c r="O62" s="648"/>
      <c r="P62" s="510"/>
      <c r="Q62" s="1481"/>
      <c r="R62" s="510"/>
      <c r="S62" s="1459"/>
      <c r="T62" s="1462" t="s">
        <v>496</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630"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528</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749D9-8F0E-7CE9-3EEE-3DD6E9F6E7DF}" mc:Ignorable="x14ac xr xr2 xr3">
  <sheetPr>
    <tabColor theme="9" tint="-0.25"/>
  </sheetPr>
  <dimension ref="A1:AR302"/>
  <sheetViews>
    <sheetView topLeftCell="V24" showGridLines="0" zoomScale="90" workbookViewId="0">
      <selection activeCell="V24" sqref="V24"/>
    </sheetView>
  </sheetViews>
  <sheetFormatPr defaultColWidth="9.140625" customHeight="1" defaultRowHeight="11.25"/>
  <cols>
    <col min="1" max="1" style="12239" width="10.7109375" hidden="1" customWidth="1"/>
    <col min="2" max="2" style="11649" width="16.8515625" hidden="1" customWidth="1"/>
    <col min="3" max="3" style="11773" width="5.57421875" hidden="1" customWidth="1"/>
    <col min="4" max="4" style="12240" width="3.7109375" customWidth="1"/>
    <col min="5" max="5" style="11775" width="7.7109375" customWidth="1"/>
    <col min="6" max="6" style="11775" width="54.57421875" customWidth="1"/>
    <col min="7" max="7" style="11775" width="10.421875" customWidth="1"/>
    <col min="8" max="8" style="11775" width="40.7109375" hidden="1" customWidth="1"/>
    <col min="9" max="9" style="11775" width="40.7109375" customWidth="1"/>
    <col min="10" max="22" style="12241" width="40.7109375" customWidth="1"/>
    <col min="23" max="23" style="11775" width="102.8515625" customWidth="1"/>
    <col min="24" max="24" style="11649" width="9.7109375" customWidth="1"/>
    <col min="25" max="25" style="11773" width="5.28125" customWidth="1"/>
    <col min="26" max="26" style="11773" width="3.7109375" customWidth="1"/>
    <col min="27" max="30" style="11649" width="3.7109375" customWidth="1"/>
    <col min="31" max="31" style="11773" width="10.57421875" customWidth="1"/>
    <col min="32" max="32" style="11649" width="34.7109375" customWidth="1"/>
    <col min="33" max="33" style="11649" width="9.421875" customWidth="1"/>
    <col min="34" max="34" style="12242" width="9.140625"/>
    <col min="35" max="39" style="11649" width="9.140625"/>
    <col min="40" max="44" style="12041" width="9.140625"/>
  </cols>
  <sheetData>
    <row customHeight="1" ht="11.25" hidden="1">
      <c r="J1" s="6300"/>
      <c r="K1" s="6300"/>
      <c r="L1" s="6300"/>
      <c r="M1" s="6300"/>
      <c r="N1" s="6300"/>
      <c r="O1" s="6300"/>
      <c r="P1" s="6300"/>
      <c r="Q1" s="6300"/>
      <c r="R1" s="6300"/>
      <c r="S1" s="6300"/>
      <c r="T1" s="6300"/>
      <c r="U1" s="6300"/>
      <c r="V1" s="6300"/>
    </row>
    <row customHeight="1" ht="23.25" hidden="1">
      <c r="B2" s="2139"/>
      <c r="C2" s="1299" t="s">
        <v>628</v>
      </c>
      <c r="D2" s="1775"/>
      <c r="E2" s="676">
        <f>B2</f>
        <v>0</v>
      </c>
      <c r="F2" s="677"/>
      <c r="G2" s="1783" t="s">
        <v>629</v>
      </c>
      <c r="H2" s="1783" t="s">
        <v>629</v>
      </c>
      <c r="I2" s="1783" t="s">
        <v>629</v>
      </c>
      <c r="J2" s="6306" t="s">
        <v>629</v>
      </c>
      <c r="K2" s="6306" t="s">
        <v>629</v>
      </c>
      <c r="L2" s="6306" t="s">
        <v>629</v>
      </c>
      <c r="M2" s="6306" t="s">
        <v>629</v>
      </c>
      <c r="N2" s="6306" t="s">
        <v>629</v>
      </c>
      <c r="O2" s="6306" t="s">
        <v>629</v>
      </c>
      <c r="P2" s="6306" t="s">
        <v>629</v>
      </c>
      <c r="Q2" s="6306" t="s">
        <v>629</v>
      </c>
      <c r="R2" s="6306" t="s">
        <v>629</v>
      </c>
      <c r="S2" s="6306" t="s">
        <v>629</v>
      </c>
      <c r="T2" s="6306" t="s">
        <v>629</v>
      </c>
      <c r="U2" s="6306" t="s">
        <v>629</v>
      </c>
      <c r="V2" s="6306" t="s">
        <v>629</v>
      </c>
      <c r="W2" s="419" t="s">
        <v>630</v>
      </c>
      <c r="X2" s="673"/>
    </row>
    <row s="11773" customFormat="1" customHeight="1" ht="0.75" hidden="1">
      <c r="B3" s="2139"/>
      <c r="C3" s="1299"/>
      <c r="D3" s="678"/>
      <c r="E3" s="679"/>
      <c r="F3" s="680" t="s">
        <v>631</v>
      </c>
      <c r="G3" s="681"/>
      <c r="H3" s="681">
        <f>H4*H5+H7</f>
        <v>0</v>
      </c>
      <c r="I3" s="681">
        <f>I4*I5+I6</f>
        <v>0</v>
      </c>
      <c r="J3" s="6312">
        <f>J4*J5+J7</f>
        <v>0</v>
      </c>
      <c r="K3" s="6312">
        <f>K4*K5+K7</f>
        <v>0</v>
      </c>
      <c r="L3" s="6312">
        <f>L4*L5+L7</f>
        <v>0</v>
      </c>
      <c r="M3" s="6312">
        <f>M4*M5+M7</f>
        <v>0</v>
      </c>
      <c r="N3" s="6312">
        <f>N4*N5+N7</f>
        <v>0</v>
      </c>
      <c r="O3" s="6312">
        <f>O4*O5+O7</f>
        <v>0</v>
      </c>
      <c r="P3" s="6312">
        <f>P4*P5+P7</f>
        <v>0</v>
      </c>
      <c r="Q3" s="6312">
        <f>Q4*Q5+Q7</f>
        <v>0</v>
      </c>
      <c r="R3" s="6312">
        <f>R4*R5+R7</f>
        <v>0</v>
      </c>
      <c r="S3" s="6312">
        <f>S4*S5+S7</f>
        <v>0</v>
      </c>
      <c r="T3" s="6312">
        <f>T4*T5+T7</f>
        <v>0</v>
      </c>
      <c r="U3" s="6312">
        <f>U4*U5+U7</f>
        <v>0</v>
      </c>
      <c r="V3" s="6312">
        <f>V4*V5+V7</f>
        <v>0</v>
      </c>
      <c r="W3" s="682"/>
    </row>
    <row customHeight="1" ht="23.25" hidden="1">
      <c r="B4" s="2139"/>
      <c r="C4" s="1299"/>
      <c r="D4" s="1775"/>
      <c r="E4" s="676" t="str">
        <f>B2&amp;".1"</f>
        <v>.1</v>
      </c>
      <c r="F4" s="683" t="s">
        <v>632</v>
      </c>
      <c r="G4" s="684"/>
      <c r="H4" s="671"/>
      <c r="I4" s="671"/>
      <c r="J4" s="6317"/>
      <c r="K4" s="6317"/>
      <c r="L4" s="6317"/>
      <c r="M4" s="6317"/>
      <c r="N4" s="6317"/>
      <c r="O4" s="6317"/>
      <c r="P4" s="6317"/>
      <c r="Q4" s="6317"/>
      <c r="R4" s="6317"/>
      <c r="S4" s="6317"/>
      <c r="T4" s="6317"/>
      <c r="U4" s="6317"/>
      <c r="V4" s="6317"/>
      <c r="W4" s="419" t="s">
        <v>633</v>
      </c>
      <c r="X4" s="673"/>
    </row>
    <row customHeight="1" ht="18.75" hidden="1">
      <c r="B5" s="2139"/>
      <c r="C5" s="1299"/>
      <c r="D5" s="1775"/>
      <c r="E5" s="676" t="str">
        <f>B2&amp;".2"</f>
        <v>.2</v>
      </c>
      <c r="F5" s="683" t="s">
        <v>634</v>
      </c>
      <c r="G5" s="1783" t="s">
        <v>635</v>
      </c>
      <c r="H5" s="671"/>
      <c r="I5" s="671"/>
      <c r="J5" s="6317"/>
      <c r="K5" s="6317"/>
      <c r="L5" s="6317"/>
      <c r="M5" s="6317"/>
      <c r="N5" s="6317"/>
      <c r="O5" s="6317"/>
      <c r="P5" s="6317"/>
      <c r="Q5" s="6317"/>
      <c r="R5" s="6317"/>
      <c r="S5" s="6317"/>
      <c r="T5" s="6317"/>
      <c r="U5" s="6317"/>
      <c r="V5" s="6317"/>
      <c r="W5" s="419"/>
      <c r="X5" s="673"/>
    </row>
    <row customHeight="1" ht="18.75" hidden="1">
      <c r="B6" s="2139"/>
      <c r="C6" s="1299"/>
      <c r="D6" s="1775"/>
      <c r="E6" s="676" t="str">
        <f>B2&amp;".3"</f>
        <v>.3</v>
      </c>
      <c r="F6" s="683" t="s">
        <v>636</v>
      </c>
      <c r="G6" s="1783" t="s">
        <v>635</v>
      </c>
      <c r="H6" s="671"/>
      <c r="I6" s="671"/>
      <c r="J6" s="6317"/>
      <c r="K6" s="6317"/>
      <c r="L6" s="6317"/>
      <c r="M6" s="6317"/>
      <c r="N6" s="6317"/>
      <c r="O6" s="6317"/>
      <c r="P6" s="6317"/>
      <c r="Q6" s="6317"/>
      <c r="R6" s="6317"/>
      <c r="S6" s="6317"/>
      <c r="T6" s="6317"/>
      <c r="U6" s="6317"/>
      <c r="V6" s="6317"/>
      <c r="W6" s="419"/>
      <c r="X6" s="673"/>
    </row>
    <row customHeight="1" ht="18.75" hidden="1">
      <c r="B7" s="2139"/>
      <c r="C7" s="1299"/>
      <c r="D7" s="1775"/>
      <c r="E7" s="676" t="str">
        <f>B2&amp;".4"</f>
        <v>.4</v>
      </c>
      <c r="F7" s="683" t="s">
        <v>637</v>
      </c>
      <c r="G7" s="1783" t="s">
        <v>629</v>
      </c>
      <c r="H7" s="685"/>
      <c r="I7" s="685"/>
      <c r="J7" s="6319"/>
      <c r="K7" s="6319"/>
      <c r="L7" s="6319"/>
      <c r="M7" s="6319"/>
      <c r="N7" s="6319"/>
      <c r="O7" s="6319"/>
      <c r="P7" s="6319"/>
      <c r="Q7" s="6319"/>
      <c r="R7" s="6319"/>
      <c r="S7" s="6319"/>
      <c r="T7" s="6319"/>
      <c r="U7" s="6319"/>
      <c r="V7" s="6319"/>
      <c r="W7" s="419"/>
      <c r="X7" s="673"/>
    </row>
    <row s="11649" customFormat="1" customHeight="1" ht="11.25" hidden="1">
      <c r="A8" s="1118"/>
      <c r="C8" s="1773"/>
      <c r="D8" s="667"/>
      <c r="H8" s="1292">
        <v>4</v>
      </c>
      <c r="I8" s="1292">
        <v>4</v>
      </c>
      <c r="J8" s="6321">
        <v>4</v>
      </c>
      <c r="K8" s="6321">
        <v>4</v>
      </c>
      <c r="L8" s="6321">
        <v>4</v>
      </c>
      <c r="M8" s="6321">
        <v>4</v>
      </c>
      <c r="N8" s="6321">
        <v>4</v>
      </c>
      <c r="O8" s="6321">
        <v>4</v>
      </c>
      <c r="P8" s="6321">
        <v>4</v>
      </c>
      <c r="Q8" s="6321">
        <v>4</v>
      </c>
      <c r="R8" s="6321">
        <v>4</v>
      </c>
      <c r="S8" s="6321">
        <v>4</v>
      </c>
      <c r="T8" s="6321">
        <v>4</v>
      </c>
      <c r="U8" s="6321">
        <v>4</v>
      </c>
      <c r="V8" s="6321">
        <v>4</v>
      </c>
      <c r="Y8" s="1773"/>
      <c r="Z8" s="1773"/>
      <c r="AE8" s="1773"/>
    </row>
    <row s="11649" customFormat="1" customHeight="1" ht="22.5" hidden="1">
      <c r="A9" s="1118"/>
      <c r="C9" s="1773"/>
      <c r="D9" s="668"/>
      <c r="E9" s="1785"/>
      <c r="F9" s="670"/>
      <c r="G9" s="1783" t="s">
        <v>635</v>
      </c>
      <c r="H9" s="671"/>
      <c r="I9" s="671"/>
      <c r="J9" s="6317"/>
      <c r="K9" s="6317"/>
      <c r="L9" s="6317"/>
      <c r="M9" s="6317"/>
      <c r="N9" s="6317"/>
      <c r="O9" s="6317"/>
      <c r="P9" s="6317"/>
      <c r="Q9" s="6317"/>
      <c r="R9" s="6317"/>
      <c r="S9" s="6317"/>
      <c r="T9" s="6317"/>
      <c r="U9" s="6317"/>
      <c r="V9" s="6317"/>
      <c r="W9" s="672" t="s">
        <v>638</v>
      </c>
      <c r="X9" s="673"/>
      <c r="Y9" s="1773"/>
      <c r="Z9" s="1773"/>
      <c r="AE9" s="1773"/>
      <c r="AH9" s="674"/>
      <c r="AN9" s="1769"/>
      <c r="AO9" s="1769"/>
      <c r="AP9" s="1769"/>
      <c r="AQ9" s="1769"/>
      <c r="AR9" s="1769"/>
    </row>
    <row customHeight="1" ht="11.25" hidden="1">
      <c r="J10" s="6300"/>
      <c r="K10" s="6300"/>
      <c r="L10" s="6300"/>
      <c r="M10" s="6300"/>
      <c r="N10" s="6300"/>
      <c r="O10" s="6300"/>
      <c r="P10" s="6300"/>
      <c r="Q10" s="6300"/>
      <c r="R10" s="6300"/>
      <c r="S10" s="6300"/>
      <c r="T10" s="6300"/>
      <c r="U10" s="6300"/>
      <c r="V10" s="6300"/>
    </row>
    <row customHeight="1" ht="18.75" hidden="1">
      <c r="D11" s="1775"/>
      <c r="E11" s="676"/>
      <c r="F11" s="670"/>
      <c r="G11" s="1783" t="s">
        <v>639</v>
      </c>
      <c r="H11" s="671"/>
      <c r="I11" s="671"/>
      <c r="J11" s="6317"/>
      <c r="K11" s="6317"/>
      <c r="L11" s="6317"/>
      <c r="M11" s="6317"/>
      <c r="N11" s="6317"/>
      <c r="O11" s="6317"/>
      <c r="P11" s="6317"/>
      <c r="Q11" s="6317"/>
      <c r="R11" s="6317"/>
      <c r="S11" s="6317"/>
      <c r="T11" s="6317"/>
      <c r="U11" s="6317"/>
      <c r="V11" s="6317"/>
      <c r="W11" s="419" t="s">
        <v>640</v>
      </c>
      <c r="X11" s="673"/>
    </row>
    <row customHeight="1" ht="11.25" hidden="1">
      <c r="J12" s="6300"/>
      <c r="K12" s="6300"/>
      <c r="L12" s="6300"/>
      <c r="M12" s="6300"/>
      <c r="N12" s="6300"/>
      <c r="O12" s="6300"/>
      <c r="P12" s="6300"/>
      <c r="Q12" s="6300"/>
      <c r="R12" s="6300"/>
      <c r="S12" s="6300"/>
      <c r="T12" s="6300"/>
      <c r="U12" s="6300"/>
      <c r="V12" s="6300"/>
    </row>
    <row customHeight="1" ht="22.5" hidden="1">
      <c r="D13" s="1775"/>
      <c r="E13" s="676"/>
      <c r="F13" s="670"/>
      <c r="G13" s="1100" t="s">
        <v>641</v>
      </c>
      <c r="H13" s="675"/>
      <c r="I13" s="675"/>
      <c r="J13" s="6328"/>
      <c r="K13" s="6328"/>
      <c r="L13" s="6328"/>
      <c r="M13" s="6328"/>
      <c r="N13" s="6328"/>
      <c r="O13" s="6328"/>
      <c r="P13" s="6328"/>
      <c r="Q13" s="6328"/>
      <c r="R13" s="6328"/>
      <c r="S13" s="6328"/>
      <c r="T13" s="6328"/>
      <c r="U13" s="6328"/>
      <c r="V13" s="6328"/>
      <c r="W13" s="875" t="s">
        <v>642</v>
      </c>
      <c r="X13" s="673"/>
    </row>
    <row customHeight="1" ht="11.25" hidden="1">
      <c r="J14" s="6300"/>
      <c r="K14" s="6300"/>
      <c r="L14" s="6300"/>
      <c r="M14" s="6300"/>
      <c r="N14" s="6300"/>
      <c r="O14" s="6300"/>
      <c r="P14" s="6300"/>
      <c r="Q14" s="6300"/>
      <c r="R14" s="6300"/>
      <c r="S14" s="6300"/>
      <c r="T14" s="6300"/>
      <c r="U14" s="6300"/>
      <c r="V14" s="6300"/>
    </row>
    <row customHeight="1" ht="22.5" hidden="1">
      <c r="D15" s="1775"/>
      <c r="E15" s="676"/>
      <c r="F15" s="670"/>
      <c r="G15" s="1783" t="s">
        <v>643</v>
      </c>
      <c r="H15" s="675"/>
      <c r="I15" s="675"/>
      <c r="J15" s="6328"/>
      <c r="K15" s="6328"/>
      <c r="L15" s="6328"/>
      <c r="M15" s="6328"/>
      <c r="N15" s="6328"/>
      <c r="O15" s="6328"/>
      <c r="P15" s="6328"/>
      <c r="Q15" s="6328"/>
      <c r="R15" s="6328"/>
      <c r="S15" s="6328"/>
      <c r="T15" s="6328"/>
      <c r="U15" s="6328"/>
      <c r="V15" s="6328"/>
      <c r="W15" s="419" t="s">
        <v>644</v>
      </c>
      <c r="X15" s="673"/>
    </row>
    <row customHeight="1" ht="11.25" hidden="1">
      <c r="J16" s="6300"/>
      <c r="K16" s="6300"/>
      <c r="L16" s="6300"/>
      <c r="M16" s="6300"/>
      <c r="N16" s="6300"/>
      <c r="O16" s="6300"/>
      <c r="P16" s="6300"/>
      <c r="Q16" s="6300"/>
      <c r="R16" s="6300"/>
      <c r="S16" s="6300"/>
      <c r="T16" s="6300"/>
      <c r="U16" s="6300"/>
      <c r="V16" s="6300"/>
    </row>
    <row customHeight="1" ht="22.5" hidden="1">
      <c r="D17" s="1775"/>
      <c r="E17" s="676"/>
      <c r="F17" s="670"/>
      <c r="G17" s="1783" t="s">
        <v>645</v>
      </c>
      <c r="H17" s="675"/>
      <c r="I17" s="675"/>
      <c r="J17" s="6328"/>
      <c r="K17" s="6328"/>
      <c r="L17" s="6328"/>
      <c r="M17" s="6328"/>
      <c r="N17" s="6328"/>
      <c r="O17" s="6328"/>
      <c r="P17" s="6328"/>
      <c r="Q17" s="6328"/>
      <c r="R17" s="6328"/>
      <c r="S17" s="6328"/>
      <c r="T17" s="6328"/>
      <c r="U17" s="6328"/>
      <c r="V17" s="6328"/>
      <c r="W17" s="419" t="s">
        <v>646</v>
      </c>
      <c r="X17" s="673"/>
    </row>
    <row customHeight="1" ht="11.25" hidden="1">
      <c r="J18" s="6300"/>
      <c r="K18" s="6300"/>
      <c r="L18" s="6300"/>
      <c r="M18" s="6300"/>
      <c r="N18" s="6300"/>
      <c r="O18" s="6300"/>
      <c r="P18" s="6300"/>
      <c r="Q18" s="6300"/>
      <c r="R18" s="6300"/>
      <c r="S18" s="6300"/>
      <c r="T18" s="6300"/>
      <c r="U18" s="6300"/>
      <c r="V18" s="6300"/>
    </row>
    <row s="12041" customFormat="1" customHeight="1" ht="11.25" hidden="1">
      <c r="A19" s="1118"/>
      <c r="B19" s="1292"/>
      <c r="C19" s="1773"/>
      <c r="D19" s="492"/>
      <c r="J19" s="6332"/>
      <c r="K19" s="6332"/>
      <c r="L19" s="6332"/>
      <c r="M19" s="6332"/>
      <c r="N19" s="6332"/>
      <c r="O19" s="6332"/>
      <c r="P19" s="6332"/>
      <c r="Q19" s="6332"/>
      <c r="R19" s="6332"/>
      <c r="S19" s="6332"/>
      <c r="T19" s="6332"/>
      <c r="U19" s="6332"/>
      <c r="V19" s="6332"/>
      <c r="W19" s="1769">
        <v>4</v>
      </c>
      <c r="X19" s="1292"/>
      <c r="Y19" s="1773"/>
      <c r="Z19" s="1773"/>
      <c r="AA19" s="1292"/>
      <c r="AB19" s="1292"/>
      <c r="AC19" s="1292"/>
      <c r="AD19" s="1292"/>
      <c r="AE19" s="1773"/>
      <c r="AF19" s="1292"/>
      <c r="AG19" s="1292"/>
      <c r="AH19" s="674"/>
      <c r="AI19" s="1292"/>
      <c r="AJ19" s="1292"/>
      <c r="AK19" s="1292"/>
      <c r="AL19" s="1292"/>
      <c r="AM19" s="1292"/>
    </row>
    <row customHeight="1" ht="11.25">
      <c r="J20" s="6300"/>
      <c r="K20" s="6300"/>
      <c r="L20" s="6300"/>
      <c r="M20" s="6300"/>
      <c r="N20" s="6300"/>
      <c r="O20" s="6300"/>
      <c r="P20" s="6300"/>
      <c r="Q20" s="6300"/>
      <c r="R20" s="6300"/>
      <c r="S20" s="6300"/>
      <c r="T20" s="6300"/>
      <c r="U20" s="6300"/>
      <c r="V20" s="6300"/>
    </row>
    <row customHeight="1" ht="24">
      <c r="E21" s="228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87"/>
      <c r="G21" s="2287"/>
      <c r="H21" s="2287"/>
      <c r="I21" s="2287"/>
      <c r="J21" s="6333"/>
      <c r="K21" s="6333"/>
      <c r="L21" s="6333"/>
      <c r="M21" s="6333"/>
      <c r="N21" s="6333"/>
      <c r="O21" s="6333"/>
      <c r="P21" s="6333"/>
      <c r="Q21" s="6333"/>
      <c r="R21" s="6333"/>
      <c r="S21" s="6333"/>
      <c r="T21" s="6333"/>
      <c r="U21" s="6333"/>
      <c r="V21" s="6333"/>
      <c r="W21" s="686"/>
    </row>
    <row customHeight="1" ht="24">
      <c r="E22" s="2288" t="str">
        <f>IF(org=0,"Не определено",org)</f>
        <v>АО "ДГК"</v>
      </c>
      <c r="F22" s="2288"/>
      <c r="G22" s="2288"/>
      <c r="H22" s="2288"/>
      <c r="I22" s="2288"/>
      <c r="J22" s="6335"/>
      <c r="K22" s="6335"/>
      <c r="L22" s="6335"/>
      <c r="M22" s="6335"/>
      <c r="N22" s="6335"/>
      <c r="O22" s="6335"/>
      <c r="P22" s="6335"/>
      <c r="Q22" s="6335"/>
      <c r="R22" s="6335"/>
      <c r="S22" s="6335"/>
      <c r="T22" s="6335"/>
      <c r="U22" s="6335"/>
      <c r="V22" s="6335"/>
    </row>
    <row customHeight="1" ht="11.25">
      <c r="E23" s="1267"/>
      <c r="F23" s="1267"/>
      <c r="G23" s="1267"/>
      <c r="H23" s="1267"/>
      <c r="I23" s="1267"/>
      <c r="J23" s="6337" t="s">
        <v>18</v>
      </c>
      <c r="K23" s="6337" t="s">
        <v>18</v>
      </c>
      <c r="L23" s="6337" t="s">
        <v>18</v>
      </c>
      <c r="M23" s="6337" t="s">
        <v>18</v>
      </c>
      <c r="N23" s="6337" t="s">
        <v>18</v>
      </c>
      <c r="O23" s="6337" t="s">
        <v>18</v>
      </c>
      <c r="P23" s="6337" t="s">
        <v>18</v>
      </c>
      <c r="Q23" s="6337" t="s">
        <v>18</v>
      </c>
      <c r="R23" s="6337" t="s">
        <v>18</v>
      </c>
      <c r="S23" s="6337" t="s">
        <v>18</v>
      </c>
      <c r="T23" s="6337" t="s">
        <v>18</v>
      </c>
      <c r="U23" s="6337" t="s">
        <v>18</v>
      </c>
      <c r="V23" s="6337" t="s">
        <v>18</v>
      </c>
    </row>
    <row s="11773" customFormat="1" customHeight="1" ht="0.75">
      <c r="A24" s="1299"/>
      <c r="D24" s="1779"/>
      <c r="H24" s="1019"/>
      <c r="I24" s="1019" t="s">
        <v>171</v>
      </c>
      <c r="J24" s="6339" t="s">
        <v>176</v>
      </c>
      <c r="K24" s="6339" t="s">
        <v>178</v>
      </c>
      <c r="L24" s="6339" t="s">
        <v>180</v>
      </c>
      <c r="M24" s="6339" t="s">
        <v>182</v>
      </c>
      <c r="N24" s="6339" t="s">
        <v>184</v>
      </c>
      <c r="O24" s="6339" t="s">
        <v>186</v>
      </c>
      <c r="P24" s="6339" t="s">
        <v>188</v>
      </c>
      <c r="Q24" s="6339" t="s">
        <v>190</v>
      </c>
      <c r="R24" s="6339" t="s">
        <v>192</v>
      </c>
      <c r="S24" s="6339" t="s">
        <v>194</v>
      </c>
      <c r="T24" s="6339" t="s">
        <v>196</v>
      </c>
      <c r="U24" s="6339" t="s">
        <v>198</v>
      </c>
      <c r="V24" s="6339" t="s">
        <v>200</v>
      </c>
    </row>
    <row customHeight="1" ht="11.25">
      <c r="E25" s="841"/>
      <c r="F25" s="2396" t="s">
        <v>161</v>
      </c>
      <c r="G25" s="2397"/>
      <c r="H25" s="1789" t="str">
        <f>IF(H24="","",INDEX(DIFFERENTIATION_UNMERGE_VD,MATCH(H24,DIFFERENTIATION_ID_DIFF,0)))</f>
        <v/>
      </c>
      <c r="I25" s="1789" t="str">
        <f>IF(I24="","",INDEX(DIFFERENTIATION_UNMERGE_VD,MATCH(I24,DIFFERENTIATION_ID_DIFF,0)))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6344" t="str">
        <f>IF(J24="","",INDEX(DIFFERENTIATION_UNMERGE_VD,MATCH(J24,DIFFERENTIATION_ID_DIFF,0)))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6344" t="str">
        <f>IF(K24="","",INDEX(DIFFERENTIATION_UNMERGE_VD,MATCH(K24,DIFFERENTIATION_ID_DIFF,0)))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6344" t="str">
        <f>IF(L24="","",INDEX(DIFFERENTIATION_UNMERGE_VD,MATCH(L24,DIFFERENTIATION_ID_DIFF,0)))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25" s="6344" t="str">
        <f>IF(M24="","",INDEX(DIFFERENTIATION_UNMERGE_VD,MATCH(M24,DIFFERENTIATION_ID_DIFF,0)))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6344" t="str">
        <f>IF(N24="","",INDEX(DIFFERENTIATION_UNMERGE_VD,MATCH(N24,DIFFERENTIATION_ID_DIFF,0)))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6344" t="str">
        <f>IF(O24="","",INDEX(DIFFERENTIATION_UNMERGE_VD,MATCH(O24,DIFFERENTIATION_ID_DIFF,0)))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5" s="6344" t="str">
        <f>IF(P24="","",INDEX(DIFFERENTIATION_UNMERGE_VD,MATCH(P24,DIFFERENTIATION_ID_DIFF,0)))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5" s="6344" t="str">
        <f>IF(Q24="","",INDEX(DIFFERENTIATION_UNMERGE_VD,MATCH(Q24,DIFFERENTIATION_ID_DIFF,0)))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5" s="6344" t="str">
        <f>IF(R24="","",INDEX(DIFFERENTIATION_UNMERGE_VD,MATCH(R24,DIFFERENTIATION_ID_DIFF,0)))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25" s="6344" t="str">
        <f>IF(S24="","",INDEX(DIFFERENTIATION_UNMERGE_VD,MATCH(S24,DIFFERENTIATION_ID_DIFF,0)))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5" s="6344" t="str">
        <f>IF(T24="","",INDEX(DIFFERENTIATION_UNMERGE_VD,MATCH(T24,DIFFERENTIATION_ID_DIFF,0)))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25" s="6344" t="str">
        <f>IF(U24="","",INDEX(DIFFERENTIATION_UNMERGE_VD,MATCH(U24,DIFFERENTIATION_ID_DIFF,0)))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5" s="6344" t="str">
        <f>IF(V24="","",INDEX(DIFFERENTIATION_UNMERGE_VD,MATCH(V24,DIFFERENTIATION_ID_DIFF,0)))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25" s="2167"/>
    </row>
    <row customHeight="1" ht="11.25">
      <c r="E26" s="841"/>
      <c r="F26" s="2396" t="s">
        <v>647</v>
      </c>
      <c r="G26" s="2397"/>
      <c r="H26" s="1789" t="str">
        <f>IF(H24="","",INDEX(DIFFERENTIATION_UNMERGE_AREA,MATCH(H24,DIFFERENTIATION_ID_DIFF,0)))</f>
        <v/>
      </c>
      <c r="I26" s="1789" t="str">
        <f>IF(I24="","",INDEX(DIFFERENTIATION_UNMERGE_AREA,MATCH(I24,DIFFERENTIATION_ID_DIFF,0)))</f>
        <v>Территория 1</v>
      </c>
      <c r="J26" s="6344" t="str">
        <f>IF(J24="","",INDEX(DIFFERENTIATION_UNMERGE_AREA,MATCH(J24,DIFFERENTIATION_ID_DIFF,0)))</f>
        <v>Территория 2</v>
      </c>
      <c r="K26" s="6344" t="str">
        <f>IF(K24="","",INDEX(DIFFERENTIATION_UNMERGE_AREA,MATCH(K24,DIFFERENTIATION_ID_DIFF,0)))</f>
        <v>Территория 3</v>
      </c>
      <c r="L26" s="6344" t="str">
        <f>IF(L24="","",INDEX(DIFFERENTIATION_UNMERGE_AREA,MATCH(L24,DIFFERENTIATION_ID_DIFF,0)))</f>
        <v>Территория 3</v>
      </c>
      <c r="M26" s="6344" t="str">
        <f>IF(M24="","",INDEX(DIFFERENTIATION_UNMERGE_AREA,MATCH(M24,DIFFERENTIATION_ID_DIFF,0)))</f>
        <v>Территория 3</v>
      </c>
      <c r="N26" s="6344" t="str">
        <f>IF(N24="","",INDEX(DIFFERENTIATION_UNMERGE_AREA,MATCH(N24,DIFFERENTIATION_ID_DIFF,0)))</f>
        <v>Территория 3</v>
      </c>
      <c r="O26" s="6344" t="str">
        <f>IF(O24="","",INDEX(DIFFERENTIATION_UNMERGE_AREA,MATCH(O24,DIFFERENTIATION_ID_DIFF,0)))</f>
        <v>Территория 4</v>
      </c>
      <c r="P26" s="6344" t="str">
        <f>IF(P24="","",INDEX(DIFFERENTIATION_UNMERGE_AREA,MATCH(P24,DIFFERENTIATION_ID_DIFF,0)))</f>
        <v>Территория 4</v>
      </c>
      <c r="Q26" s="6344" t="str">
        <f>IF(Q24="","",INDEX(DIFFERENTIATION_UNMERGE_AREA,MATCH(Q24,DIFFERENTIATION_ID_DIFF,0)))</f>
        <v>Территория 5</v>
      </c>
      <c r="R26" s="6344" t="str">
        <f>IF(R24="","",INDEX(DIFFERENTIATION_UNMERGE_AREA,MATCH(R24,DIFFERENTIATION_ID_DIFF,0)))</f>
        <v>Территория 6</v>
      </c>
      <c r="S26" s="6344" t="str">
        <f>IF(S24="","",INDEX(DIFFERENTIATION_UNMERGE_AREA,MATCH(S24,DIFFERENTIATION_ID_DIFF,0)))</f>
        <v>Территория 7</v>
      </c>
      <c r="T26" s="6344" t="str">
        <f>IF(T24="","",INDEX(DIFFERENTIATION_UNMERGE_AREA,MATCH(T24,DIFFERENTIATION_ID_DIFF,0)))</f>
        <v>Территория 7</v>
      </c>
      <c r="U26" s="6344" t="str">
        <f>IF(U24="","",INDEX(DIFFERENTIATION_UNMERGE_AREA,MATCH(U24,DIFFERENTIATION_ID_DIFF,0)))</f>
        <v>Территория 8</v>
      </c>
      <c r="V26" s="6344" t="str">
        <f>IF(V24="","",INDEX(DIFFERENTIATION_UNMERGE_AREA,MATCH(V24,DIFFERENTIATION_ID_DIFF,0)))</f>
        <v>Территория 9</v>
      </c>
      <c r="W26" s="2167"/>
    </row>
    <row customHeight="1" ht="11.25">
      <c r="E27" s="841"/>
      <c r="F27" s="2396" t="s">
        <v>648</v>
      </c>
      <c r="G27" s="2397"/>
      <c r="H27" s="1789" t="str">
        <f>IF(H24="","",INDEX(DIFFERENTIATION_UNMERGE_SYSTEM,MATCH(H24,DIFFERENTIATION_ID_DIFF,0)))</f>
        <v/>
      </c>
      <c r="I27" s="1789" t="str">
        <f>IF(I24="","",INDEX(DIFFERENTIATION_UNMERGE_SYSTEM,MATCH(I24,DIFFERENTIATION_ID_DIFF,0)))</f>
        <v>Амурская ТЭЦ-1 (г. Амурск)</v>
      </c>
      <c r="J27" s="6344" t="str">
        <f>IF(J24="","",INDEX(DIFFERENTIATION_UNMERGE_SYSTEM,MATCH(J24,DIFFERENTIATION_ID_DIFF,0)))</f>
        <v>Николаевская ТЭЦ (г. Николаевск)</v>
      </c>
      <c r="K27" s="6344" t="str">
        <f>IF(K24="","",INDEX(DIFFERENTIATION_UNMERGE_SYSTEM,MATCH(K24,DIFFERENTIATION_ID_DIFF,0)))</f>
        <v>Комсомольская ТЭЦ-1 (г. Комсомольск)</v>
      </c>
      <c r="L27" s="6344" t="str">
        <f>IF(L24="","",INDEX(DIFFERENTIATION_UNMERGE_SYSTEM,MATCH(L24,DIFFERENTIATION_ID_DIFF,0)))</f>
        <v>Комсомольская ТЭЦ-2 (г. Комсомольск)</v>
      </c>
      <c r="M27" s="6344" t="str">
        <f>IF(M24="","",INDEX(DIFFERENTIATION_UNMERGE_SYSTEM,MATCH(M24,DIFFERENTIATION_ID_DIFF,0)))</f>
        <v>Комсомольская ТЭЦ-3 (г. Комсомольск)</v>
      </c>
      <c r="N27" s="6344" t="str">
        <f>IF(N24="","",INDEX(DIFFERENTIATION_UNMERGE_SYSTEM,MATCH(N24,DIFFERENTIATION_ID_DIFF,0)))</f>
        <v>ВК "Дземги" (г. Комсомольск)</v>
      </c>
      <c r="O27" s="6344" t="str">
        <f>IF(O24="","",INDEX(DIFFERENTIATION_UNMERGE_SYSTEM,MATCH(O24,DIFFERENTIATION_ID_DIFF,0)))</f>
        <v>ТЭЦ в г. Советская Гавань (г. Советская Гавань)</v>
      </c>
      <c r="P27" s="6344" t="str">
        <f>IF(P24="","",INDEX(DIFFERENTIATION_UNMERGE_SYSTEM,MATCH(P24,DIFFERENTIATION_ID_DIFF,0)))</f>
        <v>Майская котельная </v>
      </c>
      <c r="Q27" s="6344" t="str">
        <f>IF(Q24="","",INDEX(DIFFERENTIATION_UNMERGE_SYSTEM,MATCH(Q24,DIFFERENTIATION_ID_DIFF,0)))</f>
        <v>Ургальская котельная (п. Чегдомын)</v>
      </c>
      <c r="R27" s="6344" t="str">
        <f>IF(R24="","",INDEX(DIFFERENTIATION_UNMERGE_SYSTEM,MATCH(R24,DIFFERENTIATION_ID_DIFF,0)))</f>
        <v>Хабаровская ТЭЦ-1 (г. Хабаровск, с. Ильинское, п. Корфовский, с. Ракитненское)</v>
      </c>
      <c r="S27" s="6344" t="str">
        <f>IF(S24="","",INDEX(DIFFERENTIATION_UNMERGE_SYSTEM,MATCH(S24,DIFFERENTIATION_ID_DIFF,0)))</f>
        <v>Хабаровская ТЭЦ-2 (г. Хабаровск)</v>
      </c>
      <c r="T27" s="6344" t="str">
        <f>IF(T24="","",INDEX(DIFFERENTIATION_UNMERGE_SYSTEM,MATCH(T24,DIFFERENTIATION_ID_DIFF,0)))</f>
        <v>Котельная в Волочаевском городке</v>
      </c>
      <c r="U27" s="6344" t="str">
        <f>IF(U24="","",INDEX(DIFFERENTIATION_UNMERGE_SYSTEM,MATCH(U24,DIFFERENTIATION_ID_DIFF,0)))</f>
        <v>Хабаровская ТЭЦ-3 (г. Хабаровск, с. Восточное, с. Мирненское, с. Тополевское)</v>
      </c>
      <c r="V27" s="6344" t="str">
        <f>IF(V24="","",INDEX(DIFFERENTIATION_UNMERGE_SYSTEM,MATCH(V24,DIFFERENTIATION_ID_DIFF,0)))</f>
        <v>Котельная в с. Некрасовка (с. Дружбинское, с. Некрасовское) </v>
      </c>
      <c r="W27" s="2167"/>
    </row>
    <row customHeight="1" ht="11.25">
      <c r="E28" s="2398" t="s">
        <v>378</v>
      </c>
      <c r="F28" s="2399"/>
      <c r="G28" s="2399"/>
      <c r="H28" s="1782"/>
      <c r="I28" s="1782"/>
      <c r="J28" s="6348"/>
      <c r="K28" s="6348"/>
      <c r="L28" s="6348"/>
      <c r="M28" s="6348"/>
      <c r="N28" s="6348"/>
      <c r="O28" s="6348"/>
      <c r="P28" s="6348"/>
      <c r="Q28" s="6348"/>
      <c r="R28" s="6348"/>
      <c r="S28" s="6348"/>
      <c r="T28" s="6348"/>
      <c r="U28" s="6348"/>
      <c r="V28" s="6348"/>
      <c r="W28" s="2167"/>
    </row>
    <row customHeight="1" ht="22.5">
      <c r="E29" s="1783" t="s">
        <v>85</v>
      </c>
      <c r="F29" s="1790" t="s">
        <v>380</v>
      </c>
      <c r="G29" s="1790" t="s">
        <v>649</v>
      </c>
      <c r="H29" s="1790" t="s">
        <v>381</v>
      </c>
      <c r="I29" s="1790" t="s">
        <v>381</v>
      </c>
      <c r="J29" s="6306" t="s">
        <v>381</v>
      </c>
      <c r="K29" s="6306" t="s">
        <v>381</v>
      </c>
      <c r="L29" s="6306" t="s">
        <v>381</v>
      </c>
      <c r="M29" s="6306" t="s">
        <v>381</v>
      </c>
      <c r="N29" s="6306" t="s">
        <v>381</v>
      </c>
      <c r="O29" s="6306" t="s">
        <v>381</v>
      </c>
      <c r="P29" s="6306" t="s">
        <v>381</v>
      </c>
      <c r="Q29" s="6306" t="s">
        <v>381</v>
      </c>
      <c r="R29" s="6306" t="s">
        <v>381</v>
      </c>
      <c r="S29" s="6306" t="s">
        <v>381</v>
      </c>
      <c r="T29" s="6306" t="s">
        <v>381</v>
      </c>
      <c r="U29" s="6306" t="s">
        <v>381</v>
      </c>
      <c r="V29" s="6306" t="s">
        <v>381</v>
      </c>
      <c r="W29" s="2167"/>
    </row>
    <row customHeight="1" ht="22.5">
      <c r="D30" s="1775"/>
      <c r="E30" s="676">
        <f>FHD_NUM_P_1</f>
        <v>1</v>
      </c>
      <c r="F30" s="2019" t="str">
        <f>FHD_P_1</f>
        <v>Выручка от регулируемого вида деятельности с распределением по видам деятельности</v>
      </c>
      <c r="G30" s="2017" t="s">
        <v>635</v>
      </c>
      <c r="H30" s="687"/>
      <c r="I30" s="687"/>
      <c r="J30" s="6352"/>
      <c r="K30" s="6352"/>
      <c r="L30" s="6352"/>
      <c r="M30" s="6352"/>
      <c r="N30" s="6352"/>
      <c r="O30" s="6352"/>
      <c r="P30" s="6352"/>
      <c r="Q30" s="6352"/>
      <c r="R30" s="6352"/>
      <c r="S30" s="6352"/>
      <c r="T30" s="6352"/>
      <c r="U30" s="6352"/>
      <c r="V30" s="6352"/>
      <c r="W30" s="419" t="str">
        <f>FHD_NOTE_P_1</f>
        <v>Указывается выручка от регулируемого вида деятельности с распределением по видам деятельности.</v>
      </c>
      <c r="X30" s="673"/>
    </row>
    <row customHeight="1" ht="33.75">
      <c r="D31" s="1775"/>
      <c r="E31" s="676">
        <f>FHD_NUM_P_2</f>
        <v>2</v>
      </c>
      <c r="F31" s="2019" t="str">
        <f>FHD_P_2</f>
        <v>Себестоимость производимых товаров (оказываемых услуг) по регулируемому виду деятельности, включая:</v>
      </c>
      <c r="G31" s="2017" t="s">
        <v>635</v>
      </c>
      <c r="H31" s="688">
        <f>SUMIF($X33:$X71,$X31,H33:H71)</f>
        <v>0</v>
      </c>
      <c r="I31" s="688">
        <f>SUMIF($X33:$X71,$X31,I33:I71)</f>
        <v>0</v>
      </c>
      <c r="J31" s="6354">
        <f>SUMIF($X33:$X71,$X31,J33:J71)</f>
        <v>0</v>
      </c>
      <c r="K31" s="6354">
        <f>SUMIF($X33:$X71,$X31,K33:K71)</f>
        <v>0</v>
      </c>
      <c r="L31" s="6354">
        <f>SUMIF($X33:$X71,$X31,L33:L71)</f>
        <v>0</v>
      </c>
      <c r="M31" s="6354">
        <f>SUMIF($X33:$X71,$X31,M33:M71)</f>
        <v>0</v>
      </c>
      <c r="N31" s="6354">
        <f>SUMIF($X33:$X71,$X31,N33:N71)</f>
        <v>0</v>
      </c>
      <c r="O31" s="6354">
        <f>SUMIF($X33:$X71,$X31,O33:O71)</f>
        <v>0</v>
      </c>
      <c r="P31" s="6354">
        <f>SUMIF($X33:$X71,$X31,P33:P71)</f>
        <v>0</v>
      </c>
      <c r="Q31" s="6354">
        <f>SUMIF($X33:$X71,$X31,Q33:Q71)</f>
        <v>0</v>
      </c>
      <c r="R31" s="6354">
        <f>SUMIF($X33:$X71,$X31,R33:R71)</f>
        <v>0</v>
      </c>
      <c r="S31" s="6354">
        <f>SUMIF($X33:$X71,$X31,S33:S71)</f>
        <v>0</v>
      </c>
      <c r="T31" s="6354">
        <f>SUMIF($X33:$X71,$X31,T33:T71)</f>
        <v>0</v>
      </c>
      <c r="U31" s="6354">
        <f>SUMIF($X33:$X71,$X31,U33:U71)</f>
        <v>0</v>
      </c>
      <c r="V31" s="6354">
        <f>SUMIF($X33:$X71,$X31,V33:V71)</f>
        <v>0</v>
      </c>
      <c r="W31" s="419" t="str">
        <f>FHD_NOTE_P_2</f>
        <v>Указывается суммарная себестоимость производимых товаров.</v>
      </c>
      <c r="X31" s="1773" t="s">
        <v>650</v>
      </c>
    </row>
    <row customHeight="1" ht="22.5">
      <c r="D32" s="1775"/>
      <c r="E32" s="676" t="str">
        <f>FHD_NUM_P_3</f>
        <v>2.1</v>
      </c>
      <c r="F32" s="1661" t="str">
        <f>FHD_P_3</f>
        <v>Расходы на приобретаемую тепловую энергию (мощность), теплоноситель</v>
      </c>
      <c r="G32" s="2017" t="s">
        <v>635</v>
      </c>
      <c r="H32" s="687"/>
      <c r="I32" s="687"/>
      <c r="J32" s="6352"/>
      <c r="K32" s="6352"/>
      <c r="L32" s="6352"/>
      <c r="M32" s="6352"/>
      <c r="N32" s="6352"/>
      <c r="O32" s="6352"/>
      <c r="P32" s="6352"/>
      <c r="Q32" s="6352"/>
      <c r="R32" s="6352"/>
      <c r="S32" s="6352"/>
      <c r="T32" s="6352"/>
      <c r="U32" s="6352"/>
      <c r="V32" s="6352"/>
      <c r="W32" s="419" t="str">
        <f>FHD_NOTE_P_3</f>
        <v/>
      </c>
      <c r="X32" s="1773" t="str">
        <f>IF((LEN(E32)-LEN(SUBSTITUTE(E32,".","")))/LEN(".")=1,"p","")</f>
        <v>p</v>
      </c>
    </row>
    <row customHeight="1" ht="11.25">
      <c r="A33" s="2400" t="s">
        <v>651</v>
      </c>
      <c r="D33" s="1775"/>
      <c r="E33" s="676" t="str">
        <f>FHD_NUM_P_4</f>
        <v>2.2</v>
      </c>
      <c r="F33" s="166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17" t="s">
        <v>635</v>
      </c>
      <c r="H33" s="688">
        <f>SUMIF($F34:$F40,$F3,H34:H40)</f>
        <v>0</v>
      </c>
      <c r="I33" s="688">
        <f>SUMIF($F34:$F40,$F3,I34:I40)</f>
        <v>0</v>
      </c>
      <c r="J33" s="6354">
        <f>SUMIF($F34:$F40,$F3,J34:J40)</f>
        <v>0</v>
      </c>
      <c r="K33" s="6354">
        <f>SUMIF($F34:$F40,$F3,K34:K40)</f>
        <v>0</v>
      </c>
      <c r="L33" s="6354">
        <f>SUMIF($F34:$F40,$F3,L34:L40)</f>
        <v>0</v>
      </c>
      <c r="M33" s="6354">
        <f>SUMIF($F34:$F40,$F3,M34:M40)</f>
        <v>0</v>
      </c>
      <c r="N33" s="6354">
        <f>SUMIF($F34:$F40,$F3,N34:N40)</f>
        <v>0</v>
      </c>
      <c r="O33" s="6354">
        <f>SUMIF($F34:$F40,$F3,O34:O40)</f>
        <v>0</v>
      </c>
      <c r="P33" s="6354">
        <f>SUMIF($F34:$F40,$F3,P34:P40)</f>
        <v>0</v>
      </c>
      <c r="Q33" s="6354">
        <f>SUMIF($F34:$F40,$F3,Q34:Q40)</f>
        <v>0</v>
      </c>
      <c r="R33" s="6354">
        <f>SUMIF($F34:$F40,$F3,R34:R40)</f>
        <v>0</v>
      </c>
      <c r="S33" s="6354">
        <f>SUMIF($F34:$F40,$F3,S34:S40)</f>
        <v>0</v>
      </c>
      <c r="T33" s="6354">
        <f>SUMIF($F34:$F40,$F3,T34:T40)</f>
        <v>0</v>
      </c>
      <c r="U33" s="6354">
        <f>SUMIF($F34:$F40,$F3,U34:U40)</f>
        <v>0</v>
      </c>
      <c r="V33" s="6354">
        <f>SUMIF($F34:$F40,$F3,V34:V40)</f>
        <v>0</v>
      </c>
      <c r="W33" s="419" t="str">
        <f>FHD_NOTE_P_4</f>
        <v>Указываются суммарные расходы на приобретение топлива всех видов.</v>
      </c>
      <c r="X33" s="1773" t="str">
        <f>IF((LEN(E33)-LEN(SUBSTITUTE(E33,".","")))/LEN(".")=1,"p","")</f>
        <v>p</v>
      </c>
    </row>
    <row s="11770" customFormat="1" customHeight="1" ht="0.75">
      <c r="A34" s="2400"/>
      <c r="B34" s="2401" t="str">
        <f>E33&amp;".0"</f>
        <v>2.2.0</v>
      </c>
      <c r="C34" s="1299"/>
      <c r="D34" s="690"/>
      <c r="E34" s="691"/>
      <c r="F34" s="692"/>
      <c r="G34" s="693"/>
      <c r="H34" s="627"/>
      <c r="I34" s="627"/>
      <c r="J34" s="6362"/>
      <c r="K34" s="6362"/>
      <c r="L34" s="6362"/>
      <c r="M34" s="6362"/>
      <c r="N34" s="6362"/>
      <c r="O34" s="6362"/>
      <c r="P34" s="6362"/>
      <c r="Q34" s="6362"/>
      <c r="R34" s="6362"/>
      <c r="S34" s="6362"/>
      <c r="T34" s="6362"/>
      <c r="U34" s="6362"/>
      <c r="V34" s="6362"/>
      <c r="W34" s="694"/>
      <c r="X34" s="1773" t="str">
        <f>IF((LEN(E34)-LEN(SUBSTITUTE(E34,".","")))/LEN(".")=1,"p","")</f>
        <v/>
      </c>
      <c r="Y34" s="1773"/>
      <c r="Z34" s="1773"/>
      <c r="AA34" s="1773"/>
      <c r="AB34" s="1773"/>
      <c r="AC34" s="1773"/>
      <c r="AD34" s="1773"/>
      <c r="AE34" s="1773"/>
      <c r="AF34" s="1773"/>
      <c r="AG34" s="1773"/>
      <c r="AH34" s="695"/>
      <c r="AI34" s="1773"/>
      <c r="AJ34" s="1773"/>
      <c r="AK34" s="1773"/>
      <c r="AL34" s="1773"/>
      <c r="AM34" s="1773"/>
      <c r="AN34" s="696"/>
      <c r="AO34" s="696"/>
      <c r="AP34" s="696"/>
      <c r="AQ34" s="696"/>
      <c r="AR34" s="696"/>
    </row>
    <row s="11770" customFormat="1" customHeight="1" ht="0.75">
      <c r="A35" s="2400"/>
      <c r="B35" s="2401"/>
      <c r="C35" s="1299"/>
      <c r="D35" s="690"/>
      <c r="E35" s="697"/>
      <c r="F35" s="698"/>
      <c r="G35" s="693"/>
      <c r="H35" s="699"/>
      <c r="I35" s="699"/>
      <c r="J35" s="6369"/>
      <c r="K35" s="6369"/>
      <c r="L35" s="6369"/>
      <c r="M35" s="6369"/>
      <c r="N35" s="6369"/>
      <c r="O35" s="6369"/>
      <c r="P35" s="6369"/>
      <c r="Q35" s="6369"/>
      <c r="R35" s="6369"/>
      <c r="S35" s="6369"/>
      <c r="T35" s="6369"/>
      <c r="U35" s="6369"/>
      <c r="V35" s="6369"/>
      <c r="W35" s="694"/>
      <c r="X35" s="1773" t="str">
        <f>IF((LEN(E35)-LEN(SUBSTITUTE(E35,".","")))/LEN(".")=1,"p","")</f>
        <v/>
      </c>
      <c r="Y35" s="1773"/>
      <c r="Z35" s="1773"/>
      <c r="AA35" s="1773"/>
      <c r="AB35" s="1773"/>
      <c r="AC35" s="1773"/>
      <c r="AD35" s="1773"/>
      <c r="AE35" s="1773"/>
      <c r="AF35" s="1773"/>
      <c r="AG35" s="1773"/>
      <c r="AH35" s="695"/>
      <c r="AI35" s="1773"/>
      <c r="AJ35" s="1773"/>
      <c r="AK35" s="1773"/>
      <c r="AL35" s="1773"/>
      <c r="AM35" s="1773"/>
      <c r="AN35" s="696"/>
      <c r="AO35" s="696"/>
      <c r="AP35" s="696"/>
      <c r="AQ35" s="696"/>
      <c r="AR35" s="696"/>
    </row>
    <row s="11770" customFormat="1" customHeight="1" ht="0.75">
      <c r="A36" s="2400"/>
      <c r="B36" s="2401"/>
      <c r="C36" s="1299"/>
      <c r="D36" s="690"/>
      <c r="E36" s="697"/>
      <c r="F36" s="698"/>
      <c r="G36" s="693"/>
      <c r="H36" s="699"/>
      <c r="I36" s="699"/>
      <c r="J36" s="6369"/>
      <c r="K36" s="6369"/>
      <c r="L36" s="6369"/>
      <c r="M36" s="6369"/>
      <c r="N36" s="6369"/>
      <c r="O36" s="6369"/>
      <c r="P36" s="6369"/>
      <c r="Q36" s="6369"/>
      <c r="R36" s="6369"/>
      <c r="S36" s="6369"/>
      <c r="T36" s="6369"/>
      <c r="U36" s="6369"/>
      <c r="V36" s="6369"/>
      <c r="W36" s="694"/>
      <c r="X36" s="1773" t="str">
        <f>IF((LEN(E36)-LEN(SUBSTITUTE(E36,".","")))/LEN(".")=1,"p","")</f>
        <v/>
      </c>
      <c r="Y36" s="1773"/>
      <c r="Z36" s="1773"/>
      <c r="AA36" s="1773"/>
      <c r="AB36" s="1773"/>
      <c r="AC36" s="1773"/>
      <c r="AD36" s="1773"/>
      <c r="AE36" s="1773"/>
      <c r="AF36" s="1773"/>
      <c r="AG36" s="1773"/>
      <c r="AH36" s="695"/>
      <c r="AI36" s="1773"/>
      <c r="AJ36" s="1773"/>
      <c r="AK36" s="1773"/>
      <c r="AL36" s="1773"/>
      <c r="AM36" s="1773"/>
      <c r="AN36" s="696"/>
      <c r="AO36" s="696"/>
      <c r="AP36" s="696"/>
      <c r="AQ36" s="696"/>
      <c r="AR36" s="696"/>
    </row>
    <row s="11770" customFormat="1" customHeight="1" ht="0.75">
      <c r="A37" s="2400"/>
      <c r="B37" s="2401"/>
      <c r="C37" s="1299"/>
      <c r="D37" s="690"/>
      <c r="E37" s="697"/>
      <c r="F37" s="698"/>
      <c r="G37" s="693"/>
      <c r="H37" s="699"/>
      <c r="I37" s="699"/>
      <c r="J37" s="6369"/>
      <c r="K37" s="6369"/>
      <c r="L37" s="6369"/>
      <c r="M37" s="6369"/>
      <c r="N37" s="6369"/>
      <c r="O37" s="6369"/>
      <c r="P37" s="6369"/>
      <c r="Q37" s="6369"/>
      <c r="R37" s="6369"/>
      <c r="S37" s="6369"/>
      <c r="T37" s="6369"/>
      <c r="U37" s="6369"/>
      <c r="V37" s="6369"/>
      <c r="W37" s="694"/>
      <c r="X37" s="1773" t="str">
        <f>IF((LEN(E37)-LEN(SUBSTITUTE(E37,".","")))/LEN(".")=1,"p","")</f>
        <v/>
      </c>
      <c r="Y37" s="1773"/>
      <c r="Z37" s="1773"/>
      <c r="AA37" s="1773"/>
      <c r="AB37" s="1773"/>
      <c r="AC37" s="1773"/>
      <c r="AD37" s="1773"/>
      <c r="AE37" s="1773"/>
      <c r="AF37" s="1773"/>
      <c r="AG37" s="1773"/>
      <c r="AH37" s="695"/>
      <c r="AI37" s="1773"/>
      <c r="AJ37" s="1773"/>
      <c r="AK37" s="1773"/>
      <c r="AL37" s="1773"/>
      <c r="AM37" s="1773"/>
      <c r="AN37" s="696"/>
      <c r="AO37" s="696"/>
      <c r="AP37" s="696"/>
      <c r="AQ37" s="696"/>
      <c r="AR37" s="696"/>
    </row>
    <row s="11770" customFormat="1" customHeight="1" ht="0.75">
      <c r="A38" s="2400"/>
      <c r="B38" s="2401"/>
      <c r="C38" s="1299"/>
      <c r="D38" s="690"/>
      <c r="E38" s="697"/>
      <c r="F38" s="698"/>
      <c r="G38" s="693"/>
      <c r="H38" s="699"/>
      <c r="I38" s="699"/>
      <c r="J38" s="6369"/>
      <c r="K38" s="6369"/>
      <c r="L38" s="6369"/>
      <c r="M38" s="6369"/>
      <c r="N38" s="6369"/>
      <c r="O38" s="6369"/>
      <c r="P38" s="6369"/>
      <c r="Q38" s="6369"/>
      <c r="R38" s="6369"/>
      <c r="S38" s="6369"/>
      <c r="T38" s="6369"/>
      <c r="U38" s="6369"/>
      <c r="V38" s="6369"/>
      <c r="W38" s="694"/>
      <c r="X38" s="1773" t="str">
        <f>IF((LEN(E38)-LEN(SUBSTITUTE(E38,".","")))/LEN(".")=1,"p","")</f>
        <v/>
      </c>
      <c r="Y38" s="1773"/>
      <c r="Z38" s="1773"/>
      <c r="AA38" s="1773"/>
      <c r="AB38" s="1773"/>
      <c r="AC38" s="1773"/>
      <c r="AD38" s="1773"/>
      <c r="AE38" s="1773"/>
      <c r="AF38" s="1773"/>
      <c r="AG38" s="1773"/>
      <c r="AH38" s="695"/>
      <c r="AI38" s="1773"/>
      <c r="AJ38" s="1773"/>
      <c r="AK38" s="1773"/>
      <c r="AL38" s="1773"/>
      <c r="AM38" s="1773"/>
      <c r="AN38" s="696"/>
      <c r="AO38" s="696"/>
      <c r="AP38" s="696"/>
      <c r="AQ38" s="696"/>
      <c r="AR38" s="696"/>
    </row>
    <row s="11770" customFormat="1" customHeight="1" ht="0.75">
      <c r="A39" s="2400"/>
      <c r="B39" s="2401"/>
      <c r="C39" s="1299"/>
      <c r="D39" s="690"/>
      <c r="E39" s="697"/>
      <c r="F39" s="698"/>
      <c r="G39" s="693"/>
      <c r="H39" s="627"/>
      <c r="I39" s="627"/>
      <c r="J39" s="6362"/>
      <c r="K39" s="6362"/>
      <c r="L39" s="6362"/>
      <c r="M39" s="6362"/>
      <c r="N39" s="6362"/>
      <c r="O39" s="6362"/>
      <c r="P39" s="6362"/>
      <c r="Q39" s="6362"/>
      <c r="R39" s="6362"/>
      <c r="S39" s="6362"/>
      <c r="T39" s="6362"/>
      <c r="U39" s="6362"/>
      <c r="V39" s="6362"/>
      <c r="W39" s="694"/>
      <c r="X39" s="1773" t="str">
        <f>IF((LEN(E39)-LEN(SUBSTITUTE(E39,".","")))/LEN(".")=1,"p","")</f>
        <v/>
      </c>
      <c r="Y39" s="1773"/>
      <c r="Z39" s="1773"/>
      <c r="AA39" s="1773"/>
      <c r="AB39" s="1773"/>
      <c r="AC39" s="1773"/>
      <c r="AD39" s="1773"/>
      <c r="AE39" s="1773"/>
      <c r="AF39" s="1773"/>
      <c r="AG39" s="1773"/>
      <c r="AH39" s="695"/>
      <c r="AI39" s="1773"/>
      <c r="AJ39" s="1773"/>
      <c r="AK39" s="1773"/>
      <c r="AL39" s="1773"/>
      <c r="AM39" s="1773"/>
      <c r="AN39" s="696"/>
      <c r="AO39" s="696"/>
      <c r="AP39" s="696"/>
      <c r="AQ39" s="696"/>
      <c r="AR39" s="696"/>
    </row>
    <row s="11649" customFormat="1" customHeight="1" ht="15">
      <c r="A40" s="2400"/>
      <c r="C40" s="1773"/>
      <c r="D40" s="1770"/>
      <c r="E40" s="700"/>
      <c r="F40" s="701" t="s">
        <v>652</v>
      </c>
      <c r="G40" s="702"/>
      <c r="H40" s="703"/>
      <c r="I40" s="703"/>
      <c r="J40" s="6374"/>
      <c r="K40" s="6375"/>
      <c r="L40" s="6376"/>
      <c r="M40" s="6377"/>
      <c r="N40" s="6378"/>
      <c r="O40" s="6379"/>
      <c r="P40" s="6380"/>
      <c r="Q40" s="6381"/>
      <c r="R40" s="6382"/>
      <c r="S40" s="6383"/>
      <c r="T40" s="6384"/>
      <c r="U40" s="6385"/>
      <c r="V40" s="6386"/>
      <c r="W40" s="431"/>
      <c r="X40" s="1773" t="str">
        <f>IF((LEN(E40)-LEN(SUBSTITUTE(E40,".","")))/LEN(".")=1,"p","")</f>
        <v/>
      </c>
      <c r="Y40" s="1773"/>
      <c r="Z40" s="1773"/>
      <c r="AE40" s="1773"/>
      <c r="AH40" s="674"/>
      <c r="AN40" s="1769"/>
      <c r="AO40" s="1769"/>
      <c r="AP40" s="1769"/>
      <c r="AQ40" s="1769"/>
      <c r="AR40" s="1769"/>
    </row>
    <row customHeight="1" ht="11.25" hidden="1">
      <c r="A41" s="2400" t="s">
        <v>653</v>
      </c>
      <c r="D41" s="1775"/>
      <c r="E41" s="676" t="str">
        <f>FHD_NUM_P_5</f>
        <v/>
      </c>
      <c r="F41" s="1661" t="str">
        <f>FHD_P_5</f>
        <v/>
      </c>
      <c r="G41" s="2017" t="s">
        <v>635</v>
      </c>
      <c r="H41" s="687"/>
      <c r="I41" s="687"/>
      <c r="J41" s="6352"/>
      <c r="K41" s="6352"/>
      <c r="L41" s="6352"/>
      <c r="M41" s="6352"/>
      <c r="N41" s="6352"/>
      <c r="O41" s="6352"/>
      <c r="P41" s="6352"/>
      <c r="Q41" s="6352"/>
      <c r="R41" s="6352"/>
      <c r="S41" s="6352"/>
      <c r="T41" s="6352"/>
      <c r="U41" s="6352"/>
      <c r="V41" s="6352"/>
      <c r="W41" s="419" t="str">
        <f>FHD_NOTE_P_5</f>
        <v/>
      </c>
      <c r="X41" s="1773" t="str">
        <f>IF((LEN(E41)-LEN(SUBSTITUTE(E41,".","")))/LEN(".")=1,"p","")</f>
        <v/>
      </c>
    </row>
    <row customHeight="1" ht="11.25" hidden="1">
      <c r="A42" s="2400"/>
      <c r="D42" s="1775"/>
      <c r="E42" s="676" t="str">
        <f>FHD_NUM_P_6</f>
        <v/>
      </c>
      <c r="F42" s="1661" t="str">
        <f>FHD_P_6</f>
        <v/>
      </c>
      <c r="G42" s="2017" t="s">
        <v>635</v>
      </c>
      <c r="H42" s="687"/>
      <c r="I42" s="687"/>
      <c r="J42" s="6352"/>
      <c r="K42" s="6352"/>
      <c r="L42" s="6352"/>
      <c r="M42" s="6352"/>
      <c r="N42" s="6352"/>
      <c r="O42" s="6352"/>
      <c r="P42" s="6352"/>
      <c r="Q42" s="6352"/>
      <c r="R42" s="6352"/>
      <c r="S42" s="6352"/>
      <c r="T42" s="6352"/>
      <c r="U42" s="6352"/>
      <c r="V42" s="6352"/>
      <c r="W42" s="419" t="str">
        <f>FHD_NOTE_P_6</f>
        <v/>
      </c>
      <c r="X42" s="1773" t="str">
        <f>IF((LEN(E42)-LEN(SUBSTITUTE(E42,".","")))/LEN(".")=1,"p","")</f>
        <v/>
      </c>
    </row>
    <row customHeight="1" ht="11.25" hidden="1">
      <c r="A43" s="2400"/>
      <c r="D43" s="1775"/>
      <c r="E43" s="676" t="str">
        <f>FHD_NUM_P_7</f>
        <v/>
      </c>
      <c r="F43" s="1661" t="str">
        <f>FHD_P_7</f>
        <v/>
      </c>
      <c r="G43" s="2017" t="s">
        <v>635</v>
      </c>
      <c r="H43" s="687"/>
      <c r="I43" s="687"/>
      <c r="J43" s="6352"/>
      <c r="K43" s="6352"/>
      <c r="L43" s="6352"/>
      <c r="M43" s="6352"/>
      <c r="N43" s="6352"/>
      <c r="O43" s="6352"/>
      <c r="P43" s="6352"/>
      <c r="Q43" s="6352"/>
      <c r="R43" s="6352"/>
      <c r="S43" s="6352"/>
      <c r="T43" s="6352"/>
      <c r="U43" s="6352"/>
      <c r="V43" s="6352"/>
      <c r="W43" s="419" t="str">
        <f>FHD_NOTE_P_7</f>
        <v/>
      </c>
      <c r="X43" s="1773" t="str">
        <f>IF((LEN(E43)-LEN(SUBSTITUTE(E43,".","")))/LEN(".")=1,"p","")</f>
        <v/>
      </c>
    </row>
    <row customHeight="1" ht="22.5">
      <c r="D44" s="1775"/>
      <c r="E44" s="676" t="str">
        <f>FHD_NUM_P_8</f>
        <v>2.3</v>
      </c>
      <c r="F44" s="1661" t="str">
        <f>FHD_P_8</f>
        <v>Расходы на приобретаемую электрическую энергию (мощность), используемую в технологическом процессе</v>
      </c>
      <c r="G44" s="2017" t="s">
        <v>635</v>
      </c>
      <c r="H44" s="687"/>
      <c r="I44" s="687"/>
      <c r="J44" s="6352"/>
      <c r="K44" s="6352"/>
      <c r="L44" s="6352"/>
      <c r="M44" s="6352"/>
      <c r="N44" s="6352"/>
      <c r="O44" s="6352"/>
      <c r="P44" s="6352"/>
      <c r="Q44" s="6352"/>
      <c r="R44" s="6352"/>
      <c r="S44" s="6352"/>
      <c r="T44" s="6352"/>
      <c r="U44" s="6352"/>
      <c r="V44" s="6352"/>
      <c r="W44" s="419" t="str">
        <f>FHD_NOTE_P_8</f>
        <v/>
      </c>
      <c r="X44" s="1773" t="str">
        <f>IF((LEN(E44)-LEN(SUBSTITUTE(E44,".","")))/LEN(".")=1,"p","")</f>
        <v>p</v>
      </c>
    </row>
    <row customHeight="1" ht="22.5">
      <c r="D45" s="1775"/>
      <c r="E45" s="676" t="str">
        <f>FHD_NUM_P_9</f>
        <v>2.3.1</v>
      </c>
      <c r="F45" s="1787" t="str">
        <f>FHD_P_9</f>
        <v>Средневзвешенная стоимость 1 кВт.ч (с учетом мощности)</v>
      </c>
      <c r="G45" s="2017" t="s">
        <v>654</v>
      </c>
      <c r="H45" s="687"/>
      <c r="I45" s="687"/>
      <c r="J45" s="6352"/>
      <c r="K45" s="6352"/>
      <c r="L45" s="6352"/>
      <c r="M45" s="6352"/>
      <c r="N45" s="6352"/>
      <c r="O45" s="6352"/>
      <c r="P45" s="6352"/>
      <c r="Q45" s="6352"/>
      <c r="R45" s="6352"/>
      <c r="S45" s="6352"/>
      <c r="T45" s="6352"/>
      <c r="U45" s="6352"/>
      <c r="V45" s="6352"/>
      <c r="W45" s="419" t="str">
        <f>FHD_NOTE_P_9</f>
        <v/>
      </c>
      <c r="X45" s="1773" t="str">
        <f>IF((LEN(E45)-LEN(SUBSTITUTE(E45,".","")))/LEN(".")=1,"p","")</f>
        <v/>
      </c>
    </row>
    <row s="11649" customFormat="1" customHeight="1" ht="11.25">
      <c r="A46" s="1118"/>
      <c r="C46" s="1773"/>
      <c r="D46" s="704"/>
      <c r="E46" s="676" t="str">
        <f>FHD_NUM_P_10</f>
        <v>2.3.2</v>
      </c>
      <c r="F46" s="1787" t="str">
        <f>FHD_P_10</f>
        <v>Объём приобретения электрической энергии</v>
      </c>
      <c r="G46" s="2017" t="s">
        <v>655</v>
      </c>
      <c r="H46" s="687"/>
      <c r="I46" s="687"/>
      <c r="J46" s="6352"/>
      <c r="K46" s="6352"/>
      <c r="L46" s="6352"/>
      <c r="M46" s="6352"/>
      <c r="N46" s="6352"/>
      <c r="O46" s="6352"/>
      <c r="P46" s="6352"/>
      <c r="Q46" s="6352"/>
      <c r="R46" s="6352"/>
      <c r="S46" s="6352"/>
      <c r="T46" s="6352"/>
      <c r="U46" s="6352"/>
      <c r="V46" s="6352"/>
      <c r="W46" s="419" t="str">
        <f>FHD_NOTE_P_10</f>
        <v/>
      </c>
      <c r="X46" s="1773" t="str">
        <f>IF((LEN(E46)-LEN(SUBSTITUTE(E46,".","")))/LEN(".")=1,"p","")</f>
        <v/>
      </c>
      <c r="Y46" s="1773"/>
      <c r="Z46" s="1773"/>
      <c r="AE46" s="1773"/>
      <c r="AH46" s="674"/>
      <c r="AN46" s="1769"/>
      <c r="AO46" s="1769"/>
      <c r="AP46" s="1769"/>
      <c r="AQ46" s="1769"/>
      <c r="AR46" s="1769"/>
    </row>
    <row s="11649" customFormat="1" customHeight="1" ht="11.25">
      <c r="A47" s="1120" t="s">
        <v>656</v>
      </c>
      <c r="C47" s="1773"/>
      <c r="D47" s="705"/>
      <c r="E47" s="676" t="str">
        <f>FHD_NUM_P_11</f>
        <v>2.4</v>
      </c>
      <c r="F47" s="1661" t="str">
        <f>FHD_P_11</f>
        <v>Расходы на приобретение холодной воды, используемой в технологическом процессе</v>
      </c>
      <c r="G47" s="2017" t="s">
        <v>635</v>
      </c>
      <c r="H47" s="687"/>
      <c r="I47" s="687"/>
      <c r="J47" s="6352"/>
      <c r="K47" s="6352"/>
      <c r="L47" s="6352"/>
      <c r="M47" s="6352"/>
      <c r="N47" s="6352"/>
      <c r="O47" s="6352"/>
      <c r="P47" s="6352"/>
      <c r="Q47" s="6352"/>
      <c r="R47" s="6352"/>
      <c r="S47" s="6352"/>
      <c r="T47" s="6352"/>
      <c r="U47" s="6352"/>
      <c r="V47" s="6352"/>
      <c r="W47" s="419" t="str">
        <f>FHD_NOTE_P_11</f>
        <v/>
      </c>
      <c r="X47" s="1773" t="str">
        <f>IF((LEN(E47)-LEN(SUBSTITUTE(E47,".","")))/LEN(".")=1,"p","")</f>
        <v>p</v>
      </c>
      <c r="Y47" s="1773"/>
      <c r="Z47" s="1773"/>
      <c r="AE47" s="1773"/>
      <c r="AH47" s="674"/>
      <c r="AN47" s="1769"/>
      <c r="AO47" s="1769"/>
      <c r="AP47" s="1769"/>
      <c r="AQ47" s="1769"/>
      <c r="AR47" s="1769"/>
    </row>
    <row s="11649" customFormat="1" customHeight="1" ht="22.5">
      <c r="A48" s="1120" t="s">
        <v>657</v>
      </c>
      <c r="C48" s="1773"/>
      <c r="D48" s="1775"/>
      <c r="E48" s="676" t="str">
        <f>FHD_NUM_P_12</f>
        <v>2.5</v>
      </c>
      <c r="F48" s="1661" t="str">
        <f>FHD_P_12</f>
        <v>Расходы на химические реагенты, используемые в технологическом процессе</v>
      </c>
      <c r="G48" s="2017" t="s">
        <v>635</v>
      </c>
      <c r="H48" s="707"/>
      <c r="I48" s="707"/>
      <c r="J48" s="6392"/>
      <c r="K48" s="6392"/>
      <c r="L48" s="6392"/>
      <c r="M48" s="6392"/>
      <c r="N48" s="6392"/>
      <c r="O48" s="6392"/>
      <c r="P48" s="6392"/>
      <c r="Q48" s="6392"/>
      <c r="R48" s="6392"/>
      <c r="S48" s="6392"/>
      <c r="T48" s="6392"/>
      <c r="U48" s="6392"/>
      <c r="V48" s="6392"/>
      <c r="W48" s="419" t="str">
        <f>FHD_NOTE_P_12</f>
        <v/>
      </c>
      <c r="X48" s="1773" t="str">
        <f>IF((LEN(E48)-LEN(SUBSTITUTE(E48,".","")))/LEN(".")=1,"p","")</f>
        <v>p</v>
      </c>
      <c r="Y48" s="1773"/>
      <c r="Z48" s="1773"/>
      <c r="AE48" s="1773"/>
      <c r="AH48" s="674"/>
      <c r="AN48" s="1769"/>
      <c r="AO48" s="1769"/>
      <c r="AP48" s="1769"/>
      <c r="AQ48" s="1769"/>
      <c r="AR48" s="1769"/>
    </row>
    <row s="12104" customFormat="1" customHeight="1" ht="45">
      <c r="A49" s="1119"/>
      <c r="C49" s="860"/>
      <c r="D49" s="803"/>
      <c r="E49" s="676" t="str">
        <f>FHD_NUM_P_13</f>
        <v>2.6</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635</v>
      </c>
      <c r="H49" s="687"/>
      <c r="I49" s="687"/>
      <c r="J49" s="6352"/>
      <c r="K49" s="6352"/>
      <c r="L49" s="6352"/>
      <c r="M49" s="6352"/>
      <c r="N49" s="6352"/>
      <c r="O49" s="6352"/>
      <c r="P49" s="6352"/>
      <c r="Q49" s="6352"/>
      <c r="R49" s="6352"/>
      <c r="S49" s="6352"/>
      <c r="T49" s="6352"/>
      <c r="U49" s="6352"/>
      <c r="V49" s="6352"/>
      <c r="W49" s="419" t="str">
        <f>FHD_NOTE_P_13</f>
        <v/>
      </c>
      <c r="X49" s="1773" t="str">
        <f>IF((LEN(E49)-LEN(SUBSTITUTE(E49,".","")))/LEN(".")=1,"p","")</f>
        <v>p</v>
      </c>
      <c r="Y49" s="860"/>
      <c r="Z49" s="860"/>
      <c r="AE49" s="860"/>
      <c r="AH49" s="861"/>
      <c r="AN49" s="862"/>
      <c r="AO49" s="862"/>
      <c r="AP49" s="862"/>
      <c r="AQ49" s="862"/>
      <c r="AR49" s="862"/>
    </row>
    <row s="12104" customFormat="1" customHeight="1" ht="22.5">
      <c r="A50" s="1119"/>
      <c r="C50" s="860"/>
      <c r="D50" s="803"/>
      <c r="E50" s="676" t="str">
        <f>FHD_NUM_P_14</f>
        <v>2.6.1</v>
      </c>
      <c r="F50" s="1787" t="str">
        <f>FHD_P_14</f>
        <v>Расходы на оплату труда основного производственного персонала</v>
      </c>
      <c r="G50" s="2017" t="s">
        <v>635</v>
      </c>
      <c r="H50" s="687"/>
      <c r="I50" s="687"/>
      <c r="J50" s="6352"/>
      <c r="K50" s="6352"/>
      <c r="L50" s="6352"/>
      <c r="M50" s="6352"/>
      <c r="N50" s="6352"/>
      <c r="O50" s="6352"/>
      <c r="P50" s="6352"/>
      <c r="Q50" s="6352"/>
      <c r="R50" s="6352"/>
      <c r="S50" s="6352"/>
      <c r="T50" s="6352"/>
      <c r="U50" s="6352"/>
      <c r="V50" s="6352"/>
      <c r="W50" s="419" t="str">
        <f>FHD_NOTE_P_14</f>
        <v/>
      </c>
      <c r="X50" s="1773" t="str">
        <f>IF((LEN(E50)-LEN(SUBSTITUTE(E50,".","")))/LEN(".")=1,"p","")</f>
        <v/>
      </c>
      <c r="Y50" s="860"/>
      <c r="Z50" s="860"/>
      <c r="AE50" s="860"/>
      <c r="AH50" s="861"/>
      <c r="AN50" s="862"/>
      <c r="AO50" s="862"/>
      <c r="AP50" s="862"/>
      <c r="AQ50" s="862"/>
      <c r="AR50" s="862"/>
    </row>
    <row s="12104" customFormat="1" customHeight="1" ht="33.75">
      <c r="A51" s="1119"/>
      <c r="C51" s="860"/>
      <c r="D51" s="803"/>
      <c r="E51" s="676" t="str">
        <f>FHD_NUM_P_15</f>
        <v>2.6.2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635</v>
      </c>
      <c r="H51" s="687"/>
      <c r="I51" s="687"/>
      <c r="J51" s="6352"/>
      <c r="K51" s="6352"/>
      <c r="L51" s="6352"/>
      <c r="M51" s="6352"/>
      <c r="N51" s="6352"/>
      <c r="O51" s="6352"/>
      <c r="P51" s="6352"/>
      <c r="Q51" s="6352"/>
      <c r="R51" s="6352"/>
      <c r="S51" s="6352"/>
      <c r="T51" s="6352"/>
      <c r="U51" s="6352"/>
      <c r="V51" s="6352"/>
      <c r="W51" s="419" t="str">
        <f>FHD_NOTE_P_15</f>
        <v/>
      </c>
      <c r="X51" s="1773" t="str">
        <f>IF((LEN(E51)-LEN(SUBSTITUTE(E51,".","")))/LEN(".")=1,"p","")</f>
        <v/>
      </c>
      <c r="Y51" s="860"/>
      <c r="Z51" s="860"/>
      <c r="AE51" s="860"/>
      <c r="AH51" s="861"/>
      <c r="AN51" s="862"/>
      <c r="AO51" s="862"/>
      <c r="AP51" s="862"/>
      <c r="AQ51" s="862"/>
      <c r="AR51" s="862"/>
    </row>
    <row s="11649" customFormat="1" customHeight="1" ht="45">
      <c r="A52" s="1118"/>
      <c r="C52" s="1773"/>
      <c r="D52" s="1775"/>
      <c r="E52" s="676" t="str">
        <f>FHD_NUM_P_16</f>
        <v>2.7</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17" t="s">
        <v>635</v>
      </c>
      <c r="H52" s="687"/>
      <c r="I52" s="687"/>
      <c r="J52" s="6352"/>
      <c r="K52" s="6352"/>
      <c r="L52" s="6352"/>
      <c r="M52" s="6352"/>
      <c r="N52" s="6352"/>
      <c r="O52" s="6352"/>
      <c r="P52" s="6352"/>
      <c r="Q52" s="6352"/>
      <c r="R52" s="6352"/>
      <c r="S52" s="6352"/>
      <c r="T52" s="6352"/>
      <c r="U52" s="6352"/>
      <c r="V52" s="6352"/>
      <c r="W52" s="419" t="str">
        <f>FHD_NOTE_P_16</f>
        <v/>
      </c>
      <c r="X52" s="1773" t="str">
        <f>IF((LEN(E52)-LEN(SUBSTITUTE(E52,".","")))/LEN(".")=1,"p","")</f>
        <v>p</v>
      </c>
      <c r="Y52" s="1773"/>
      <c r="Z52" s="1779"/>
      <c r="AA52" s="667"/>
      <c r="AB52" s="667"/>
      <c r="AE52" s="1773"/>
      <c r="AH52" s="674"/>
      <c r="AN52" s="1769"/>
      <c r="AO52" s="1769"/>
      <c r="AP52" s="1769"/>
      <c r="AQ52" s="1769"/>
      <c r="AR52" s="1769"/>
    </row>
    <row s="11649" customFormat="1" customHeight="1" ht="22.5">
      <c r="A53" s="1118"/>
      <c r="C53" s="1773"/>
      <c r="D53" s="1775"/>
      <c r="E53" s="676" t="str">
        <f>FHD_NUM_P_17</f>
        <v>2.7.1</v>
      </c>
      <c r="F53" s="1787" t="str">
        <f>FHD_P_17</f>
        <v>Расходы на оплату труда административно-управленческого персонала</v>
      </c>
      <c r="G53" s="2017" t="s">
        <v>635</v>
      </c>
      <c r="H53" s="687"/>
      <c r="I53" s="687"/>
      <c r="J53" s="6352"/>
      <c r="K53" s="6352"/>
      <c r="L53" s="6352"/>
      <c r="M53" s="6352"/>
      <c r="N53" s="6352"/>
      <c r="O53" s="6352"/>
      <c r="P53" s="6352"/>
      <c r="Q53" s="6352"/>
      <c r="R53" s="6352"/>
      <c r="S53" s="6352"/>
      <c r="T53" s="6352"/>
      <c r="U53" s="6352"/>
      <c r="V53" s="6352"/>
      <c r="W53" s="419" t="str">
        <f>FHD_NOTE_P_17</f>
        <v/>
      </c>
      <c r="X53" s="1773" t="str">
        <f>IF((LEN(E53)-LEN(SUBSTITUTE(E53,".","")))/LEN(".")=1,"p","")</f>
        <v/>
      </c>
      <c r="Y53" s="1773"/>
      <c r="Z53" s="1779"/>
      <c r="AA53" s="667"/>
      <c r="AB53" s="667"/>
      <c r="AE53" s="1773"/>
      <c r="AH53" s="674"/>
      <c r="AN53" s="1769"/>
      <c r="AO53" s="1769"/>
      <c r="AP53" s="1769"/>
      <c r="AQ53" s="1769"/>
      <c r="AR53" s="1769"/>
    </row>
    <row s="11649" customFormat="1" customHeight="1" ht="33.75">
      <c r="A54" s="1118"/>
      <c r="C54" s="1773"/>
      <c r="D54" s="1775"/>
      <c r="E54" s="676" t="str">
        <f>FHD_NUM_P_18</f>
        <v>2.7.2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635</v>
      </c>
      <c r="H54" s="687"/>
      <c r="I54" s="687"/>
      <c r="J54" s="6352"/>
      <c r="K54" s="6352"/>
      <c r="L54" s="6352"/>
      <c r="M54" s="6352"/>
      <c r="N54" s="6352"/>
      <c r="O54" s="6352"/>
      <c r="P54" s="6352"/>
      <c r="Q54" s="6352"/>
      <c r="R54" s="6352"/>
      <c r="S54" s="6352"/>
      <c r="T54" s="6352"/>
      <c r="U54" s="6352"/>
      <c r="V54" s="6352"/>
      <c r="W54" s="419" t="str">
        <f>FHD_NOTE_P_18</f>
        <v/>
      </c>
      <c r="X54" s="1773" t="str">
        <f>IF((LEN(E54)-LEN(SUBSTITUTE(E54,".","")))/LEN(".")=1,"p","")</f>
        <v/>
      </c>
      <c r="Y54" s="1773"/>
      <c r="Z54" s="1779"/>
      <c r="AA54" s="667"/>
      <c r="AB54" s="667"/>
      <c r="AE54" s="1773"/>
      <c r="AH54" s="674"/>
      <c r="AN54" s="1769"/>
      <c r="AO54" s="1769"/>
      <c r="AP54" s="1769"/>
      <c r="AQ54" s="1769"/>
      <c r="AR54" s="1769"/>
    </row>
    <row s="11649" customFormat="1" customHeight="1" ht="22.5">
      <c r="A55" s="1118"/>
      <c r="C55" s="1773"/>
      <c r="D55" s="705"/>
      <c r="E55" s="676" t="str">
        <f>FHD_NUM_P_19</f>
        <v>2.8</v>
      </c>
      <c r="F55" s="1661" t="str">
        <f>FHD_P_19</f>
        <v>Расходы на амортизацию основных средств и нематериальных активов</v>
      </c>
      <c r="G55" s="2017" t="s">
        <v>635</v>
      </c>
      <c r="H55" s="687"/>
      <c r="I55" s="687"/>
      <c r="J55" s="6352"/>
      <c r="K55" s="6352"/>
      <c r="L55" s="6352"/>
      <c r="M55" s="6352"/>
      <c r="N55" s="6352"/>
      <c r="O55" s="6352"/>
      <c r="P55" s="6352"/>
      <c r="Q55" s="6352"/>
      <c r="R55" s="6352"/>
      <c r="S55" s="6352"/>
      <c r="T55" s="6352"/>
      <c r="U55" s="6352"/>
      <c r="V55" s="6352"/>
      <c r="W55" s="419" t="str">
        <f>FHD_NOTE_P_19</f>
        <v/>
      </c>
      <c r="X55" s="1773" t="str">
        <f>IF((LEN(E55)-LEN(SUBSTITUTE(E55,".","")))/LEN(".")=1,"p","")</f>
        <v>p</v>
      </c>
      <c r="Y55" s="1773"/>
      <c r="Z55" s="1773"/>
      <c r="AE55" s="1773"/>
      <c r="AH55" s="674"/>
      <c r="AN55" s="1769"/>
      <c r="AO55" s="1769"/>
      <c r="AP55" s="1769"/>
      <c r="AQ55" s="1769"/>
      <c r="AR55" s="1769"/>
    </row>
    <row s="11649" customFormat="1" customHeight="1" ht="11.25">
      <c r="A56" s="1118"/>
      <c r="C56" s="1773"/>
      <c r="D56" s="705"/>
      <c r="E56" s="676" t="str">
        <f>FHD_NUM_P_20</f>
        <v>2.8.1</v>
      </c>
      <c r="F56" s="1787" t="str">
        <f>FHD_P_20</f>
        <v>Расходы на амортизацию основных средств</v>
      </c>
      <c r="G56" s="2017" t="s">
        <v>635</v>
      </c>
      <c r="H56" s="687"/>
      <c r="I56" s="687"/>
      <c r="J56" s="6352"/>
      <c r="K56" s="6352"/>
      <c r="L56" s="6352"/>
      <c r="M56" s="6352"/>
      <c r="N56" s="6352"/>
      <c r="O56" s="6352"/>
      <c r="P56" s="6352"/>
      <c r="Q56" s="6352"/>
      <c r="R56" s="6352"/>
      <c r="S56" s="6352"/>
      <c r="T56" s="6352"/>
      <c r="U56" s="6352"/>
      <c r="V56" s="6352"/>
      <c r="W56" s="419" t="str">
        <f>FHD_NOTE_P_20</f>
        <v/>
      </c>
      <c r="X56" s="1773" t="str">
        <f>IF((LEN(E56)-LEN(SUBSTITUTE(E56,".","")))/LEN(".")=1,"p","")</f>
        <v/>
      </c>
      <c r="Y56" s="1773"/>
      <c r="Z56" s="1773"/>
      <c r="AE56" s="1773"/>
      <c r="AH56" s="674"/>
      <c r="AN56" s="1769"/>
      <c r="AO56" s="1769"/>
      <c r="AP56" s="1769"/>
      <c r="AQ56" s="1769"/>
      <c r="AR56" s="1769"/>
    </row>
    <row s="11649" customFormat="1" customHeight="1" ht="11.25">
      <c r="A57" s="1118"/>
      <c r="C57" s="1773"/>
      <c r="D57" s="705"/>
      <c r="E57" s="676" t="str">
        <f>FHD_NUM_P_21</f>
        <v>2.8.2</v>
      </c>
      <c r="F57" s="1787" t="str">
        <f>FHD_P_21</f>
        <v>Расходы на амортизацию нематериальных активов</v>
      </c>
      <c r="G57" s="2017" t="s">
        <v>635</v>
      </c>
      <c r="H57" s="687"/>
      <c r="I57" s="687"/>
      <c r="J57" s="6352"/>
      <c r="K57" s="6352"/>
      <c r="L57" s="6352"/>
      <c r="M57" s="6352"/>
      <c r="N57" s="6352"/>
      <c r="O57" s="6352"/>
      <c r="P57" s="6352"/>
      <c r="Q57" s="6352"/>
      <c r="R57" s="6352"/>
      <c r="S57" s="6352"/>
      <c r="T57" s="6352"/>
      <c r="U57" s="6352"/>
      <c r="V57" s="6352"/>
      <c r="W57" s="419" t="str">
        <f>FHD_NOTE_P_21</f>
        <v/>
      </c>
      <c r="X57" s="1773" t="str">
        <f>IF((LEN(E57)-LEN(SUBSTITUTE(E57,".","")))/LEN(".")=1,"p","")</f>
        <v/>
      </c>
      <c r="Y57" s="1773"/>
      <c r="Z57" s="1773"/>
      <c r="AE57" s="1773"/>
      <c r="AH57" s="674"/>
      <c r="AN57" s="1769"/>
      <c r="AO57" s="1769"/>
      <c r="AP57" s="1769"/>
      <c r="AQ57" s="1769"/>
      <c r="AR57" s="1769"/>
    </row>
    <row s="11649" customFormat="1" customHeight="1" ht="33.75">
      <c r="A58" s="1118"/>
      <c r="C58" s="1773"/>
      <c r="D58" s="1775"/>
      <c r="E58" s="676" t="str">
        <f>FHD_NUM_P_22</f>
        <v>2.9</v>
      </c>
      <c r="F58" s="1661" t="str">
        <f>FHD_P_22</f>
        <v>Расходы на аренду имущества, используемого для осуществления регулируемого вида деятельности</v>
      </c>
      <c r="G58" s="2017" t="s">
        <v>635</v>
      </c>
      <c r="H58" s="687"/>
      <c r="I58" s="687"/>
      <c r="J58" s="6352"/>
      <c r="K58" s="6352"/>
      <c r="L58" s="6352"/>
      <c r="M58" s="6352"/>
      <c r="N58" s="6352"/>
      <c r="O58" s="6352"/>
      <c r="P58" s="6352"/>
      <c r="Q58" s="6352"/>
      <c r="R58" s="6352"/>
      <c r="S58" s="6352"/>
      <c r="T58" s="6352"/>
      <c r="U58" s="6352"/>
      <c r="V58" s="6352"/>
      <c r="W58" s="419" t="str">
        <f>FHD_NOTE_P_22</f>
        <v/>
      </c>
      <c r="X58" s="1773" t="str">
        <f>IF((LEN(E58)-LEN(SUBSTITUTE(E58,".","")))/LEN(".")=1,"p","")</f>
        <v>p</v>
      </c>
      <c r="Y58" s="1773"/>
      <c r="Z58" s="1773"/>
      <c r="AE58" s="1773"/>
      <c r="AH58" s="674"/>
      <c r="AN58" s="1769"/>
      <c r="AO58" s="1769"/>
      <c r="AP58" s="1769"/>
      <c r="AQ58" s="1769"/>
      <c r="AR58" s="1769"/>
    </row>
    <row s="11649" customFormat="1" customHeight="1" ht="11.25">
      <c r="A59" s="1118"/>
      <c r="C59" s="1773"/>
      <c r="D59" s="705"/>
      <c r="E59" s="676" t="str">
        <f>FHD_NUM_P_23</f>
        <v>2.10</v>
      </c>
      <c r="F59" s="1661" t="str">
        <f>FHD_P_23</f>
        <v>Общепроизводственные расходы, в том числе:</v>
      </c>
      <c r="G59" s="2017" t="s">
        <v>635</v>
      </c>
      <c r="H59" s="687"/>
      <c r="I59" s="687"/>
      <c r="J59" s="6352"/>
      <c r="K59" s="6352"/>
      <c r="L59" s="6352"/>
      <c r="M59" s="6352"/>
      <c r="N59" s="6352"/>
      <c r="O59" s="6352"/>
      <c r="P59" s="6352"/>
      <c r="Q59" s="6352"/>
      <c r="R59" s="6352"/>
      <c r="S59" s="6352"/>
      <c r="T59" s="6352"/>
      <c r="U59" s="6352"/>
      <c r="V59" s="6352"/>
      <c r="W59" s="419" t="str">
        <f>FHD_NOTE_P_23</f>
        <v>Указывается общая сумма общепроизводственных расходов.</v>
      </c>
      <c r="X59" s="1773" t="str">
        <f>IF((LEN(E59)-LEN(SUBSTITUTE(E59,".","")))/LEN(".")=1,"p","")</f>
        <v>p</v>
      </c>
      <c r="Y59" s="1773"/>
      <c r="Z59" s="1773"/>
      <c r="AE59" s="1773"/>
      <c r="AH59" s="674"/>
      <c r="AN59" s="1769"/>
      <c r="AO59" s="1769"/>
      <c r="AP59" s="1769"/>
      <c r="AQ59" s="1769"/>
      <c r="AR59" s="1769"/>
    </row>
    <row s="11649" customFormat="1" customHeight="1" ht="11.25">
      <c r="A60" s="1118"/>
      <c r="C60" s="1773"/>
      <c r="D60" s="705"/>
      <c r="E60" s="676" t="str">
        <f>FHD_NUM_P_24</f>
        <v>2.10.1</v>
      </c>
      <c r="F60" s="1787" t="str">
        <f>FHD_P_24</f>
        <v>Расходы на текущий ремонт</v>
      </c>
      <c r="G60" s="2017" t="s">
        <v>635</v>
      </c>
      <c r="H60" s="687"/>
      <c r="I60" s="687"/>
      <c r="J60" s="6352"/>
      <c r="K60" s="6352"/>
      <c r="L60" s="6352"/>
      <c r="M60" s="6352"/>
      <c r="N60" s="6352"/>
      <c r="O60" s="6352"/>
      <c r="P60" s="6352"/>
      <c r="Q60" s="6352"/>
      <c r="R60" s="6352"/>
      <c r="S60" s="6352"/>
      <c r="T60" s="6352"/>
      <c r="U60" s="6352"/>
      <c r="V60" s="6352"/>
      <c r="W60" s="419" t="str">
        <f>FHD_NOTE_P_24</f>
        <v>Указываются расходы на текущий ремонт, отнесенные к общепроизводственным расходам.</v>
      </c>
      <c r="X60" s="1773" t="str">
        <f>IF((LEN(E60)-LEN(SUBSTITUTE(E60,".","")))/LEN(".")=1,"p","")</f>
        <v/>
      </c>
      <c r="Y60" s="1773"/>
      <c r="Z60" s="1773"/>
      <c r="AE60" s="1773"/>
      <c r="AH60" s="674"/>
      <c r="AN60" s="1769"/>
      <c r="AO60" s="1769"/>
      <c r="AP60" s="1769"/>
      <c r="AQ60" s="1769"/>
      <c r="AR60" s="1769"/>
    </row>
    <row s="11649" customFormat="1" customHeight="1" ht="11.25">
      <c r="A61" s="1118"/>
      <c r="C61" s="1773"/>
      <c r="D61" s="705"/>
      <c r="E61" s="676" t="str">
        <f>FHD_NUM_P_25</f>
        <v>2.10.2</v>
      </c>
      <c r="F61" s="1787" t="str">
        <f>FHD_P_25</f>
        <v>Расходы на капитальный ремонт</v>
      </c>
      <c r="G61" s="2017" t="s">
        <v>635</v>
      </c>
      <c r="H61" s="687"/>
      <c r="I61" s="687"/>
      <c r="J61" s="6352"/>
      <c r="K61" s="6352"/>
      <c r="L61" s="6352"/>
      <c r="M61" s="6352"/>
      <c r="N61" s="6352"/>
      <c r="O61" s="6352"/>
      <c r="P61" s="6352"/>
      <c r="Q61" s="6352"/>
      <c r="R61" s="6352"/>
      <c r="S61" s="6352"/>
      <c r="T61" s="6352"/>
      <c r="U61" s="6352"/>
      <c r="V61" s="6352"/>
      <c r="W61" s="419" t="str">
        <f>FHD_NOTE_P_25</f>
        <v>Указываются расходы на капитальный ремонт, отнесенные к общепроизводственным расходам.</v>
      </c>
      <c r="X61" s="1773" t="str">
        <f>IF((LEN(E61)-LEN(SUBSTITUTE(E61,".","")))/LEN(".")=1,"p","")</f>
        <v/>
      </c>
      <c r="Y61" s="1773"/>
      <c r="Z61" s="1773"/>
      <c r="AE61" s="1773"/>
      <c r="AH61" s="674"/>
      <c r="AN61" s="1769"/>
      <c r="AO61" s="1769"/>
      <c r="AP61" s="1769"/>
      <c r="AQ61" s="1769"/>
      <c r="AR61" s="1769"/>
    </row>
    <row s="11649" customFormat="1" customHeight="1" ht="11.25">
      <c r="A62" s="1118"/>
      <c r="C62" s="1773"/>
      <c r="D62" s="1775"/>
      <c r="E62" s="676" t="str">
        <f>FHD_NUM_P_26</f>
        <v>2.11</v>
      </c>
      <c r="F62" s="1661" t="str">
        <f>FHD_P_26</f>
        <v>Общехозяйственные расходы, в том числе:</v>
      </c>
      <c r="G62" s="2017" t="s">
        <v>635</v>
      </c>
      <c r="H62" s="687"/>
      <c r="I62" s="687"/>
      <c r="J62" s="6352"/>
      <c r="K62" s="6352"/>
      <c r="L62" s="6352"/>
      <c r="M62" s="6352"/>
      <c r="N62" s="6352"/>
      <c r="O62" s="6352"/>
      <c r="P62" s="6352"/>
      <c r="Q62" s="6352"/>
      <c r="R62" s="6352"/>
      <c r="S62" s="6352"/>
      <c r="T62" s="6352"/>
      <c r="U62" s="6352"/>
      <c r="V62" s="6352"/>
      <c r="W62" s="419" t="str">
        <f>FHD_NOTE_P_26</f>
        <v>Указывается общая сумма общехозяйственных расходов.</v>
      </c>
      <c r="X62" s="1773" t="str">
        <f>IF((LEN(E62)-LEN(SUBSTITUTE(E62,".","")))/LEN(".")=1,"p","")</f>
        <v>p</v>
      </c>
      <c r="Y62" s="1773"/>
      <c r="Z62" s="1773"/>
      <c r="AE62" s="1773"/>
      <c r="AH62" s="674"/>
      <c r="AN62" s="1769"/>
      <c r="AO62" s="1769"/>
      <c r="AP62" s="1769"/>
      <c r="AQ62" s="1769"/>
      <c r="AR62" s="1769"/>
    </row>
    <row s="11649" customFormat="1" customHeight="1" ht="11.25">
      <c r="A63" s="1118"/>
      <c r="C63" s="1773"/>
      <c r="D63" s="1775"/>
      <c r="E63" s="676" t="str">
        <f>FHD_NUM_P_27</f>
        <v>2.11.1</v>
      </c>
      <c r="F63" s="1787" t="str">
        <f>FHD_P_27</f>
        <v>Расходы на текущий ремонт</v>
      </c>
      <c r="G63" s="2017" t="s">
        <v>635</v>
      </c>
      <c r="H63" s="687"/>
      <c r="I63" s="687"/>
      <c r="J63" s="6352"/>
      <c r="K63" s="6352"/>
      <c r="L63" s="6352"/>
      <c r="M63" s="6352"/>
      <c r="N63" s="6352"/>
      <c r="O63" s="6352"/>
      <c r="P63" s="6352"/>
      <c r="Q63" s="6352"/>
      <c r="R63" s="6352"/>
      <c r="S63" s="6352"/>
      <c r="T63" s="6352"/>
      <c r="U63" s="6352"/>
      <c r="V63" s="6352"/>
      <c r="W63" s="419" t="str">
        <f>FHD_NOTE_P_27</f>
        <v>Указываются расходы на текущий ремонт, отнесенные к общехозяйственным расходам.</v>
      </c>
      <c r="X63" s="1773" t="str">
        <f>IF((LEN(E63)-LEN(SUBSTITUTE(E63,".","")))/LEN(".")=1,"p","")</f>
        <v/>
      </c>
      <c r="Y63" s="1773"/>
      <c r="Z63" s="1773"/>
      <c r="AE63" s="1773"/>
      <c r="AH63" s="674"/>
      <c r="AN63" s="1769"/>
      <c r="AO63" s="1769"/>
      <c r="AP63" s="1769"/>
      <c r="AQ63" s="1769"/>
      <c r="AR63" s="1769"/>
    </row>
    <row s="11649" customFormat="1" customHeight="1" ht="11.25">
      <c r="A64" s="1118"/>
      <c r="C64" s="1773"/>
      <c r="D64" s="1775"/>
      <c r="E64" s="676" t="str">
        <f>FHD_NUM_P_28</f>
        <v>2.11.2</v>
      </c>
      <c r="F64" s="1787" t="str">
        <f>FHD_P_28</f>
        <v>Расходы на капитальный ремонт</v>
      </c>
      <c r="G64" s="2017" t="s">
        <v>635</v>
      </c>
      <c r="H64" s="687"/>
      <c r="I64" s="687"/>
      <c r="J64" s="6352"/>
      <c r="K64" s="6352"/>
      <c r="L64" s="6352"/>
      <c r="M64" s="6352"/>
      <c r="N64" s="6352"/>
      <c r="O64" s="6352"/>
      <c r="P64" s="6352"/>
      <c r="Q64" s="6352"/>
      <c r="R64" s="6352"/>
      <c r="S64" s="6352"/>
      <c r="T64" s="6352"/>
      <c r="U64" s="6352"/>
      <c r="V64" s="6352"/>
      <c r="W64" s="419" t="str">
        <f>FHD_NOTE_P_28</f>
        <v>Указываются расходы на капитальный ремонт, отнесенные к общехозяйственным расходам.</v>
      </c>
      <c r="X64" s="1773" t="str">
        <f>IF((LEN(E64)-LEN(SUBSTITUTE(E64,".","")))/LEN(".")=1,"p","")</f>
        <v/>
      </c>
      <c r="Y64" s="1773"/>
      <c r="Z64" s="1773"/>
      <c r="AE64" s="1773"/>
      <c r="AH64" s="674"/>
      <c r="AN64" s="1769"/>
      <c r="AO64" s="1769"/>
      <c r="AP64" s="1769"/>
      <c r="AQ64" s="1769"/>
      <c r="AR64" s="1769"/>
    </row>
    <row s="11649" customFormat="1" customHeight="1" ht="22.5">
      <c r="A65" s="1118"/>
      <c r="C65" s="1773"/>
      <c r="D65" s="1775"/>
      <c r="E65" s="676" t="str">
        <f>FHD_NUM_P_29</f>
        <v>2.12</v>
      </c>
      <c r="F65" s="1661" t="str">
        <f>FHD_P_29</f>
        <v>Расходы на капитальный и текущий ремонт основных средств</v>
      </c>
      <c r="G65" s="2017" t="s">
        <v>635</v>
      </c>
      <c r="H65" s="687"/>
      <c r="I65" s="687"/>
      <c r="J65" s="6352"/>
      <c r="K65" s="6352"/>
      <c r="L65" s="6352"/>
      <c r="M65" s="6352"/>
      <c r="N65" s="6352"/>
      <c r="O65" s="6352"/>
      <c r="P65" s="6352"/>
      <c r="Q65" s="6352"/>
      <c r="R65" s="6352"/>
      <c r="S65" s="6352"/>
      <c r="T65" s="6352"/>
      <c r="U65" s="6352"/>
      <c r="V65" s="6352"/>
      <c r="W65" s="41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5" s="1773" t="str">
        <f>IF((LEN(E65)-LEN(SUBSTITUTE(E65,".","")))/LEN(".")=1,"p","")</f>
        <v>p</v>
      </c>
      <c r="Y65" s="1773"/>
      <c r="Z65" s="1773"/>
      <c r="AE65" s="1773"/>
      <c r="AH65" s="674"/>
      <c r="AN65" s="1769"/>
      <c r="AO65" s="1769"/>
      <c r="AP65" s="1769"/>
      <c r="AQ65" s="1769"/>
      <c r="AR65" s="1769"/>
    </row>
    <row s="11649" customFormat="1" customHeight="1" ht="45">
      <c r="A66" s="1118"/>
      <c r="C66" s="1773"/>
      <c r="D66" s="1775"/>
      <c r="E66" s="676" t="str">
        <f>FHD_NUM_P_30</f>
        <v>2.12.1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384</v>
      </c>
      <c r="H66" s="1786" t="s">
        <v>658</v>
      </c>
      <c r="I66" s="1786" t="s">
        <v>658</v>
      </c>
      <c r="J66" s="6400" t="s">
        <v>658</v>
      </c>
      <c r="K66" s="6400" t="s">
        <v>658</v>
      </c>
      <c r="L66" s="6400" t="s">
        <v>658</v>
      </c>
      <c r="M66" s="6400" t="s">
        <v>658</v>
      </c>
      <c r="N66" s="6400" t="s">
        <v>658</v>
      </c>
      <c r="O66" s="6400" t="s">
        <v>658</v>
      </c>
      <c r="P66" s="6400" t="s">
        <v>658</v>
      </c>
      <c r="Q66" s="6400" t="s">
        <v>658</v>
      </c>
      <c r="R66" s="6400" t="s">
        <v>658</v>
      </c>
      <c r="S66" s="6400" t="s">
        <v>658</v>
      </c>
      <c r="T66" s="6400" t="s">
        <v>658</v>
      </c>
      <c r="U66" s="6400" t="s">
        <v>658</v>
      </c>
      <c r="V66" s="6400" t="s">
        <v>658</v>
      </c>
      <c r="W66" s="419" t="str">
        <f>FHD_NOTE_P_30</f>
        <v/>
      </c>
      <c r="X66" s="1773" t="str">
        <f>IF((LEN(E66)-LEN(SUBSTITUTE(E66,".","")))/LEN(".")=1,"p","")</f>
        <v/>
      </c>
      <c r="Y66" s="1773">
        <f>_xlfn.IFERROR(MATCH("есть",B_FHD_FLAG_INDEX_1,0),0)</f>
        <v>0</v>
      </c>
      <c r="Z66" s="1773"/>
      <c r="AE66" s="1773"/>
      <c r="AH66" s="674"/>
      <c r="AN66" s="1769"/>
      <c r="AO66" s="1769"/>
      <c r="AP66" s="1769"/>
      <c r="AQ66" s="1769"/>
      <c r="AR66" s="1769"/>
    </row>
    <row s="11649" customFormat="1" customHeight="1" ht="22.5" hidden="1">
      <c r="A67" s="2400" t="s">
        <v>659</v>
      </c>
      <c r="C67" s="1773"/>
      <c r="D67" s="1775"/>
      <c r="E67" s="676" t="str">
        <f>FHD_NUM_P_31</f>
        <v/>
      </c>
      <c r="F67" s="1661" t="str">
        <f>FHD_P_31</f>
        <v/>
      </c>
      <c r="G67" s="2017" t="s">
        <v>635</v>
      </c>
      <c r="H67" s="687"/>
      <c r="I67" s="687"/>
      <c r="J67" s="6352"/>
      <c r="K67" s="6352"/>
      <c r="L67" s="6352"/>
      <c r="M67" s="6352"/>
      <c r="N67" s="6352"/>
      <c r="O67" s="6352"/>
      <c r="P67" s="6352"/>
      <c r="Q67" s="6352"/>
      <c r="R67" s="6352"/>
      <c r="S67" s="6352"/>
      <c r="T67" s="6352"/>
      <c r="U67" s="6352"/>
      <c r="V67" s="6352"/>
      <c r="W67" s="419" t="str">
        <f>FHD_NOTE_P_31</f>
        <v/>
      </c>
      <c r="X67" s="1773" t="str">
        <f>IF((LEN(E67)-LEN(SUBSTITUTE(E67,".","")))/LEN(".")=1,"p","")</f>
        <v/>
      </c>
      <c r="Y67" s="1773"/>
      <c r="Z67" s="1773"/>
      <c r="AE67" s="1773"/>
      <c r="AH67" s="674"/>
      <c r="AN67" s="1769"/>
      <c r="AO67" s="1769"/>
      <c r="AP67" s="1769"/>
      <c r="AQ67" s="1769"/>
      <c r="AR67" s="1769"/>
    </row>
    <row s="11649" customFormat="1" customHeight="1" ht="45" hidden="1">
      <c r="A68" s="2400"/>
      <c r="C68" s="1773"/>
      <c r="D68" s="1775"/>
      <c r="E68" s="676" t="str">
        <f>FHD_NUM_P_32</f>
        <v/>
      </c>
      <c r="F68" s="1787" t="str">
        <f>FHD_P_32</f>
        <v/>
      </c>
      <c r="G68" s="2017" t="s">
        <v>384</v>
      </c>
      <c r="H68" s="1786" t="s">
        <v>658</v>
      </c>
      <c r="I68" s="1786" t="s">
        <v>658</v>
      </c>
      <c r="J68" s="6400" t="s">
        <v>658</v>
      </c>
      <c r="K68" s="6400" t="s">
        <v>658</v>
      </c>
      <c r="L68" s="6400" t="s">
        <v>658</v>
      </c>
      <c r="M68" s="6400" t="s">
        <v>658</v>
      </c>
      <c r="N68" s="6400" t="s">
        <v>658</v>
      </c>
      <c r="O68" s="6400" t="s">
        <v>658</v>
      </c>
      <c r="P68" s="6400" t="s">
        <v>658</v>
      </c>
      <c r="Q68" s="6400" t="s">
        <v>658</v>
      </c>
      <c r="R68" s="6400" t="s">
        <v>658</v>
      </c>
      <c r="S68" s="6400" t="s">
        <v>658</v>
      </c>
      <c r="T68" s="6400" t="s">
        <v>658</v>
      </c>
      <c r="U68" s="6400" t="s">
        <v>658</v>
      </c>
      <c r="V68" s="6400" t="s">
        <v>658</v>
      </c>
      <c r="W68" s="419" t="str">
        <f>FHD_NOTE_P_32</f>
        <v/>
      </c>
      <c r="X68" s="1773" t="str">
        <f>IF((LEN(E68)-LEN(SUBSTITUTE(E68,".","")))/LEN(".")=1,"p","")</f>
        <v/>
      </c>
      <c r="Y68" s="1773">
        <f>_xlfn.IFERROR(MATCH("есть",B_FHD_FLAG_INDEX_2,0),0)</f>
        <v>0</v>
      </c>
      <c r="Z68" s="1773"/>
      <c r="AE68" s="1773"/>
      <c r="AH68" s="674"/>
      <c r="AN68" s="1769"/>
      <c r="AO68" s="1769"/>
      <c r="AP68" s="1769"/>
      <c r="AQ68" s="1769"/>
      <c r="AR68" s="1769"/>
    </row>
    <row s="11649" customFormat="1" customHeight="1" ht="45">
      <c r="A69" s="1118"/>
      <c r="C69" s="1773"/>
      <c r="D69" s="1775"/>
      <c r="E69" s="676" t="str">
        <f>FHD_NUM_P_33</f>
        <v>2.13</v>
      </c>
      <c r="F69" s="166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18" t="s">
        <v>635</v>
      </c>
      <c r="H69" s="709">
        <f>SUM(H70:H71)</f>
        <v>0</v>
      </c>
      <c r="I69" s="709">
        <f>SUM(I70:I71)</f>
        <v>0</v>
      </c>
      <c r="J69" s="6403">
        <f>SUM(J70:J71)</f>
        <v>0</v>
      </c>
      <c r="K69" s="6403">
        <f>SUM(K70:K71)</f>
        <v>0</v>
      </c>
      <c r="L69" s="6403">
        <f>SUM(L70:L71)</f>
        <v>0</v>
      </c>
      <c r="M69" s="6403">
        <f>SUM(M70:M71)</f>
        <v>0</v>
      </c>
      <c r="N69" s="6403">
        <f>SUM(N70:N71)</f>
        <v>0</v>
      </c>
      <c r="O69" s="6403">
        <f>SUM(O70:O71)</f>
        <v>0</v>
      </c>
      <c r="P69" s="6403">
        <f>SUM(P70:P71)</f>
        <v>0</v>
      </c>
      <c r="Q69" s="6403">
        <f>SUM(Q70:Q71)</f>
        <v>0</v>
      </c>
      <c r="R69" s="6403">
        <f>SUM(R70:R71)</f>
        <v>0</v>
      </c>
      <c r="S69" s="6403">
        <f>SUM(S70:S71)</f>
        <v>0</v>
      </c>
      <c r="T69" s="6403">
        <f>SUM(T70:T71)</f>
        <v>0</v>
      </c>
      <c r="U69" s="6403">
        <f>SUM(U70:U71)</f>
        <v>0</v>
      </c>
      <c r="V69" s="6403">
        <f>SUM(V70:V71)</f>
        <v>0</v>
      </c>
      <c r="W69" s="41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X69" s="1773" t="str">
        <f>IF((LEN(E69)-LEN(SUBSTITUTE(E69,".","")))/LEN(".")=1,"p","")</f>
        <v>p</v>
      </c>
      <c r="Y69" s="1773"/>
      <c r="Z69" s="1773"/>
      <c r="AE69" s="1773"/>
      <c r="AH69" s="674"/>
      <c r="AN69" s="1769"/>
      <c r="AO69" s="1769"/>
      <c r="AP69" s="1769"/>
      <c r="AQ69" s="1769"/>
      <c r="AR69" s="1769"/>
    </row>
    <row s="11773" customFormat="1" customHeight="1" ht="0.75">
      <c r="A70" s="1299"/>
      <c r="D70" s="678"/>
      <c r="E70" s="1144" t="str">
        <f>E69&amp;".0"</f>
        <v>2.13.0</v>
      </c>
      <c r="F70" s="1122"/>
      <c r="G70" s="1144"/>
      <c r="H70" s="1123"/>
      <c r="I70" s="1123"/>
      <c r="J70" s="6406"/>
      <c r="K70" s="6406"/>
      <c r="L70" s="6406"/>
      <c r="M70" s="6406"/>
      <c r="N70" s="6406"/>
      <c r="O70" s="6406"/>
      <c r="P70" s="6406"/>
      <c r="Q70" s="6406"/>
      <c r="R70" s="6406"/>
      <c r="S70" s="6406"/>
      <c r="T70" s="6406"/>
      <c r="U70" s="6406"/>
      <c r="V70" s="6406"/>
      <c r="W70" s="1124"/>
      <c r="X70" s="1773" t="str">
        <f>IF((LEN(E70)-LEN(SUBSTITUTE(E70,".","")))/LEN(".")=1,"p","")</f>
        <v/>
      </c>
    </row>
    <row s="11649" customFormat="1" customHeight="1" ht="14.25">
      <c r="A71" s="1118"/>
      <c r="C71" s="1773"/>
      <c r="D71" s="1770"/>
      <c r="E71" s="700"/>
      <c r="F71" s="701" t="s">
        <v>660</v>
      </c>
      <c r="G71" s="702"/>
      <c r="H71" s="703"/>
      <c r="I71" s="703"/>
      <c r="J71" s="6408"/>
      <c r="K71" s="6409"/>
      <c r="L71" s="6410"/>
      <c r="M71" s="6411"/>
      <c r="N71" s="6412"/>
      <c r="O71" s="6413"/>
      <c r="P71" s="6414"/>
      <c r="Q71" s="6415"/>
      <c r="R71" s="6416"/>
      <c r="S71" s="6417"/>
      <c r="T71" s="6418"/>
      <c r="U71" s="6419"/>
      <c r="V71" s="6420"/>
      <c r="W71" s="431"/>
      <c r="X71" s="1773"/>
      <c r="Y71" s="1773"/>
      <c r="Z71" s="1773"/>
      <c r="AE71" s="1773"/>
      <c r="AH71" s="674"/>
      <c r="AN71" s="1769"/>
      <c r="AO71" s="1769"/>
      <c r="AP71" s="1769"/>
      <c r="AQ71" s="1769"/>
      <c r="AR71" s="1769"/>
    </row>
    <row s="11649" customFormat="1" customHeight="1" ht="18.75">
      <c r="A72" s="1120" t="s">
        <v>661</v>
      </c>
      <c r="C72" s="1773"/>
      <c r="D72" s="1775"/>
      <c r="E72" s="676" t="str">
        <f>FHD_NUM_P_34</f>
        <v>3</v>
      </c>
      <c r="F72" s="2019" t="str">
        <f>FHD_P_34</f>
        <v>Валовая прибыль (убытки) от реализации товаров и оказания услуг по регулируемому виду деятельности</v>
      </c>
      <c r="G72" s="2017" t="s">
        <v>635</v>
      </c>
      <c r="H72" s="687"/>
      <c r="I72" s="687"/>
      <c r="J72" s="6352"/>
      <c r="K72" s="6352"/>
      <c r="L72" s="6352"/>
      <c r="M72" s="6352"/>
      <c r="N72" s="6352"/>
      <c r="O72" s="6352"/>
      <c r="P72" s="6352"/>
      <c r="Q72" s="6352"/>
      <c r="R72" s="6352"/>
      <c r="S72" s="6352"/>
      <c r="T72" s="6352"/>
      <c r="U72" s="6352"/>
      <c r="V72" s="6352"/>
      <c r="W72" s="419" t="str">
        <f>FHD_NOTE_P_34</f>
        <v/>
      </c>
      <c r="X72" s="673"/>
      <c r="Y72" s="1773"/>
      <c r="Z72" s="1773"/>
      <c r="AE72" s="1773"/>
      <c r="AH72" s="674"/>
      <c r="AN72" s="1769"/>
      <c r="AO72" s="1769"/>
      <c r="AP72" s="1769"/>
      <c r="AQ72" s="1769"/>
      <c r="AR72" s="1769"/>
    </row>
    <row s="11649" customFormat="1" customHeight="1" ht="22.5">
      <c r="A73" s="1118"/>
      <c r="C73" s="1773"/>
      <c r="D73" s="705"/>
      <c r="E73" s="676" t="str">
        <f>FHD_NUM_P_35</f>
        <v>4</v>
      </c>
      <c r="F73" s="2019" t="str">
        <f>FHD_P_35</f>
        <v>Чистая прибыль, полученная от регулируемого вида деятельности, в том числе:</v>
      </c>
      <c r="G73" s="2017" t="s">
        <v>635</v>
      </c>
      <c r="H73" s="687"/>
      <c r="I73" s="687"/>
      <c r="J73" s="6352"/>
      <c r="K73" s="6352"/>
      <c r="L73" s="6352"/>
      <c r="M73" s="6352"/>
      <c r="N73" s="6352"/>
      <c r="O73" s="6352"/>
      <c r="P73" s="6352"/>
      <c r="Q73" s="6352"/>
      <c r="R73" s="6352"/>
      <c r="S73" s="6352"/>
      <c r="T73" s="6352"/>
      <c r="U73" s="6352"/>
      <c r="V73" s="6352"/>
      <c r="W73" s="419" t="str">
        <f>FHD_NOTE_P_35</f>
        <v>Указывается общая сумма чистой прибыли, полученной от регулируемого вида деятельности.</v>
      </c>
      <c r="X73" s="673"/>
      <c r="Y73" s="1773"/>
      <c r="Z73" s="1773"/>
      <c r="AE73" s="1773"/>
      <c r="AH73" s="674"/>
      <c r="AN73" s="1769"/>
      <c r="AO73" s="1769"/>
      <c r="AP73" s="1769"/>
      <c r="AQ73" s="1769"/>
      <c r="AR73" s="1769"/>
    </row>
    <row s="11649" customFormat="1" customHeight="1" ht="33.75">
      <c r="A74" s="1118"/>
      <c r="C74" s="1773"/>
      <c r="D74" s="1775"/>
      <c r="E74" s="676" t="str">
        <f>FHD_NUM_P_36</f>
        <v>4.1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635</v>
      </c>
      <c r="H74" s="687"/>
      <c r="I74" s="687"/>
      <c r="J74" s="6352"/>
      <c r="K74" s="6352"/>
      <c r="L74" s="6352"/>
      <c r="M74" s="6352"/>
      <c r="N74" s="6352"/>
      <c r="O74" s="6352"/>
      <c r="P74" s="6352"/>
      <c r="Q74" s="6352"/>
      <c r="R74" s="6352"/>
      <c r="S74" s="6352"/>
      <c r="T74" s="6352"/>
      <c r="U74" s="6352"/>
      <c r="V74" s="6352"/>
      <c r="W74" s="419" t="str">
        <f>FHD_NOTE_P_36</f>
        <v/>
      </c>
      <c r="X74" s="673"/>
      <c r="Y74" s="1773"/>
      <c r="Z74" s="1773"/>
      <c r="AE74" s="1773"/>
      <c r="AH74" s="674"/>
      <c r="AN74" s="1769"/>
      <c r="AO74" s="1769"/>
      <c r="AP74" s="1769"/>
      <c r="AQ74" s="1769"/>
      <c r="AR74" s="1769"/>
    </row>
    <row s="11649" customFormat="1" customHeight="1" ht="18.75">
      <c r="A75" s="1118"/>
      <c r="C75" s="1773"/>
      <c r="D75" s="1775"/>
      <c r="E75" s="676" t="str">
        <f>FHD_NUM_P_37</f>
        <v>5</v>
      </c>
      <c r="F75" s="2019" t="str">
        <f>FHD_P_37</f>
        <v>Изменение стоимости основных фондов, в том числе:</v>
      </c>
      <c r="G75" s="2017" t="s">
        <v>635</v>
      </c>
      <c r="H75" s="687"/>
      <c r="I75" s="687"/>
      <c r="J75" s="6352"/>
      <c r="K75" s="6352"/>
      <c r="L75" s="6352"/>
      <c r="M75" s="6352"/>
      <c r="N75" s="6352"/>
      <c r="O75" s="6352"/>
      <c r="P75" s="6352"/>
      <c r="Q75" s="6352"/>
      <c r="R75" s="6352"/>
      <c r="S75" s="6352"/>
      <c r="T75" s="6352"/>
      <c r="U75" s="6352"/>
      <c r="V75" s="6352"/>
      <c r="W75" s="419" t="str">
        <f>FHD_NOTE_P_37</f>
        <v>Указывается общее изменение стоимости основных фондов.</v>
      </c>
      <c r="X75" s="673"/>
      <c r="Y75" s="1773"/>
      <c r="Z75" s="1773"/>
      <c r="AE75" s="1773"/>
      <c r="AH75" s="674"/>
      <c r="AN75" s="1769"/>
      <c r="AO75" s="1769"/>
      <c r="AP75" s="1769"/>
      <c r="AQ75" s="1769"/>
      <c r="AR75" s="1769"/>
    </row>
    <row s="11649" customFormat="1" customHeight="1" ht="22.5">
      <c r="A76" s="1118"/>
      <c r="C76" s="1773"/>
      <c r="D76" s="1775"/>
      <c r="E76" s="676" t="str">
        <f>FHD_NUM_P_38</f>
        <v>5.1</v>
      </c>
      <c r="F76" s="1661" t="str">
        <f>FHD_P_38</f>
        <v>Изменение стоимости основных фондов за счет:</v>
      </c>
      <c r="G76" s="2017" t="s">
        <v>635</v>
      </c>
      <c r="H76" s="687"/>
      <c r="I76" s="687"/>
      <c r="J76" s="6352"/>
      <c r="K76" s="6352"/>
      <c r="L76" s="6352"/>
      <c r="M76" s="6352"/>
      <c r="N76" s="6352"/>
      <c r="O76" s="6352"/>
      <c r="P76" s="6352"/>
      <c r="Q76" s="6352"/>
      <c r="R76" s="6352"/>
      <c r="S76" s="6352"/>
      <c r="T76" s="6352"/>
      <c r="U76" s="6352"/>
      <c r="V76" s="6352"/>
      <c r="W76" s="419" t="str">
        <f>FHD_NOTE_P_38</f>
        <v>Указываются общее изменение стоимости основных фондов за счет их ввода в эксплуатацию и вывода из эксплуатации.</v>
      </c>
      <c r="X76" s="673"/>
      <c r="Y76" s="1773"/>
      <c r="Z76" s="1773"/>
      <c r="AE76" s="1773"/>
      <c r="AH76" s="674"/>
      <c r="AN76" s="1769"/>
      <c r="AO76" s="1769"/>
      <c r="AP76" s="1769"/>
      <c r="AQ76" s="1769"/>
      <c r="AR76" s="1769"/>
    </row>
    <row s="11649" customFormat="1" customHeight="1" ht="22.5">
      <c r="A77" s="1118"/>
      <c r="C77" s="1773"/>
      <c r="D77" s="1775"/>
      <c r="E77" s="676" t="str">
        <f>FHD_NUM_P_39</f>
        <v>5.1.1</v>
      </c>
      <c r="F77" s="1787" t="str">
        <f>FHD_P_39</f>
        <v>Изменения стоимости основных фондов за счет их ввода в эксплуатацию</v>
      </c>
      <c r="G77" s="2017" t="s">
        <v>635</v>
      </c>
      <c r="H77" s="687"/>
      <c r="I77" s="687"/>
      <c r="J77" s="6352"/>
      <c r="K77" s="6352"/>
      <c r="L77" s="6352"/>
      <c r="M77" s="6352"/>
      <c r="N77" s="6352"/>
      <c r="O77" s="6352"/>
      <c r="P77" s="6352"/>
      <c r="Q77" s="6352"/>
      <c r="R77" s="6352"/>
      <c r="S77" s="6352"/>
      <c r="T77" s="6352"/>
      <c r="U77" s="6352"/>
      <c r="V77" s="6352"/>
      <c r="W77" s="419" t="str">
        <f>FHD_NOTE_P_39</f>
        <v>Указываются изменение стоимости основных фондов за счет их ввода в эксплуатацию.</v>
      </c>
      <c r="X77" s="673"/>
      <c r="Y77" s="1773"/>
      <c r="Z77" s="1773"/>
      <c r="AE77" s="1773"/>
      <c r="AH77" s="674"/>
      <c r="AN77" s="1769"/>
      <c r="AO77" s="1769"/>
      <c r="AP77" s="1769"/>
      <c r="AQ77" s="1769"/>
      <c r="AR77" s="1769"/>
    </row>
    <row s="11649" customFormat="1" customHeight="1" ht="22.5">
      <c r="A78" s="1118"/>
      <c r="C78" s="1773"/>
      <c r="D78" s="1775"/>
      <c r="E78" s="676" t="str">
        <f>FHD_NUM_P_40</f>
        <v>5.1.2</v>
      </c>
      <c r="F78" s="1787" t="str">
        <f>FHD_P_40</f>
        <v>Изменения стоимости основных фондов за счет их вывода в эксплуатацию</v>
      </c>
      <c r="G78" s="2017" t="s">
        <v>635</v>
      </c>
      <c r="H78" s="687"/>
      <c r="I78" s="687"/>
      <c r="J78" s="6352"/>
      <c r="K78" s="6352"/>
      <c r="L78" s="6352"/>
      <c r="M78" s="6352"/>
      <c r="N78" s="6352"/>
      <c r="O78" s="6352"/>
      <c r="P78" s="6352"/>
      <c r="Q78" s="6352"/>
      <c r="R78" s="6352"/>
      <c r="S78" s="6352"/>
      <c r="T78" s="6352"/>
      <c r="U78" s="6352"/>
      <c r="V78" s="6352"/>
      <c r="W78" s="419" t="str">
        <f>FHD_NOTE_P_40</f>
        <v>Указываются изменение стоимости основных фондов за счет их вывода из эксплуатации.</v>
      </c>
      <c r="X78" s="673"/>
      <c r="Y78" s="1773"/>
      <c r="Z78" s="1773"/>
      <c r="AE78" s="1773"/>
      <c r="AH78" s="674"/>
      <c r="AN78" s="1769"/>
      <c r="AO78" s="1769"/>
      <c r="AP78" s="1769"/>
      <c r="AQ78" s="1769"/>
      <c r="AR78" s="1769"/>
    </row>
    <row s="11649" customFormat="1" customHeight="1" ht="22.5">
      <c r="A79" s="1118"/>
      <c r="C79" s="1773"/>
      <c r="D79" s="1775"/>
      <c r="E79" s="676" t="str">
        <f>FHD_NUM_P_41</f>
        <v>5.2</v>
      </c>
      <c r="F79" s="1661" t="str">
        <f>FHD_P_41</f>
        <v>Изменение стоимости основных фондов за счет их переоценки</v>
      </c>
      <c r="G79" s="2018" t="s">
        <v>635</v>
      </c>
      <c r="H79" s="687"/>
      <c r="I79" s="687"/>
      <c r="J79" s="6352"/>
      <c r="K79" s="6352"/>
      <c r="L79" s="6352"/>
      <c r="M79" s="6352"/>
      <c r="N79" s="6352"/>
      <c r="O79" s="6352"/>
      <c r="P79" s="6352"/>
      <c r="Q79" s="6352"/>
      <c r="R79" s="6352"/>
      <c r="S79" s="6352"/>
      <c r="T79" s="6352"/>
      <c r="U79" s="6352"/>
      <c r="V79" s="6352"/>
      <c r="W79" s="419" t="str">
        <f>FHD_NOTE_P_41</f>
        <v/>
      </c>
      <c r="X79" s="673"/>
      <c r="Y79" s="1773"/>
      <c r="Z79" s="1773"/>
      <c r="AE79" s="1773"/>
      <c r="AH79" s="674"/>
      <c r="AN79" s="1769"/>
      <c r="AO79" s="1769"/>
      <c r="AP79" s="1769"/>
      <c r="AQ79" s="1769"/>
      <c r="AR79" s="1769"/>
    </row>
    <row s="11649" customFormat="1" customHeight="1" ht="22.5" hidden="1">
      <c r="A80" s="1120" t="s">
        <v>662</v>
      </c>
      <c r="C80" s="1773"/>
      <c r="D80" s="1775"/>
      <c r="E80" s="676" t="str">
        <f>FHD_NUM_P_42</f>
        <v/>
      </c>
      <c r="F80" s="2019" t="str">
        <f>FHD_P_42</f>
        <v/>
      </c>
      <c r="G80" s="2017" t="s">
        <v>635</v>
      </c>
      <c r="H80" s="1107"/>
      <c r="I80" s="687"/>
      <c r="J80" s="6422"/>
      <c r="K80" s="6422"/>
      <c r="L80" s="6422"/>
      <c r="M80" s="6422"/>
      <c r="N80" s="6422"/>
      <c r="O80" s="6422"/>
      <c r="P80" s="6422"/>
      <c r="Q80" s="6422"/>
      <c r="R80" s="6422"/>
      <c r="S80" s="6422"/>
      <c r="T80" s="6422"/>
      <c r="U80" s="6422"/>
      <c r="V80" s="6422"/>
      <c r="W80" s="419" t="str">
        <f>FHD_NOTE_P_42</f>
        <v/>
      </c>
      <c r="X80" s="673"/>
      <c r="Y80" s="1773"/>
      <c r="Z80" s="1773"/>
      <c r="AE80" s="1773"/>
      <c r="AH80" s="674"/>
      <c r="AN80" s="1769"/>
      <c r="AO80" s="1769"/>
      <c r="AP80" s="1769"/>
      <c r="AQ80" s="1769"/>
      <c r="AR80" s="1769"/>
    </row>
    <row s="11649"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384</v>
      </c>
      <c r="H81" s="1186"/>
      <c r="I81" s="948"/>
      <c r="J81" s="6425"/>
      <c r="K81" s="6425"/>
      <c r="L81" s="6425"/>
      <c r="M81" s="6425"/>
      <c r="N81" s="6425"/>
      <c r="O81" s="6425"/>
      <c r="P81" s="6425"/>
      <c r="Q81" s="6425"/>
      <c r="R81" s="6425"/>
      <c r="S81" s="6425"/>
      <c r="T81" s="6425"/>
      <c r="U81" s="6425"/>
      <c r="V81" s="6425"/>
      <c r="W81" s="41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X81" s="673"/>
      <c r="Y81" s="1773"/>
      <c r="Z81" s="1773"/>
      <c r="AE81" s="1773"/>
      <c r="AH81" s="674"/>
      <c r="AN81" s="1769"/>
      <c r="AO81" s="1769"/>
      <c r="AP81" s="1769"/>
      <c r="AQ81" s="1769"/>
      <c r="AR81" s="1769"/>
    </row>
    <row s="12137" customFormat="1" customHeight="1" ht="18.75" hidden="1">
      <c r="A82" s="2400" t="s">
        <v>663</v>
      </c>
      <c r="C82" s="865"/>
      <c r="D82" s="863"/>
      <c r="E82" s="676" t="str">
        <f>FHD_NUM_P_44</f>
        <v/>
      </c>
      <c r="F82" s="2019" t="str">
        <f>FHD_P_44</f>
        <v/>
      </c>
      <c r="G82" s="2020" t="s">
        <v>664</v>
      </c>
      <c r="H82" s="1108"/>
      <c r="I82" s="707"/>
      <c r="J82" s="6431"/>
      <c r="K82" s="6431"/>
      <c r="L82" s="6431"/>
      <c r="M82" s="6431"/>
      <c r="N82" s="6431"/>
      <c r="O82" s="6431"/>
      <c r="P82" s="6431"/>
      <c r="Q82" s="6431"/>
      <c r="R82" s="6431"/>
      <c r="S82" s="6431"/>
      <c r="T82" s="6431"/>
      <c r="U82" s="6431"/>
      <c r="V82" s="6431"/>
      <c r="W82" s="419" t="str">
        <f>FHD_NOTE_P_44</f>
        <v/>
      </c>
      <c r="X82" s="864"/>
      <c r="Y82" s="865"/>
      <c r="Z82" s="865"/>
      <c r="AE82" s="865"/>
      <c r="AH82" s="866"/>
      <c r="AN82" s="867"/>
      <c r="AO82" s="867"/>
      <c r="AP82" s="867"/>
      <c r="AQ82" s="867"/>
      <c r="AR82" s="867"/>
    </row>
    <row s="12137" customFormat="1" customHeight="1" ht="18.75" hidden="1">
      <c r="A83" s="2400"/>
      <c r="C83" s="865"/>
      <c r="D83" s="863"/>
      <c r="E83" s="676" t="str">
        <f>FHD_NUM_P_45</f>
        <v/>
      </c>
      <c r="F83" s="2019" t="str">
        <f>FHD_P_45</f>
        <v/>
      </c>
      <c r="G83" s="2020" t="s">
        <v>664</v>
      </c>
      <c r="H83" s="1108"/>
      <c r="I83" s="707"/>
      <c r="J83" s="6431"/>
      <c r="K83" s="6431"/>
      <c r="L83" s="6431"/>
      <c r="M83" s="6431"/>
      <c r="N83" s="6431"/>
      <c r="O83" s="6431"/>
      <c r="P83" s="6431"/>
      <c r="Q83" s="6431"/>
      <c r="R83" s="6431"/>
      <c r="S83" s="6431"/>
      <c r="T83" s="6431"/>
      <c r="U83" s="6431"/>
      <c r="V83" s="6431"/>
      <c r="W83" s="419" t="str">
        <f>FHD_NOTE_P_45</f>
        <v/>
      </c>
      <c r="X83" s="864"/>
      <c r="Y83" s="865"/>
      <c r="Z83" s="865"/>
      <c r="AE83" s="865"/>
      <c r="AH83" s="866"/>
      <c r="AN83" s="867"/>
      <c r="AO83" s="867"/>
      <c r="AP83" s="867"/>
      <c r="AQ83" s="867"/>
      <c r="AR83" s="867"/>
    </row>
    <row s="12137" customFormat="1" customHeight="1" ht="18.75" hidden="1">
      <c r="A84" s="2400"/>
      <c r="C84" s="865"/>
      <c r="D84" s="868"/>
      <c r="E84" s="676" t="str">
        <f>FHD_NUM_P_46</f>
        <v/>
      </c>
      <c r="F84" s="2019" t="str">
        <f>FHD_P_46</f>
        <v/>
      </c>
      <c r="G84" s="2020" t="s">
        <v>664</v>
      </c>
      <c r="H84" s="1108"/>
      <c r="I84" s="707"/>
      <c r="J84" s="6431"/>
      <c r="K84" s="6431"/>
      <c r="L84" s="6431"/>
      <c r="M84" s="6431"/>
      <c r="N84" s="6431"/>
      <c r="O84" s="6431"/>
      <c r="P84" s="6431"/>
      <c r="Q84" s="6431"/>
      <c r="R84" s="6431"/>
      <c r="S84" s="6431"/>
      <c r="T84" s="6431"/>
      <c r="U84" s="6431"/>
      <c r="V84" s="6431"/>
      <c r="W84" s="419" t="str">
        <f>FHD_NOTE_P_46</f>
        <v/>
      </c>
      <c r="X84" s="864"/>
      <c r="Y84" s="865"/>
      <c r="Z84" s="865"/>
      <c r="AE84" s="865"/>
      <c r="AH84" s="866"/>
      <c r="AN84" s="867"/>
      <c r="AO84" s="867"/>
      <c r="AP84" s="867"/>
      <c r="AQ84" s="867"/>
      <c r="AR84" s="867"/>
    </row>
    <row s="12137" customFormat="1" customHeight="1" ht="18.75" hidden="1">
      <c r="A85" s="2400"/>
      <c r="C85" s="865"/>
      <c r="D85" s="863"/>
      <c r="E85" s="676" t="str">
        <f>FHD_NUM_P_47</f>
        <v/>
      </c>
      <c r="F85" s="2019" t="str">
        <f>FHD_P_47</f>
        <v/>
      </c>
      <c r="G85" s="2020" t="s">
        <v>664</v>
      </c>
      <c r="H85" s="1108"/>
      <c r="I85" s="707"/>
      <c r="J85" s="6431"/>
      <c r="K85" s="6431"/>
      <c r="L85" s="6431"/>
      <c r="M85" s="6431"/>
      <c r="N85" s="6431"/>
      <c r="O85" s="6431"/>
      <c r="P85" s="6431"/>
      <c r="Q85" s="6431"/>
      <c r="R85" s="6431"/>
      <c r="S85" s="6431"/>
      <c r="T85" s="6431"/>
      <c r="U85" s="6431"/>
      <c r="V85" s="6431"/>
      <c r="W85" s="419" t="str">
        <f>FHD_NOTE_P_47</f>
        <v/>
      </c>
      <c r="X85" s="864"/>
      <c r="Y85" s="865"/>
      <c r="Z85" s="865"/>
      <c r="AE85" s="865"/>
      <c r="AH85" s="866"/>
      <c r="AN85" s="867"/>
      <c r="AO85" s="867"/>
      <c r="AP85" s="867"/>
      <c r="AQ85" s="867"/>
      <c r="AR85" s="867"/>
    </row>
    <row s="12147" customFormat="1" customHeight="1" ht="18.75" hidden="1">
      <c r="A86" s="2400"/>
      <c r="B86" s="1040"/>
      <c r="C86" s="865"/>
      <c r="D86" s="863"/>
      <c r="E86" s="676" t="str">
        <f>FHD_NUM_P_48</f>
        <v/>
      </c>
      <c r="F86" s="2019" t="str">
        <f>FHD_P_48</f>
        <v/>
      </c>
      <c r="G86" s="2020" t="s">
        <v>664</v>
      </c>
      <c r="H86" s="1108"/>
      <c r="I86" s="707"/>
      <c r="J86" s="6431"/>
      <c r="K86" s="6431"/>
      <c r="L86" s="6431"/>
      <c r="M86" s="6431"/>
      <c r="N86" s="6431"/>
      <c r="O86" s="6431"/>
      <c r="P86" s="6431"/>
      <c r="Q86" s="6431"/>
      <c r="R86" s="6431"/>
      <c r="S86" s="6431"/>
      <c r="T86" s="6431"/>
      <c r="U86" s="6431"/>
      <c r="V86" s="6431"/>
      <c r="W86" s="419" t="str">
        <f>FHD_NOTE_P_48</f>
        <v/>
      </c>
      <c r="X86" s="864"/>
      <c r="Y86" s="865"/>
      <c r="Z86" s="865"/>
      <c r="AA86" s="1040"/>
      <c r="AB86" s="1040"/>
      <c r="AC86" s="1040"/>
      <c r="AD86" s="1040"/>
      <c r="AE86" s="865"/>
      <c r="AF86" s="1040"/>
      <c r="AG86" s="1040"/>
      <c r="AH86" s="866"/>
      <c r="AI86" s="1040"/>
      <c r="AJ86" s="1040"/>
      <c r="AK86" s="1040"/>
      <c r="AL86" s="1040"/>
      <c r="AM86" s="1040"/>
      <c r="AN86" s="867"/>
      <c r="AO86" s="867"/>
      <c r="AP86" s="867"/>
      <c r="AQ86" s="867"/>
      <c r="AR86" s="867"/>
    </row>
    <row s="12147" customFormat="1" customHeight="1" ht="18.75" hidden="1">
      <c r="A87" s="2400"/>
      <c r="B87" s="1040"/>
      <c r="C87" s="865"/>
      <c r="D87" s="863"/>
      <c r="E87" s="676" t="str">
        <f>FHD_NUM_P_49</f>
        <v/>
      </c>
      <c r="F87" s="2019" t="str">
        <f>FHD_P_49</f>
        <v/>
      </c>
      <c r="G87" s="2020" t="s">
        <v>664</v>
      </c>
      <c r="H87" s="1109">
        <f>SUM(H88:H89)</f>
        <v>0</v>
      </c>
      <c r="I87" s="879">
        <f>SUM(I88:I89)</f>
        <v>0</v>
      </c>
      <c r="J87" s="6440">
        <f>SUM(J88:J89)</f>
        <v>0</v>
      </c>
      <c r="K87" s="6440">
        <f>SUM(K88:K89)</f>
        <v>0</v>
      </c>
      <c r="L87" s="6440">
        <f>SUM(L88:L89)</f>
        <v>0</v>
      </c>
      <c r="M87" s="6440">
        <f>SUM(M88:M89)</f>
        <v>0</v>
      </c>
      <c r="N87" s="6440">
        <f>SUM(N88:N89)</f>
        <v>0</v>
      </c>
      <c r="O87" s="6440">
        <f>SUM(O88:O89)</f>
        <v>0</v>
      </c>
      <c r="P87" s="6440">
        <f>SUM(P88:P89)</f>
        <v>0</v>
      </c>
      <c r="Q87" s="6440">
        <f>SUM(Q88:Q89)</f>
        <v>0</v>
      </c>
      <c r="R87" s="6440">
        <f>SUM(R88:R89)</f>
        <v>0</v>
      </c>
      <c r="S87" s="6440">
        <f>SUM(S88:S89)</f>
        <v>0</v>
      </c>
      <c r="T87" s="6440">
        <f>SUM(T88:T89)</f>
        <v>0</v>
      </c>
      <c r="U87" s="6440">
        <f>SUM(U88:U89)</f>
        <v>0</v>
      </c>
      <c r="V87" s="6440">
        <f>SUM(V88:V89)</f>
        <v>0</v>
      </c>
      <c r="W87" s="419" t="str">
        <f>FHD_NOTE_P_49</f>
        <v/>
      </c>
      <c r="X87" s="864"/>
      <c r="Y87" s="865"/>
      <c r="Z87" s="865"/>
      <c r="AA87" s="1040"/>
      <c r="AB87" s="1040"/>
      <c r="AC87" s="1040"/>
      <c r="AD87" s="1040"/>
      <c r="AE87" s="865"/>
      <c r="AF87" s="1040"/>
      <c r="AG87" s="1040"/>
      <c r="AH87" s="866"/>
      <c r="AI87" s="1040"/>
      <c r="AJ87" s="1040"/>
      <c r="AK87" s="1040"/>
      <c r="AL87" s="1040"/>
      <c r="AM87" s="1040"/>
      <c r="AN87" s="867"/>
      <c r="AO87" s="867"/>
      <c r="AP87" s="867"/>
      <c r="AQ87" s="867"/>
      <c r="AR87" s="867"/>
    </row>
    <row s="12147" customFormat="1" customHeight="1" ht="18.75" hidden="1">
      <c r="A88" s="2400"/>
      <c r="B88" s="1040"/>
      <c r="C88" s="865"/>
      <c r="D88" s="863"/>
      <c r="E88" s="676" t="str">
        <f>FHD_NUM_P_50</f>
        <v/>
      </c>
      <c r="F88" s="2019" t="str">
        <f>FHD_P_50</f>
        <v/>
      </c>
      <c r="G88" s="2020" t="s">
        <v>664</v>
      </c>
      <c r="H88" s="1108"/>
      <c r="I88" s="707"/>
      <c r="J88" s="6431"/>
      <c r="K88" s="6431"/>
      <c r="L88" s="6431"/>
      <c r="M88" s="6431"/>
      <c r="N88" s="6431"/>
      <c r="O88" s="6431"/>
      <c r="P88" s="6431"/>
      <c r="Q88" s="6431"/>
      <c r="R88" s="6431"/>
      <c r="S88" s="6431"/>
      <c r="T88" s="6431"/>
      <c r="U88" s="6431"/>
      <c r="V88" s="6431"/>
      <c r="W88" s="419" t="str">
        <f>FHD_NOTE_P_50</f>
        <v/>
      </c>
      <c r="X88" s="864"/>
      <c r="Y88" s="865"/>
      <c r="Z88" s="865"/>
      <c r="AA88" s="1040"/>
      <c r="AB88" s="1040"/>
      <c r="AC88" s="1040"/>
      <c r="AD88" s="1040"/>
      <c r="AE88" s="865"/>
      <c r="AF88" s="1040"/>
      <c r="AG88" s="1040"/>
      <c r="AH88" s="866"/>
      <c r="AI88" s="1040"/>
      <c r="AJ88" s="1040"/>
      <c r="AK88" s="1040"/>
      <c r="AL88" s="1040"/>
      <c r="AM88" s="1040"/>
      <c r="AN88" s="867"/>
      <c r="AO88" s="867"/>
      <c r="AP88" s="867"/>
      <c r="AQ88" s="867"/>
      <c r="AR88" s="867"/>
    </row>
    <row s="12147" customFormat="1" customHeight="1" ht="18.75" hidden="1">
      <c r="A89" s="2400"/>
      <c r="B89" s="1040"/>
      <c r="C89" s="865"/>
      <c r="D89" s="863"/>
      <c r="E89" s="676" t="str">
        <f>FHD_NUM_P_51</f>
        <v/>
      </c>
      <c r="F89" s="2019" t="str">
        <f>FHD_P_51</f>
        <v/>
      </c>
      <c r="G89" s="2020" t="s">
        <v>664</v>
      </c>
      <c r="H89" s="1108"/>
      <c r="I89" s="707"/>
      <c r="J89" s="6431"/>
      <c r="K89" s="6431"/>
      <c r="L89" s="6431"/>
      <c r="M89" s="6431"/>
      <c r="N89" s="6431"/>
      <c r="O89" s="6431"/>
      <c r="P89" s="6431"/>
      <c r="Q89" s="6431"/>
      <c r="R89" s="6431"/>
      <c r="S89" s="6431"/>
      <c r="T89" s="6431"/>
      <c r="U89" s="6431"/>
      <c r="V89" s="6431"/>
      <c r="W89" s="419" t="str">
        <f>FHD_NOTE_P_51</f>
        <v/>
      </c>
      <c r="X89" s="864"/>
      <c r="Y89" s="865"/>
      <c r="Z89" s="865"/>
      <c r="AA89" s="1040"/>
      <c r="AB89" s="1040"/>
      <c r="AC89" s="1040"/>
      <c r="AD89" s="1040"/>
      <c r="AE89" s="865"/>
      <c r="AF89" s="1040"/>
      <c r="AG89" s="1040"/>
      <c r="AH89" s="866"/>
      <c r="AI89" s="1040"/>
      <c r="AJ89" s="1040"/>
      <c r="AK89" s="1040"/>
      <c r="AL89" s="1040"/>
      <c r="AM89" s="1040"/>
      <c r="AN89" s="867"/>
      <c r="AO89" s="867"/>
      <c r="AP89" s="867"/>
      <c r="AQ89" s="867"/>
      <c r="AR89" s="867"/>
    </row>
    <row s="12147" customFormat="1" customHeight="1" ht="18.75" hidden="1">
      <c r="A90" s="2400"/>
      <c r="B90" s="1040"/>
      <c r="C90" s="865"/>
      <c r="D90" s="863"/>
      <c r="E90" s="676" t="str">
        <f>FHD_NUM_P_52</f>
        <v/>
      </c>
      <c r="F90" s="2019" t="str">
        <f>FHD_P_52</f>
        <v/>
      </c>
      <c r="G90" s="2020" t="s">
        <v>641</v>
      </c>
      <c r="H90" s="1107"/>
      <c r="I90" s="687"/>
      <c r="J90" s="6422"/>
      <c r="K90" s="6422"/>
      <c r="L90" s="6422"/>
      <c r="M90" s="6422"/>
      <c r="N90" s="6422"/>
      <c r="O90" s="6422"/>
      <c r="P90" s="6422"/>
      <c r="Q90" s="6422"/>
      <c r="R90" s="6422"/>
      <c r="S90" s="6422"/>
      <c r="T90" s="6422"/>
      <c r="U90" s="6422"/>
      <c r="V90" s="6422"/>
      <c r="W90" s="419" t="str">
        <f>FHD_NOTE_P_52</f>
        <v/>
      </c>
      <c r="X90" s="864"/>
      <c r="Y90" s="865"/>
      <c r="Z90" s="865"/>
      <c r="AA90" s="1040"/>
      <c r="AB90" s="1040"/>
      <c r="AC90" s="1040"/>
      <c r="AD90" s="1040"/>
      <c r="AE90" s="865"/>
      <c r="AF90" s="1040"/>
      <c r="AG90" s="1040"/>
      <c r="AH90" s="866"/>
      <c r="AI90" s="1040"/>
      <c r="AJ90" s="1040"/>
      <c r="AK90" s="1040"/>
      <c r="AL90" s="1040"/>
      <c r="AM90" s="1040"/>
      <c r="AN90" s="867"/>
      <c r="AO90" s="867"/>
      <c r="AP90" s="867"/>
      <c r="AQ90" s="867"/>
      <c r="AR90" s="867"/>
    </row>
    <row s="12137" customFormat="1" customHeight="1" ht="18.75" hidden="1">
      <c r="A91" s="2402" t="s">
        <v>665</v>
      </c>
      <c r="C91" s="865"/>
      <c r="D91" s="863"/>
      <c r="E91" s="676" t="str">
        <f>FHD_NUM_P_53</f>
        <v/>
      </c>
      <c r="F91" s="2019" t="str">
        <f>FHD_P_53</f>
        <v/>
      </c>
      <c r="G91" s="2020" t="s">
        <v>664</v>
      </c>
      <c r="H91" s="1108"/>
      <c r="I91" s="707"/>
      <c r="J91" s="6431"/>
      <c r="K91" s="6431"/>
      <c r="L91" s="6431"/>
      <c r="M91" s="6431"/>
      <c r="N91" s="6431"/>
      <c r="O91" s="6431"/>
      <c r="P91" s="6431"/>
      <c r="Q91" s="6431"/>
      <c r="R91" s="6431"/>
      <c r="S91" s="6431"/>
      <c r="T91" s="6431"/>
      <c r="U91" s="6431"/>
      <c r="V91" s="6431"/>
      <c r="W91" s="419" t="str">
        <f>FHD_NOTE_P_53</f>
        <v/>
      </c>
      <c r="X91" s="864"/>
      <c r="Y91" s="865"/>
      <c r="Z91" s="865"/>
      <c r="AE91" s="865"/>
      <c r="AH91" s="866"/>
      <c r="AN91" s="867"/>
      <c r="AO91" s="867"/>
      <c r="AP91" s="867"/>
      <c r="AQ91" s="867"/>
      <c r="AR91" s="867"/>
    </row>
    <row s="12137" customFormat="1" customHeight="1" ht="18.75" hidden="1">
      <c r="A92" s="2402"/>
      <c r="C92" s="865"/>
      <c r="D92" s="863"/>
      <c r="E92" s="676" t="str">
        <f>FHD_NUM_P_54</f>
        <v/>
      </c>
      <c r="F92" s="2019" t="str">
        <f>FHD_P_54</f>
        <v/>
      </c>
      <c r="G92" s="2020" t="s">
        <v>664</v>
      </c>
      <c r="H92" s="1108"/>
      <c r="I92" s="707"/>
      <c r="J92" s="6431"/>
      <c r="K92" s="6431"/>
      <c r="L92" s="6431"/>
      <c r="M92" s="6431"/>
      <c r="N92" s="6431"/>
      <c r="O92" s="6431"/>
      <c r="P92" s="6431"/>
      <c r="Q92" s="6431"/>
      <c r="R92" s="6431"/>
      <c r="S92" s="6431"/>
      <c r="T92" s="6431"/>
      <c r="U92" s="6431"/>
      <c r="V92" s="6431"/>
      <c r="W92" s="419" t="str">
        <f>FHD_NOTE_P_54</f>
        <v/>
      </c>
      <c r="X92" s="864"/>
      <c r="Y92" s="865"/>
      <c r="Z92" s="865"/>
      <c r="AE92" s="865"/>
      <c r="AH92" s="866"/>
      <c r="AN92" s="867"/>
      <c r="AO92" s="867"/>
      <c r="AP92" s="867"/>
      <c r="AQ92" s="867"/>
      <c r="AR92" s="867"/>
    </row>
    <row s="12137" customFormat="1" customHeight="1" ht="18.75" hidden="1">
      <c r="A93" s="2402"/>
      <c r="C93" s="865"/>
      <c r="D93" s="868"/>
      <c r="E93" s="676" t="str">
        <f>FHD_NUM_P_55</f>
        <v/>
      </c>
      <c r="F93" s="2019" t="str">
        <f>FHD_P_55</f>
        <v/>
      </c>
      <c r="G93" s="2023"/>
      <c r="H93" s="1108"/>
      <c r="I93" s="707"/>
      <c r="J93" s="6431"/>
      <c r="K93" s="6431"/>
      <c r="L93" s="6431"/>
      <c r="M93" s="6431"/>
      <c r="N93" s="6431"/>
      <c r="O93" s="6431"/>
      <c r="P93" s="6431"/>
      <c r="Q93" s="6431"/>
      <c r="R93" s="6431"/>
      <c r="S93" s="6431"/>
      <c r="T93" s="6431"/>
      <c r="U93" s="6431"/>
      <c r="V93" s="6431"/>
      <c r="W93" s="419" t="str">
        <f>FHD_NOTE_P_55</f>
        <v/>
      </c>
      <c r="X93" s="864"/>
      <c r="Y93" s="865"/>
      <c r="Z93" s="865"/>
      <c r="AE93" s="865"/>
      <c r="AH93" s="866"/>
      <c r="AN93" s="867"/>
      <c r="AO93" s="867"/>
      <c r="AP93" s="867"/>
      <c r="AQ93" s="867"/>
      <c r="AR93" s="867"/>
    </row>
    <row s="12137" customFormat="1" customHeight="1" ht="18.75" hidden="1">
      <c r="A94" s="2402"/>
      <c r="C94" s="865"/>
      <c r="D94" s="863"/>
      <c r="E94" s="676" t="str">
        <f>FHD_NUM_P_56</f>
        <v/>
      </c>
      <c r="F94" s="2019" t="str">
        <f>FHD_P_56</f>
        <v/>
      </c>
      <c r="G94" s="2020" t="s">
        <v>666</v>
      </c>
      <c r="H94" s="1108"/>
      <c r="I94" s="707"/>
      <c r="J94" s="6431"/>
      <c r="K94" s="6431"/>
      <c r="L94" s="6431"/>
      <c r="M94" s="6431"/>
      <c r="N94" s="6431"/>
      <c r="O94" s="6431"/>
      <c r="P94" s="6431"/>
      <c r="Q94" s="6431"/>
      <c r="R94" s="6431"/>
      <c r="S94" s="6431"/>
      <c r="T94" s="6431"/>
      <c r="U94" s="6431"/>
      <c r="V94" s="6431"/>
      <c r="W94" s="419" t="str">
        <f>FHD_NOTE_P_56</f>
        <v/>
      </c>
      <c r="X94" s="864"/>
      <c r="Y94" s="865"/>
      <c r="Z94" s="865"/>
      <c r="AE94" s="865"/>
      <c r="AH94" s="866"/>
      <c r="AN94" s="867"/>
      <c r="AO94" s="867"/>
      <c r="AP94" s="867"/>
      <c r="AQ94" s="867"/>
      <c r="AR94" s="867"/>
    </row>
    <row s="12147" customFormat="1" customHeight="1" ht="18.75" hidden="1">
      <c r="A95" s="2402"/>
      <c r="B95" s="1040"/>
      <c r="C95" s="865"/>
      <c r="D95" s="863"/>
      <c r="E95" s="676" t="str">
        <f>FHD_NUM_P_57</f>
        <v/>
      </c>
      <c r="F95" s="2019" t="str">
        <f>FHD_P_57</f>
        <v/>
      </c>
      <c r="G95" s="2020" t="s">
        <v>641</v>
      </c>
      <c r="H95" s="1107"/>
      <c r="I95" s="687"/>
      <c r="J95" s="6422"/>
      <c r="K95" s="6422"/>
      <c r="L95" s="6422"/>
      <c r="M95" s="6422"/>
      <c r="N95" s="6422"/>
      <c r="O95" s="6422"/>
      <c r="P95" s="6422"/>
      <c r="Q95" s="6422"/>
      <c r="R95" s="6422"/>
      <c r="S95" s="6422"/>
      <c r="T95" s="6422"/>
      <c r="U95" s="6422"/>
      <c r="V95" s="6422"/>
      <c r="W95" s="419" t="str">
        <f>FHD_NOTE_P_57</f>
        <v/>
      </c>
      <c r="X95" s="864"/>
      <c r="Y95" s="865"/>
      <c r="Z95" s="865"/>
      <c r="AA95" s="1040"/>
      <c r="AB95" s="1040"/>
      <c r="AC95" s="1040"/>
      <c r="AD95" s="1040"/>
      <c r="AE95" s="865"/>
      <c r="AF95" s="1040"/>
      <c r="AG95" s="1040"/>
      <c r="AH95" s="866"/>
      <c r="AI95" s="1040"/>
      <c r="AJ95" s="1040"/>
      <c r="AK95" s="1040"/>
      <c r="AL95" s="1040"/>
      <c r="AM95" s="1040"/>
      <c r="AN95" s="867"/>
      <c r="AO95" s="867"/>
      <c r="AP95" s="867"/>
      <c r="AQ95" s="867"/>
      <c r="AR95" s="867"/>
    </row>
    <row customHeight="1" ht="18.75" hidden="1">
      <c r="A96" s="2400" t="s">
        <v>667</v>
      </c>
      <c r="D96" s="1775"/>
      <c r="E96" s="676" t="str">
        <f>FHD_NUM_P_58</f>
        <v/>
      </c>
      <c r="F96" s="2019" t="str">
        <f>FHD_P_58</f>
        <v/>
      </c>
      <c r="G96" s="2020" t="s">
        <v>664</v>
      </c>
      <c r="H96" s="1108"/>
      <c r="I96" s="707"/>
      <c r="J96" s="6431"/>
      <c r="K96" s="6431"/>
      <c r="L96" s="6431"/>
      <c r="M96" s="6431"/>
      <c r="N96" s="6431"/>
      <c r="O96" s="6431"/>
      <c r="P96" s="6431"/>
      <c r="Q96" s="6431"/>
      <c r="R96" s="6431"/>
      <c r="S96" s="6431"/>
      <c r="T96" s="6431"/>
      <c r="U96" s="6431"/>
      <c r="V96" s="6431"/>
      <c r="W96" s="419" t="str">
        <f>FHD_NOTE_P_58</f>
        <v/>
      </c>
      <c r="X96" s="673"/>
    </row>
    <row customHeight="1" ht="33.75" hidden="1">
      <c r="A97" s="2400"/>
      <c r="D97" s="1775"/>
      <c r="E97" s="676" t="str">
        <f>FHD_NUM_P_59</f>
        <v/>
      </c>
      <c r="F97" s="2019" t="str">
        <f>FHD_P_59</f>
        <v/>
      </c>
      <c r="G97" s="2020" t="s">
        <v>664</v>
      </c>
      <c r="H97" s="1108"/>
      <c r="I97" s="707"/>
      <c r="J97" s="6431"/>
      <c r="K97" s="6431"/>
      <c r="L97" s="6431"/>
      <c r="M97" s="6431"/>
      <c r="N97" s="6431"/>
      <c r="O97" s="6431"/>
      <c r="P97" s="6431"/>
      <c r="Q97" s="6431"/>
      <c r="R97" s="6431"/>
      <c r="S97" s="6431"/>
      <c r="T97" s="6431"/>
      <c r="U97" s="6431"/>
      <c r="V97" s="6431"/>
      <c r="W97" s="419" t="str">
        <f>FHD_NOTE_P_59</f>
        <v/>
      </c>
      <c r="X97" s="673"/>
    </row>
    <row customHeight="1" ht="22.5" hidden="1">
      <c r="A98" s="2400"/>
      <c r="D98" s="1775"/>
      <c r="E98" s="676" t="str">
        <f>FHD_NUM_P_60</f>
        <v/>
      </c>
      <c r="F98" s="2019" t="str">
        <f>FHD_P_60</f>
        <v/>
      </c>
      <c r="G98" s="2020" t="s">
        <v>664</v>
      </c>
      <c r="H98" s="1108"/>
      <c r="I98" s="707"/>
      <c r="J98" s="6431"/>
      <c r="K98" s="6431"/>
      <c r="L98" s="6431"/>
      <c r="M98" s="6431"/>
      <c r="N98" s="6431"/>
      <c r="O98" s="6431"/>
      <c r="P98" s="6431"/>
      <c r="Q98" s="6431"/>
      <c r="R98" s="6431"/>
      <c r="S98" s="6431"/>
      <c r="T98" s="6431"/>
      <c r="U98" s="6431"/>
      <c r="V98" s="6431"/>
      <c r="W98" s="419" t="str">
        <f>FHD_NOTE_P_60</f>
        <v/>
      </c>
      <c r="X98" s="673"/>
    </row>
    <row s="11649" customFormat="1" customHeight="1" ht="18.75">
      <c r="A99" s="2400" t="s">
        <v>668</v>
      </c>
      <c r="C99" s="1773"/>
      <c r="D99" s="1775"/>
      <c r="E99" s="676" t="str">
        <f>FHD_NUM_P_61</f>
        <v>7</v>
      </c>
      <c r="F99" s="201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17" t="s">
        <v>639</v>
      </c>
      <c r="H99" s="1110"/>
      <c r="I99" s="872"/>
      <c r="J99" s="6445"/>
      <c r="K99" s="6445"/>
      <c r="L99" s="6445"/>
      <c r="M99" s="6445"/>
      <c r="N99" s="6445"/>
      <c r="O99" s="6445"/>
      <c r="P99" s="6445"/>
      <c r="Q99" s="6445"/>
      <c r="R99" s="6445"/>
      <c r="S99" s="6445"/>
      <c r="T99" s="6445"/>
      <c r="U99" s="6445"/>
      <c r="V99" s="6445"/>
      <c r="W99" s="41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X99" s="673"/>
      <c r="Y99" s="1773"/>
      <c r="Z99" s="1773"/>
      <c r="AE99" s="1773"/>
      <c r="AH99" s="674"/>
      <c r="AN99" s="1769"/>
      <c r="AO99" s="1769"/>
      <c r="AP99" s="1769"/>
      <c r="AQ99" s="1769"/>
      <c r="AR99" s="1769"/>
    </row>
    <row s="11773" customFormat="1" customHeight="1" ht="0.75">
      <c r="A100" s="2400"/>
      <c r="D100" s="678"/>
      <c r="E100" s="1144" t="str">
        <f>E99&amp;".0"</f>
        <v>7.0</v>
      </c>
      <c r="F100" s="1125"/>
      <c r="G100" s="1126"/>
      <c r="H100" s="1123"/>
      <c r="I100" s="1123"/>
      <c r="J100" s="6406"/>
      <c r="K100" s="6406"/>
      <c r="L100" s="6406"/>
      <c r="M100" s="6406"/>
      <c r="N100" s="6406"/>
      <c r="O100" s="6406"/>
      <c r="P100" s="6406"/>
      <c r="Q100" s="6406"/>
      <c r="R100" s="6406"/>
      <c r="S100" s="6406"/>
      <c r="T100" s="6406"/>
      <c r="U100" s="6406"/>
      <c r="V100" s="6406"/>
      <c r="W100" s="1127"/>
    </row>
    <row customHeight="1" ht="15">
      <c r="A101" s="2400"/>
      <c r="D101" s="1770"/>
      <c r="E101" s="1102"/>
      <c r="F101" s="1103" t="s">
        <v>669</v>
      </c>
      <c r="G101" s="702"/>
      <c r="H101" s="703"/>
      <c r="I101" s="703"/>
      <c r="J101" s="6451"/>
      <c r="K101" s="6452"/>
      <c r="L101" s="6453"/>
      <c r="M101" s="6454"/>
      <c r="N101" s="6455"/>
      <c r="O101" s="6456"/>
      <c r="P101" s="6457"/>
      <c r="Q101" s="6458"/>
      <c r="R101" s="6459"/>
      <c r="S101" s="6460"/>
      <c r="T101" s="6461"/>
      <c r="U101" s="6462"/>
      <c r="V101" s="6463"/>
      <c r="W101" s="1135" t="s">
        <v>670</v>
      </c>
      <c r="X101" s="673"/>
    </row>
    <row s="11649" customFormat="1" customHeight="1" ht="18.75">
      <c r="A102" s="2400"/>
      <c r="C102" s="1773"/>
      <c r="D102" s="1775"/>
      <c r="E102" s="676" t="str">
        <f>FHD_NUM_P_62</f>
        <v>8</v>
      </c>
      <c r="F102" s="2019" t="str">
        <f>FHD_P_62</f>
        <v>Тепловая нагрузка по договорам, заключенным в рамках осуществления регулируемых видов деятельности</v>
      </c>
      <c r="G102" s="2016" t="s">
        <v>639</v>
      </c>
      <c r="H102" s="687"/>
      <c r="I102" s="687"/>
      <c r="J102" s="6352"/>
      <c r="K102" s="6352"/>
      <c r="L102" s="6352"/>
      <c r="M102" s="6352"/>
      <c r="N102" s="6352"/>
      <c r="O102" s="6352"/>
      <c r="P102" s="6352"/>
      <c r="Q102" s="6352"/>
      <c r="R102" s="6352"/>
      <c r="S102" s="6352"/>
      <c r="T102" s="6352"/>
      <c r="U102" s="6352"/>
      <c r="V102" s="6352"/>
      <c r="W102" s="419" t="str">
        <f>FHD_NOTE_P_62</f>
        <v>Регулируемыми организациями указывается информация по договорам, заключенным в рамках осуществления регулируемых видов деятельности</v>
      </c>
      <c r="X102" s="673"/>
      <c r="Y102" s="1773"/>
      <c r="Z102" s="1773"/>
      <c r="AE102" s="1773"/>
      <c r="AH102" s="674"/>
      <c r="AN102" s="1769"/>
      <c r="AO102" s="1769"/>
      <c r="AP102" s="1769"/>
      <c r="AQ102" s="1769"/>
      <c r="AR102" s="1769"/>
    </row>
    <row s="11649" customFormat="1" customHeight="1" ht="18.75">
      <c r="A103" s="2400"/>
      <c r="C103" s="1773"/>
      <c r="D103" s="1775"/>
      <c r="E103" s="676" t="str">
        <f>FHD_NUM_P_63</f>
        <v>9</v>
      </c>
      <c r="F103" s="2019" t="str">
        <f>FHD_P_63</f>
        <v>Объем вырабатываемой регулируемой организацией тепловой энергии в рамках осуществления регулируемых видов деятельности</v>
      </c>
      <c r="G103" s="2016" t="s">
        <v>666</v>
      </c>
      <c r="H103" s="707"/>
      <c r="I103" s="707"/>
      <c r="J103" s="6392"/>
      <c r="K103" s="6392"/>
      <c r="L103" s="6392"/>
      <c r="M103" s="6392"/>
      <c r="N103" s="6392"/>
      <c r="O103" s="6392"/>
      <c r="P103" s="6392"/>
      <c r="Q103" s="6392"/>
      <c r="R103" s="6392"/>
      <c r="S103" s="6392"/>
      <c r="T103" s="6392"/>
      <c r="U103" s="6392"/>
      <c r="V103" s="6392"/>
      <c r="W103" s="41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X103" s="673"/>
      <c r="Y103" s="1773"/>
      <c r="Z103" s="1773"/>
      <c r="AE103" s="1773"/>
      <c r="AH103" s="674"/>
      <c r="AN103" s="1769"/>
      <c r="AO103" s="1769"/>
      <c r="AP103" s="1769"/>
      <c r="AQ103" s="1769"/>
      <c r="AR103" s="1769"/>
    </row>
    <row s="11649" customFormat="1" customHeight="1" ht="18.75">
      <c r="A104" s="2400"/>
      <c r="C104" s="1773" t="s">
        <v>671</v>
      </c>
      <c r="D104" s="1775"/>
      <c r="E104" s="676" t="str">
        <f>FHD_NUM_P_64</f>
        <v>9.1</v>
      </c>
      <c r="F104" s="2019" t="str">
        <f>FHD_P_64</f>
        <v>Объем приобретаемой регулируемой организацией тепловой энергии в рамках осуществления регулируемых видов деятельности</v>
      </c>
      <c r="G104" s="2016" t="s">
        <v>666</v>
      </c>
      <c r="H104" s="675"/>
      <c r="I104" s="675"/>
      <c r="J104" s="6328"/>
      <c r="K104" s="6328"/>
      <c r="L104" s="6328"/>
      <c r="M104" s="6328"/>
      <c r="N104" s="6328"/>
      <c r="O104" s="6328"/>
      <c r="P104" s="6328"/>
      <c r="Q104" s="6328"/>
      <c r="R104" s="6328"/>
      <c r="S104" s="6328"/>
      <c r="T104" s="6328"/>
      <c r="U104" s="6328"/>
      <c r="V104" s="6328"/>
      <c r="W104" s="419" t="str">
        <f>FHD_NOTE_P_64</f>
        <v>Информация указывается только едиными теплоснабжающими организациями.</v>
      </c>
      <c r="X104" s="673"/>
      <c r="Y104" s="1773"/>
      <c r="Z104" s="1773"/>
      <c r="AE104" s="1773"/>
      <c r="AH104" s="674"/>
      <c r="AN104" s="1769"/>
      <c r="AO104" s="1769"/>
      <c r="AP104" s="1769"/>
      <c r="AQ104" s="1769"/>
      <c r="AR104" s="1769"/>
    </row>
    <row s="11649" customFormat="1" customHeight="1" ht="18.75">
      <c r="A105" s="2400"/>
      <c r="C105" s="1773"/>
      <c r="D105" s="1775"/>
      <c r="E105" s="676" t="str">
        <f>FHD_NUM_P_65</f>
        <v>10</v>
      </c>
      <c r="F105" s="201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16" t="s">
        <v>666</v>
      </c>
      <c r="H105" s="707"/>
      <c r="I105" s="707"/>
      <c r="J105" s="6392"/>
      <c r="K105" s="6392"/>
      <c r="L105" s="6392"/>
      <c r="M105" s="6392"/>
      <c r="N105" s="6392"/>
      <c r="O105" s="6392"/>
      <c r="P105" s="6392"/>
      <c r="Q105" s="6392"/>
      <c r="R105" s="6392"/>
      <c r="S105" s="6392"/>
      <c r="T105" s="6392"/>
      <c r="U105" s="6392"/>
      <c r="V105" s="6392"/>
      <c r="W105" s="41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X105" s="673"/>
      <c r="Y105" s="1773"/>
      <c r="Z105" s="1773"/>
      <c r="AE105" s="1773"/>
      <c r="AH105" s="674"/>
      <c r="AN105" s="1769"/>
      <c r="AO105" s="1769"/>
      <c r="AP105" s="1769"/>
      <c r="AQ105" s="1769"/>
      <c r="AR105" s="1769"/>
    </row>
    <row s="11649" customFormat="1" customHeight="1" ht="18.75">
      <c r="A106" s="2400"/>
      <c r="C106" s="1773"/>
      <c r="D106" s="1775"/>
      <c r="E106" s="676" t="str">
        <f>FHD_NUM_P_66</f>
        <v>10.1</v>
      </c>
      <c r="F106" s="1661" t="str">
        <f>FHD_P_66</f>
        <v>По приборам учёта </v>
      </c>
      <c r="G106" s="2016" t="s">
        <v>666</v>
      </c>
      <c r="H106" s="707"/>
      <c r="I106" s="707"/>
      <c r="J106" s="6392"/>
      <c r="K106" s="6392"/>
      <c r="L106" s="6392"/>
      <c r="M106" s="6392"/>
      <c r="N106" s="6392"/>
      <c r="O106" s="6392"/>
      <c r="P106" s="6392"/>
      <c r="Q106" s="6392"/>
      <c r="R106" s="6392"/>
      <c r="S106" s="6392"/>
      <c r="T106" s="6392"/>
      <c r="U106" s="6392"/>
      <c r="V106" s="6392"/>
      <c r="W106" s="419" t="str">
        <f>FHD_NOTE_P_66</f>
        <v/>
      </c>
      <c r="X106" s="673"/>
      <c r="Y106" s="1773"/>
      <c r="Z106" s="1773"/>
      <c r="AE106" s="1773"/>
      <c r="AH106" s="674"/>
      <c r="AN106" s="1769"/>
      <c r="AO106" s="1769"/>
      <c r="AP106" s="1769"/>
      <c r="AQ106" s="1769"/>
      <c r="AR106" s="1769"/>
    </row>
    <row s="11649" customFormat="1" customHeight="1" ht="18.75">
      <c r="A107" s="2400"/>
      <c r="C107" s="1773"/>
      <c r="D107" s="1775"/>
      <c r="E107" s="676" t="str">
        <f>FHD_NUM_P_67</f>
        <v>10.1.1</v>
      </c>
      <c r="F107" s="178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16" t="s">
        <v>666</v>
      </c>
      <c r="H107" s="707"/>
      <c r="I107" s="707"/>
      <c r="J107" s="6392"/>
      <c r="K107" s="6392"/>
      <c r="L107" s="6392"/>
      <c r="M107" s="6392"/>
      <c r="N107" s="6392"/>
      <c r="O107" s="6392"/>
      <c r="P107" s="6392"/>
      <c r="Q107" s="6392"/>
      <c r="R107" s="6392"/>
      <c r="S107" s="6392"/>
      <c r="T107" s="6392"/>
      <c r="U107" s="6392"/>
      <c r="V107" s="6392"/>
      <c r="W107" s="419" t="str">
        <f>FHD_NOTE_P_67</f>
        <v/>
      </c>
      <c r="X107" s="673"/>
      <c r="Y107" s="1773"/>
      <c r="Z107" s="1773"/>
      <c r="AE107" s="1773"/>
      <c r="AH107" s="674"/>
      <c r="AN107" s="1769"/>
      <c r="AO107" s="1769"/>
      <c r="AP107" s="1769"/>
      <c r="AQ107" s="1769"/>
      <c r="AR107" s="1769"/>
    </row>
    <row s="11649" customFormat="1" customHeight="1" ht="18.75">
      <c r="A108" s="2400"/>
      <c r="C108" s="1773"/>
      <c r="D108" s="1775"/>
      <c r="E108" s="676" t="str">
        <f>FHD_NUM_P_68</f>
        <v>10.2</v>
      </c>
      <c r="F108" s="1661" t="str">
        <f>FHD_P_68</f>
        <v>Расчётным путём</v>
      </c>
      <c r="G108" s="2016" t="s">
        <v>666</v>
      </c>
      <c r="H108" s="707"/>
      <c r="I108" s="707"/>
      <c r="J108" s="6392"/>
      <c r="K108" s="6392"/>
      <c r="L108" s="6392"/>
      <c r="M108" s="6392"/>
      <c r="N108" s="6392"/>
      <c r="O108" s="6392"/>
      <c r="P108" s="6392"/>
      <c r="Q108" s="6392"/>
      <c r="R108" s="6392"/>
      <c r="S108" s="6392"/>
      <c r="T108" s="6392"/>
      <c r="U108" s="6392"/>
      <c r="V108" s="6392"/>
      <c r="W108" s="419" t="str">
        <f>FHD_NOTE_P_68</f>
        <v/>
      </c>
      <c r="X108" s="673"/>
      <c r="Y108" s="1773"/>
      <c r="Z108" s="1773"/>
      <c r="AE108" s="1773"/>
      <c r="AH108" s="674"/>
      <c r="AN108" s="1769"/>
      <c r="AO108" s="1769"/>
      <c r="AP108" s="1769"/>
      <c r="AQ108" s="1769"/>
      <c r="AR108" s="1769"/>
    </row>
    <row s="11649" customFormat="1" customHeight="1" ht="18.75">
      <c r="A109" s="2400"/>
      <c r="C109" s="1773"/>
      <c r="D109" s="1775"/>
      <c r="E109" s="676" t="str">
        <f>FHD_NUM_P_69</f>
        <v>10.3</v>
      </c>
      <c r="F109" s="1661" t="str">
        <f>FHD_P_69</f>
        <v>По нормативам потребления коммунальных услуг и нормативам потребления коммунальных ресурсов</v>
      </c>
      <c r="G109" s="2016" t="s">
        <v>666</v>
      </c>
      <c r="H109" s="707"/>
      <c r="I109" s="707"/>
      <c r="J109" s="6392"/>
      <c r="K109" s="6392"/>
      <c r="L109" s="6392"/>
      <c r="M109" s="6392"/>
      <c r="N109" s="6392"/>
      <c r="O109" s="6392"/>
      <c r="P109" s="6392"/>
      <c r="Q109" s="6392"/>
      <c r="R109" s="6392"/>
      <c r="S109" s="6392"/>
      <c r="T109" s="6392"/>
      <c r="U109" s="6392"/>
      <c r="V109" s="6392"/>
      <c r="W109" s="419" t="str">
        <f>FHD_NOTE_P_69</f>
        <v/>
      </c>
      <c r="X109" s="673"/>
      <c r="Y109" s="1773"/>
      <c r="Z109" s="1773"/>
      <c r="AE109" s="1773"/>
      <c r="AH109" s="674"/>
      <c r="AN109" s="1769"/>
      <c r="AO109" s="1769"/>
      <c r="AP109" s="1769"/>
      <c r="AQ109" s="1769"/>
      <c r="AR109" s="1769"/>
    </row>
    <row s="11649" customFormat="1" customHeight="1" ht="22.5">
      <c r="A110" s="2400"/>
      <c r="C110" s="1773"/>
      <c r="D110" s="1775"/>
      <c r="E110" s="676" t="str">
        <f>FHD_NUM_P_70</f>
        <v>11</v>
      </c>
      <c r="F110" s="201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16" t="s">
        <v>672</v>
      </c>
      <c r="H110" s="687"/>
      <c r="I110" s="687"/>
      <c r="J110" s="6352"/>
      <c r="K110" s="6352"/>
      <c r="L110" s="6352"/>
      <c r="M110" s="6352"/>
      <c r="N110" s="6352"/>
      <c r="O110" s="6352"/>
      <c r="P110" s="6352"/>
      <c r="Q110" s="6352"/>
      <c r="R110" s="6352"/>
      <c r="S110" s="6352"/>
      <c r="T110" s="6352"/>
      <c r="U110" s="6352"/>
      <c r="V110" s="6352"/>
      <c r="W110" s="419" t="str">
        <f>FHD_NOTE_P_70</f>
        <v/>
      </c>
      <c r="X110" s="673"/>
      <c r="Y110" s="1773"/>
      <c r="Z110" s="1773"/>
      <c r="AE110" s="1773"/>
      <c r="AH110" s="674"/>
      <c r="AN110" s="1769"/>
      <c r="AO110" s="1769"/>
      <c r="AP110" s="1769"/>
      <c r="AQ110" s="1769"/>
      <c r="AR110" s="1769"/>
    </row>
    <row s="11649" customFormat="1" customHeight="1" ht="22.5">
      <c r="A111" s="2400"/>
      <c r="C111" s="1773"/>
      <c r="D111" s="1775"/>
      <c r="E111" s="676" t="str">
        <f>FHD_NUM_P_71</f>
        <v>12</v>
      </c>
      <c r="F111" s="2019" t="str">
        <f>FHD_P_71</f>
        <v>Фактический объем потерь при передаче тепловой энергии</v>
      </c>
      <c r="G111" s="2016" t="s">
        <v>672</v>
      </c>
      <c r="H111" s="687"/>
      <c r="I111" s="687"/>
      <c r="J111" s="6352"/>
      <c r="K111" s="6352"/>
      <c r="L111" s="6352"/>
      <c r="M111" s="6352"/>
      <c r="N111" s="6352"/>
      <c r="O111" s="6352"/>
      <c r="P111" s="6352"/>
      <c r="Q111" s="6352"/>
      <c r="R111" s="6352"/>
      <c r="S111" s="6352"/>
      <c r="T111" s="6352"/>
      <c r="U111" s="6352"/>
      <c r="V111" s="6352"/>
      <c r="W111" s="419" t="str">
        <f>FHD_NOTE_P_71</f>
        <v/>
      </c>
      <c r="X111" s="673"/>
      <c r="Y111" s="1773"/>
      <c r="Z111" s="1773"/>
      <c r="AE111" s="1773"/>
      <c r="AH111" s="674"/>
      <c r="AN111" s="1769"/>
      <c r="AO111" s="1769"/>
      <c r="AP111" s="1769"/>
      <c r="AQ111" s="1769"/>
      <c r="AR111" s="1769"/>
    </row>
    <row customHeight="1" ht="22.5">
      <c r="D112" s="1775"/>
      <c r="E112" s="676" t="str">
        <f>FHD_NUM_P_72</f>
        <v>13</v>
      </c>
      <c r="F112" s="2019" t="str">
        <f>FHD_P_72</f>
        <v>Среднесписочная численность основного производственного персонала</v>
      </c>
      <c r="G112" s="2015" t="s">
        <v>673</v>
      </c>
      <c r="H112" s="707"/>
      <c r="I112" s="707"/>
      <c r="J112" s="6392"/>
      <c r="K112" s="6392"/>
      <c r="L112" s="6392"/>
      <c r="M112" s="6392"/>
      <c r="N112" s="6392"/>
      <c r="O112" s="6392"/>
      <c r="P112" s="6392"/>
      <c r="Q112" s="6392"/>
      <c r="R112" s="6392"/>
      <c r="S112" s="6392"/>
      <c r="T112" s="6392"/>
      <c r="U112" s="6392"/>
      <c r="V112" s="6392"/>
      <c r="W112" s="419" t="str">
        <f>FHD_NOTE_P_72</f>
        <v/>
      </c>
      <c r="X112" s="673"/>
    </row>
    <row customHeight="1" ht="18.75">
      <c r="A113" s="1120" t="s">
        <v>674</v>
      </c>
      <c r="D113" s="1775"/>
      <c r="E113" s="676" t="str">
        <f>FHD_NUM_P_73</f>
        <v>14</v>
      </c>
      <c r="F113" s="2019" t="str">
        <f>FHD_P_73</f>
        <v>Среднесписочная численность административно-управленческого персонала</v>
      </c>
      <c r="G113" s="1101" t="s">
        <v>673</v>
      </c>
      <c r="H113" s="1099"/>
      <c r="I113" s="1099"/>
      <c r="J113" s="6469"/>
      <c r="K113" s="6469"/>
      <c r="L113" s="6469"/>
      <c r="M113" s="6469"/>
      <c r="N113" s="6469"/>
      <c r="O113" s="6469"/>
      <c r="P113" s="6469"/>
      <c r="Q113" s="6469"/>
      <c r="R113" s="6469"/>
      <c r="S113" s="6469"/>
      <c r="T113" s="6469"/>
      <c r="U113" s="6469"/>
      <c r="V113" s="6469"/>
      <c r="W113" s="419" t="str">
        <f>FHD_NOTE_P_73</f>
        <v/>
      </c>
      <c r="X113" s="673"/>
    </row>
    <row customHeight="1" ht="33.75" hidden="1">
      <c r="A114" s="1120" t="s">
        <v>675</v>
      </c>
      <c r="D114" s="1775"/>
      <c r="E114" s="676" t="str">
        <f>FHD_NUM_P_74</f>
        <v/>
      </c>
      <c r="F114" s="2019" t="str">
        <f>FHD_P_74</f>
        <v/>
      </c>
      <c r="G114" s="2015" t="s">
        <v>676</v>
      </c>
      <c r="H114" s="707"/>
      <c r="I114" s="707"/>
      <c r="J114" s="6392"/>
      <c r="K114" s="6392"/>
      <c r="L114" s="6392"/>
      <c r="M114" s="6392"/>
      <c r="N114" s="6392"/>
      <c r="O114" s="6392"/>
      <c r="P114" s="6392"/>
      <c r="Q114" s="6392"/>
      <c r="R114" s="6392"/>
      <c r="S114" s="6392"/>
      <c r="T114" s="6392"/>
      <c r="U114" s="6392"/>
      <c r="V114" s="6392"/>
      <c r="W114" s="419" t="str">
        <f>FHD_NOTE_P_74</f>
        <v/>
      </c>
      <c r="X114" s="673"/>
    </row>
    <row s="12147" customFormat="1" customHeight="1" ht="18.75" hidden="1">
      <c r="A115" s="2402" t="s">
        <v>677</v>
      </c>
      <c r="B115" s="1040"/>
      <c r="C115" s="865"/>
      <c r="D115" s="863"/>
      <c r="E115" s="676" t="str">
        <f>FHD_NUM_P_75</f>
        <v/>
      </c>
      <c r="F115" s="2019" t="str">
        <f>FHD_P_75</f>
        <v/>
      </c>
      <c r="G115" s="2015" t="s">
        <v>641</v>
      </c>
      <c r="H115" s="687"/>
      <c r="I115" s="687"/>
      <c r="J115" s="6352"/>
      <c r="K115" s="6352"/>
      <c r="L115" s="6352"/>
      <c r="M115" s="6352"/>
      <c r="N115" s="6352"/>
      <c r="O115" s="6352"/>
      <c r="P115" s="6352"/>
      <c r="Q115" s="6352"/>
      <c r="R115" s="6352"/>
      <c r="S115" s="6352"/>
      <c r="T115" s="6352"/>
      <c r="U115" s="6352"/>
      <c r="V115" s="6352"/>
      <c r="W115" s="419" t="str">
        <f>FHD_NOTE_P_75</f>
        <v/>
      </c>
      <c r="X115" s="864"/>
      <c r="Y115" s="865"/>
      <c r="Z115" s="865"/>
      <c r="AA115" s="1040"/>
      <c r="AB115" s="1040"/>
      <c r="AC115" s="1040"/>
      <c r="AD115" s="1040"/>
      <c r="AE115" s="865"/>
      <c r="AF115" s="1040"/>
      <c r="AG115" s="1040"/>
      <c r="AH115" s="866"/>
      <c r="AI115" s="1040"/>
      <c r="AJ115" s="1040"/>
      <c r="AK115" s="1040"/>
      <c r="AL115" s="1040"/>
      <c r="AM115" s="1040"/>
      <c r="AN115" s="867"/>
      <c r="AO115" s="867"/>
      <c r="AP115" s="867"/>
      <c r="AQ115" s="867"/>
      <c r="AR115" s="867"/>
    </row>
    <row s="12147" customFormat="1" customHeight="1" ht="18.75" hidden="1">
      <c r="A116" s="2402"/>
      <c r="B116" s="1040"/>
      <c r="C116" s="865"/>
      <c r="D116" s="863"/>
      <c r="E116" s="676" t="str">
        <f>FHD_NUM_P_76</f>
        <v/>
      </c>
      <c r="F116" s="2019" t="str">
        <f>FHD_P_76</f>
        <v/>
      </c>
      <c r="G116" s="2015" t="s">
        <v>641</v>
      </c>
      <c r="H116" s="687"/>
      <c r="I116" s="687"/>
      <c r="J116" s="6352"/>
      <c r="K116" s="6352"/>
      <c r="L116" s="6352"/>
      <c r="M116" s="6352"/>
      <c r="N116" s="6352"/>
      <c r="O116" s="6352"/>
      <c r="P116" s="6352"/>
      <c r="Q116" s="6352"/>
      <c r="R116" s="6352"/>
      <c r="S116" s="6352"/>
      <c r="T116" s="6352"/>
      <c r="U116" s="6352"/>
      <c r="V116" s="6352"/>
      <c r="W116" s="419" t="str">
        <f>FHD_NOTE_P_76</f>
        <v/>
      </c>
      <c r="X116" s="864"/>
      <c r="Y116" s="865"/>
      <c r="Z116" s="865"/>
      <c r="AA116" s="1040"/>
      <c r="AB116" s="1040"/>
      <c r="AC116" s="1040"/>
      <c r="AD116" s="1040"/>
      <c r="AE116" s="865"/>
      <c r="AF116" s="1040"/>
      <c r="AG116" s="1040"/>
      <c r="AH116" s="866"/>
      <c r="AI116" s="1040"/>
      <c r="AJ116" s="1040"/>
      <c r="AK116" s="1040"/>
      <c r="AL116" s="1040"/>
      <c r="AM116" s="1040"/>
      <c r="AN116" s="867"/>
      <c r="AO116" s="867"/>
      <c r="AP116" s="867"/>
      <c r="AQ116" s="867"/>
      <c r="AR116" s="867"/>
    </row>
    <row s="12147" customFormat="1" customHeight="1" ht="18.75" hidden="1">
      <c r="A117" s="2402"/>
      <c r="B117" s="1040"/>
      <c r="C117" s="865"/>
      <c r="D117" s="863"/>
      <c r="E117" s="676" t="str">
        <f>FHD_NUM_P_77</f>
        <v/>
      </c>
      <c r="F117" s="2019" t="str">
        <f>FHD_P_77</f>
        <v/>
      </c>
      <c r="G117" s="2015" t="s">
        <v>641</v>
      </c>
      <c r="H117" s="687"/>
      <c r="I117" s="687"/>
      <c r="J117" s="6352"/>
      <c r="K117" s="6352"/>
      <c r="L117" s="6352"/>
      <c r="M117" s="6352"/>
      <c r="N117" s="6352"/>
      <c r="O117" s="6352"/>
      <c r="P117" s="6352"/>
      <c r="Q117" s="6352"/>
      <c r="R117" s="6352"/>
      <c r="S117" s="6352"/>
      <c r="T117" s="6352"/>
      <c r="U117" s="6352"/>
      <c r="V117" s="6352"/>
      <c r="W117" s="419" t="str">
        <f>FHD_NOTE_P_77</f>
        <v/>
      </c>
      <c r="X117" s="864"/>
      <c r="Y117" s="865"/>
      <c r="Z117" s="865"/>
      <c r="AA117" s="1040"/>
      <c r="AB117" s="1040"/>
      <c r="AC117" s="1040"/>
      <c r="AD117" s="1040"/>
      <c r="AE117" s="865"/>
      <c r="AF117" s="1040"/>
      <c r="AG117" s="1040"/>
      <c r="AH117" s="866"/>
      <c r="AI117" s="1040"/>
      <c r="AJ117" s="1040"/>
      <c r="AK117" s="1040"/>
      <c r="AL117" s="1040"/>
      <c r="AM117" s="1040"/>
      <c r="AN117" s="867"/>
      <c r="AO117" s="867"/>
      <c r="AP117" s="867"/>
      <c r="AQ117" s="867"/>
      <c r="AR117" s="867"/>
    </row>
    <row s="11773" customFormat="1" customHeight="1" ht="0.75" hidden="1">
      <c r="A118" s="2402"/>
      <c r="D118" s="678"/>
      <c r="E118" s="1144" t="str">
        <f>E117&amp;".0"</f>
        <v>.0</v>
      </c>
      <c r="F118" s="1128"/>
      <c r="G118" s="1788"/>
      <c r="H118" s="1123"/>
      <c r="I118" s="1123"/>
      <c r="J118" s="6406"/>
      <c r="K118" s="6406"/>
      <c r="L118" s="6406"/>
      <c r="M118" s="6406"/>
      <c r="N118" s="6406"/>
      <c r="O118" s="6406"/>
      <c r="P118" s="6406"/>
      <c r="Q118" s="6406"/>
      <c r="R118" s="6406"/>
      <c r="S118" s="6406"/>
      <c r="T118" s="6406"/>
      <c r="U118" s="6406"/>
      <c r="V118" s="6406"/>
      <c r="W118" s="1127"/>
    </row>
    <row s="12147" customFormat="1" customHeight="1" ht="15" hidden="1">
      <c r="A119" s="2402"/>
      <c r="B119" s="1040"/>
      <c r="C119" s="865"/>
      <c r="D119" s="876"/>
      <c r="E119" s="1104"/>
      <c r="F119" s="1105" t="s">
        <v>678</v>
      </c>
      <c r="G119" s="877"/>
      <c r="H119" s="878"/>
      <c r="I119" s="878"/>
      <c r="J119" s="6477"/>
      <c r="K119" s="6478"/>
      <c r="L119" s="6479"/>
      <c r="M119" s="6480"/>
      <c r="N119" s="6481"/>
      <c r="O119" s="6482"/>
      <c r="P119" s="6483"/>
      <c r="Q119" s="6484"/>
      <c r="R119" s="6485"/>
      <c r="S119" s="6486"/>
      <c r="T119" s="6487"/>
      <c r="U119" s="6488"/>
      <c r="V119" s="6489"/>
      <c r="W119" s="1134" t="s">
        <v>679</v>
      </c>
      <c r="X119" s="864"/>
      <c r="Y119" s="865"/>
      <c r="Z119" s="865"/>
      <c r="AA119" s="1040"/>
      <c r="AB119" s="1040"/>
      <c r="AC119" s="1040"/>
      <c r="AD119" s="1040"/>
      <c r="AE119" s="865"/>
      <c r="AF119" s="1040"/>
      <c r="AG119" s="1040"/>
      <c r="AH119" s="866"/>
      <c r="AI119" s="1040"/>
      <c r="AJ119" s="1040"/>
      <c r="AK119" s="1040"/>
      <c r="AL119" s="1040"/>
      <c r="AM119" s="1040"/>
      <c r="AN119" s="867"/>
      <c r="AO119" s="867"/>
      <c r="AP119" s="867"/>
      <c r="AQ119" s="867"/>
      <c r="AR119" s="867"/>
    </row>
    <row customHeight="1" ht="22.5">
      <c r="A120" s="2400" t="s">
        <v>680</v>
      </c>
      <c r="D120" s="1775"/>
      <c r="E120" s="676" t="str">
        <f>FHD_NUM_P_78</f>
        <v>15</v>
      </c>
      <c r="F120" s="201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16" t="s">
        <v>643</v>
      </c>
      <c r="H120" s="707"/>
      <c r="I120" s="707"/>
      <c r="J120" s="6392"/>
      <c r="K120" s="6392"/>
      <c r="L120" s="6392"/>
      <c r="M120" s="6392"/>
      <c r="N120" s="6392"/>
      <c r="O120" s="6392"/>
      <c r="P120" s="6392"/>
      <c r="Q120" s="6392"/>
      <c r="R120" s="6392"/>
      <c r="S120" s="6392"/>
      <c r="T120" s="6392"/>
      <c r="U120" s="6392"/>
      <c r="V120" s="6392"/>
      <c r="W120" s="419" t="str">
        <f>FHD_NOTE_P_78</f>
        <v/>
      </c>
      <c r="X120" s="673"/>
    </row>
    <row s="11773" customFormat="1" customHeight="1" ht="0.75">
      <c r="A121" s="2400"/>
      <c r="D121" s="678"/>
      <c r="E121" s="1144" t="str">
        <f>E120&amp;".0"</f>
        <v>15.0</v>
      </c>
      <c r="F121" s="1128"/>
      <c r="G121" s="1788"/>
      <c r="H121" s="1123"/>
      <c r="I121" s="1123"/>
      <c r="J121" s="6406"/>
      <c r="K121" s="6406"/>
      <c r="L121" s="6406"/>
      <c r="M121" s="6406"/>
      <c r="N121" s="6406"/>
      <c r="O121" s="6406"/>
      <c r="P121" s="6406"/>
      <c r="Q121" s="6406"/>
      <c r="R121" s="6406"/>
      <c r="S121" s="6406"/>
      <c r="T121" s="6406"/>
      <c r="U121" s="6406"/>
      <c r="V121" s="6406"/>
      <c r="W121" s="1127"/>
    </row>
    <row customHeight="1" ht="15">
      <c r="A122" s="2400"/>
      <c r="D122" s="1770"/>
      <c r="E122" s="700"/>
      <c r="F122" s="1300" t="s">
        <v>669</v>
      </c>
      <c r="G122" s="702"/>
      <c r="H122" s="703"/>
      <c r="I122" s="703"/>
      <c r="J122" s="6491"/>
      <c r="K122" s="6492"/>
      <c r="L122" s="6493"/>
      <c r="M122" s="6494"/>
      <c r="N122" s="6495"/>
      <c r="O122" s="6496"/>
      <c r="P122" s="6497"/>
      <c r="Q122" s="6498"/>
      <c r="R122" s="6499"/>
      <c r="S122" s="6500"/>
      <c r="T122" s="6501"/>
      <c r="U122" s="6502"/>
      <c r="V122" s="6503"/>
      <c r="W122" s="1135" t="s">
        <v>681</v>
      </c>
      <c r="X122" s="673"/>
    </row>
    <row customHeight="1" ht="22.5">
      <c r="A123" s="2400"/>
      <c r="D123" s="1775"/>
      <c r="E123" s="676" t="str">
        <f>FHD_NUM_P_79</f>
        <v>16</v>
      </c>
      <c r="F123" s="201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17" t="s">
        <v>645</v>
      </c>
      <c r="H123" s="707"/>
      <c r="I123" s="707"/>
      <c r="J123" s="6392"/>
      <c r="K123" s="6392"/>
      <c r="L123" s="6392"/>
      <c r="M123" s="6392"/>
      <c r="N123" s="6392"/>
      <c r="O123" s="6392"/>
      <c r="P123" s="6392"/>
      <c r="Q123" s="6392"/>
      <c r="R123" s="6392"/>
      <c r="S123" s="6392"/>
      <c r="T123" s="6392"/>
      <c r="U123" s="6392"/>
      <c r="V123" s="6392"/>
      <c r="W123" s="41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X123" s="673"/>
    </row>
    <row s="11773" customFormat="1" customHeight="1" ht="0.75">
      <c r="A124" s="2400"/>
      <c r="D124" s="678"/>
      <c r="E124" s="1144" t="str">
        <f>E123&amp;".0"</f>
        <v>16.0</v>
      </c>
      <c r="F124" s="1129"/>
      <c r="G124" s="1788"/>
      <c r="H124" s="1123"/>
      <c r="I124" s="1123"/>
      <c r="J124" s="6406"/>
      <c r="K124" s="6406"/>
      <c r="L124" s="6406"/>
      <c r="M124" s="6406"/>
      <c r="N124" s="6406"/>
      <c r="O124" s="6406"/>
      <c r="P124" s="6406"/>
      <c r="Q124" s="6406"/>
      <c r="R124" s="6406"/>
      <c r="S124" s="6406"/>
      <c r="T124" s="6406"/>
      <c r="U124" s="6406"/>
      <c r="V124" s="6406"/>
      <c r="W124" s="1127"/>
    </row>
    <row customHeight="1" ht="15">
      <c r="A125" s="2400"/>
      <c r="D125" s="1770"/>
      <c r="E125" s="700"/>
      <c r="F125" s="1300" t="s">
        <v>669</v>
      </c>
      <c r="G125" s="702"/>
      <c r="H125" s="703"/>
      <c r="I125" s="703"/>
      <c r="J125" s="6505"/>
      <c r="K125" s="6506"/>
      <c r="L125" s="6507"/>
      <c r="M125" s="6508"/>
      <c r="N125" s="6509"/>
      <c r="O125" s="6510"/>
      <c r="P125" s="6511"/>
      <c r="Q125" s="6512"/>
      <c r="R125" s="6513"/>
      <c r="S125" s="6514"/>
      <c r="T125" s="6515"/>
      <c r="U125" s="6516"/>
      <c r="V125" s="6517"/>
      <c r="W125" s="1135" t="s">
        <v>682</v>
      </c>
      <c r="X125" s="673"/>
    </row>
    <row customHeight="1" ht="22.5">
      <c r="A126" s="2400"/>
      <c r="D126" s="1775"/>
      <c r="E126" s="676" t="str">
        <f>FHD_NUM_P_80</f>
        <v>17</v>
      </c>
      <c r="F126" s="201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17" t="s">
        <v>683</v>
      </c>
      <c r="H126" s="687"/>
      <c r="I126" s="687"/>
      <c r="J126" s="6352"/>
      <c r="K126" s="6352"/>
      <c r="L126" s="6352"/>
      <c r="M126" s="6352"/>
      <c r="N126" s="6352"/>
      <c r="O126" s="6352"/>
      <c r="P126" s="6352"/>
      <c r="Q126" s="6352"/>
      <c r="R126" s="6352"/>
      <c r="S126" s="6352"/>
      <c r="T126" s="6352"/>
      <c r="U126" s="6352"/>
      <c r="V126" s="6352"/>
      <c r="W126" s="419" t="str">
        <f>FHD_NOTE_P_80</f>
        <v>Регулируемыми организациями указывается информация с по договорам, заключенным в рамках осуществления регулируемой деятельности.</v>
      </c>
      <c r="X126" s="673"/>
    </row>
    <row customHeight="1" ht="18.75">
      <c r="A127" s="2400"/>
      <c r="D127" s="1775"/>
      <c r="E127" s="676" t="str">
        <f>FHD_NUM_P_81</f>
        <v>18</v>
      </c>
      <c r="F127" s="201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17" t="s">
        <v>684</v>
      </c>
      <c r="H127" s="687"/>
      <c r="I127" s="687"/>
      <c r="J127" s="6352"/>
      <c r="K127" s="6352"/>
      <c r="L127" s="6352"/>
      <c r="M127" s="6352"/>
      <c r="N127" s="6352"/>
      <c r="O127" s="6352"/>
      <c r="P127" s="6352"/>
      <c r="Q127" s="6352"/>
      <c r="R127" s="6352"/>
      <c r="S127" s="6352"/>
      <c r="T127" s="6352"/>
      <c r="U127" s="6352"/>
      <c r="V127" s="6352"/>
      <c r="W127" s="419" t="str">
        <f>FHD_NOTE_P_81</f>
        <v>Регулируемыми организациями указывается информация с по договорам, заключенным в рамках осуществления регулируемой деятельности.</v>
      </c>
      <c r="X127" s="673"/>
    </row>
    <row customHeight="1" ht="18.75">
      <c r="A128" s="2400"/>
      <c r="C128" s="1773" t="s">
        <v>671</v>
      </c>
      <c r="D128" s="1775"/>
      <c r="E128" s="676" t="str">
        <f>FHD_NUM_P_82</f>
        <v>19</v>
      </c>
      <c r="F128" s="201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17" t="s">
        <v>384</v>
      </c>
      <c r="H128" s="531"/>
      <c r="I128" s="531"/>
      <c r="J128" s="6519"/>
      <c r="K128" s="6519"/>
      <c r="L128" s="6519"/>
      <c r="M128" s="6519"/>
      <c r="N128" s="6519"/>
      <c r="O128" s="6519"/>
      <c r="P128" s="6519"/>
      <c r="Q128" s="6519"/>
      <c r="R128" s="6519"/>
      <c r="S128" s="6519"/>
      <c r="T128" s="6519"/>
      <c r="U128" s="6519"/>
      <c r="V128" s="6519"/>
      <c r="W128" s="419" t="str">
        <f>FHD_NOTE_P_82</f>
        <v>Указывается ссылка на документ, предварительно загруженный в хранилище файлов ФГИС ЕИАС.</v>
      </c>
      <c r="X128" s="673"/>
    </row>
    <row customHeight="1" ht="18.75">
      <c r="A129" s="2400"/>
      <c r="C129" s="1773" t="s">
        <v>671</v>
      </c>
      <c r="D129" s="1775"/>
      <c r="E129" s="676" t="str">
        <f>FHD_NUM_P_83</f>
        <v>19.1</v>
      </c>
      <c r="F129" s="1661" t="str">
        <f>FHD_P_83</f>
        <v>Информация о показателях физического износа объектов теплоснабжения</v>
      </c>
      <c r="G129" s="2017" t="s">
        <v>384</v>
      </c>
      <c r="H129" s="531"/>
      <c r="I129" s="531"/>
      <c r="J129" s="6519"/>
      <c r="K129" s="6519"/>
      <c r="L129" s="6519"/>
      <c r="M129" s="6519"/>
      <c r="N129" s="6519"/>
      <c r="O129" s="6519"/>
      <c r="P129" s="6519"/>
      <c r="Q129" s="6519"/>
      <c r="R129" s="6519"/>
      <c r="S129" s="6519"/>
      <c r="T129" s="6519"/>
      <c r="U129" s="6519"/>
      <c r="V129" s="6519"/>
      <c r="W129" s="419" t="str">
        <f>FHD_NOTE_P_83</f>
        <v>Указывается ссылка на документ, предварительно загруженный в хранилище файлов ФГИС ЕИАС.</v>
      </c>
      <c r="X129" s="673"/>
    </row>
    <row customHeight="1" ht="18.75">
      <c r="A130" s="2400"/>
      <c r="C130" s="1773" t="s">
        <v>671</v>
      </c>
      <c r="D130" s="1775"/>
      <c r="E130" s="676" t="str">
        <f>FHD_NUM_P_84</f>
        <v>19.2</v>
      </c>
      <c r="F130" s="1661" t="str">
        <f>FHD_P_84</f>
        <v>Информация о показателях энергетической эффективности объектов теплоснабжения</v>
      </c>
      <c r="G130" s="2017" t="s">
        <v>384</v>
      </c>
      <c r="H130" s="531"/>
      <c r="I130" s="531"/>
      <c r="J130" s="6519"/>
      <c r="K130" s="6519"/>
      <c r="L130" s="6519"/>
      <c r="M130" s="6519"/>
      <c r="N130" s="6519"/>
      <c r="O130" s="6519"/>
      <c r="P130" s="6519"/>
      <c r="Q130" s="6519"/>
      <c r="R130" s="6519"/>
      <c r="S130" s="6519"/>
      <c r="T130" s="6519"/>
      <c r="U130" s="6519"/>
      <c r="V130" s="6519"/>
      <c r="W130" s="419" t="str">
        <f>FHD_NOTE_P_84</f>
        <v>Указывается ссылка на документ, предварительно загруженный в хранилище файлов ФГИС ЕИАС.</v>
      </c>
      <c r="X130" s="673"/>
    </row>
    <row customHeight="1" ht="11.25">
      <c r="D131" s="1775"/>
      <c r="J131" s="6300"/>
      <c r="K131" s="6300"/>
      <c r="L131" s="6300"/>
      <c r="M131" s="6300"/>
      <c r="N131" s="6300"/>
      <c r="O131" s="6300"/>
      <c r="P131" s="6300"/>
      <c r="Q131" s="6300"/>
      <c r="R131" s="6300"/>
      <c r="S131" s="6300"/>
      <c r="T131" s="6300"/>
      <c r="U131" s="6300"/>
      <c r="V131" s="6300"/>
    </row>
    <row customHeight="1" ht="12.75">
      <c r="D132" s="1775"/>
      <c r="E132" s="466"/>
      <c r="F132" s="499"/>
      <c r="G132" s="499"/>
      <c r="H132" s="499"/>
      <c r="I132" s="1784"/>
      <c r="J132" s="6522"/>
      <c r="K132" s="6522"/>
      <c r="L132" s="6522"/>
      <c r="M132" s="6522"/>
      <c r="N132" s="6522"/>
      <c r="O132" s="6522"/>
      <c r="P132" s="6522"/>
      <c r="Q132" s="6522"/>
      <c r="R132" s="6522"/>
      <c r="S132" s="6522"/>
      <c r="T132" s="6522"/>
      <c r="U132" s="6522"/>
      <c r="V132" s="6522"/>
      <c r="W132" s="711"/>
    </row>
    <row s="11770" customFormat="1" customHeight="1" ht="11.25">
      <c r="A133" s="1118"/>
      <c r="B133" s="1773"/>
      <c r="C133" s="1773"/>
      <c r="D133" s="481"/>
      <c r="F133" s="1777"/>
      <c r="G133" s="1768"/>
      <c r="H133" s="1768"/>
      <c r="I133" s="1768"/>
      <c r="J133" s="6300"/>
      <c r="K133" s="6300"/>
      <c r="L133" s="6300"/>
      <c r="M133" s="6300"/>
      <c r="N133" s="6300"/>
      <c r="O133" s="6300"/>
      <c r="P133" s="6300"/>
      <c r="Q133" s="6300"/>
      <c r="R133" s="6300"/>
      <c r="S133" s="6300"/>
      <c r="T133" s="6300"/>
      <c r="U133" s="6300"/>
      <c r="V133" s="6300"/>
      <c r="X133" s="1292"/>
      <c r="Y133" s="1773"/>
      <c r="Z133" s="1773"/>
      <c r="AA133" s="1292"/>
      <c r="AB133" s="1292"/>
      <c r="AC133" s="1292"/>
      <c r="AD133" s="1292"/>
      <c r="AE133" s="1773"/>
      <c r="AF133" s="1292"/>
      <c r="AG133" s="1292"/>
      <c r="AH133" s="674"/>
      <c r="AI133" s="1292"/>
      <c r="AJ133" s="1292"/>
      <c r="AK133" s="1292"/>
      <c r="AL133" s="1292"/>
      <c r="AM133" s="1292"/>
      <c r="AN133" s="1769"/>
      <c r="AO133" s="696"/>
      <c r="AP133" s="696"/>
      <c r="AQ133" s="696"/>
      <c r="AR133" s="696"/>
    </row>
    <row s="11770" customFormat="1" customHeight="1" ht="11.25">
      <c r="A134" s="1118"/>
      <c r="B134" s="1773"/>
      <c r="C134" s="1773"/>
      <c r="D134" s="481"/>
      <c r="J134" s="6525"/>
      <c r="K134" s="6525"/>
      <c r="L134" s="6525"/>
      <c r="M134" s="6525"/>
      <c r="N134" s="6525"/>
      <c r="O134" s="6525"/>
      <c r="P134" s="6525"/>
      <c r="Q134" s="6525"/>
      <c r="R134" s="6525"/>
      <c r="S134" s="6525"/>
      <c r="T134" s="6525"/>
      <c r="U134" s="6525"/>
      <c r="V134" s="6525"/>
      <c r="X134" s="1292"/>
      <c r="Y134" s="1773"/>
      <c r="Z134" s="1773"/>
      <c r="AA134" s="1292"/>
      <c r="AB134" s="1292"/>
      <c r="AC134" s="1292"/>
      <c r="AD134" s="1292"/>
      <c r="AE134" s="1773"/>
      <c r="AF134" s="1292"/>
      <c r="AG134" s="1292"/>
      <c r="AH134" s="674"/>
      <c r="AI134" s="1292"/>
      <c r="AJ134" s="1292"/>
      <c r="AK134" s="1292"/>
      <c r="AL134" s="1292"/>
      <c r="AM134" s="1292"/>
      <c r="AN134" s="1769"/>
      <c r="AO134" s="696"/>
      <c r="AP134" s="696"/>
      <c r="AQ134" s="696"/>
      <c r="AR134" s="696"/>
    </row>
    <row s="11770" customFormat="1" customHeight="1" ht="11.25">
      <c r="A135" s="1118"/>
      <c r="B135" s="1773"/>
      <c r="C135" s="1773"/>
      <c r="D135" s="481"/>
      <c r="J135" s="6525"/>
      <c r="K135" s="6525"/>
      <c r="L135" s="6525"/>
      <c r="M135" s="6525"/>
      <c r="N135" s="6525"/>
      <c r="O135" s="6525"/>
      <c r="P135" s="6525"/>
      <c r="Q135" s="6525"/>
      <c r="R135" s="6525"/>
      <c r="S135" s="6525"/>
      <c r="T135" s="6525"/>
      <c r="U135" s="6525"/>
      <c r="V135" s="6525"/>
      <c r="X135" s="1292"/>
      <c r="Y135" s="1773"/>
      <c r="Z135" s="1773"/>
      <c r="AA135" s="1292"/>
      <c r="AB135" s="1292"/>
      <c r="AC135" s="1292"/>
      <c r="AD135" s="1292"/>
      <c r="AE135" s="1773"/>
      <c r="AF135" s="1292"/>
      <c r="AG135" s="1292"/>
      <c r="AH135" s="674"/>
      <c r="AI135" s="1292"/>
      <c r="AJ135" s="1292"/>
      <c r="AK135" s="1292"/>
      <c r="AL135" s="1292"/>
      <c r="AM135" s="1292"/>
      <c r="AN135" s="1769"/>
      <c r="AO135" s="696"/>
      <c r="AP135" s="696"/>
      <c r="AQ135" s="696"/>
      <c r="AR135" s="696"/>
    </row>
    <row s="11770" customFormat="1" customHeight="1" ht="11.25">
      <c r="A136" s="1118"/>
      <c r="B136" s="1773"/>
      <c r="C136" s="1773"/>
      <c r="D136" s="481"/>
      <c r="H136" s="696" t="str">
        <f>IF(H30-H31&lt;&gt;H72,"WARNING","")</f>
        <v/>
      </c>
      <c r="I136" s="696" t="str">
        <f>IF(I30-I31&lt;&gt;I72,"WARNING","")</f>
        <v/>
      </c>
      <c r="J136" s="6526" t="str">
        <f>IF(J30-J31&lt;&gt;J72,"WARNING","")</f>
        <v/>
      </c>
      <c r="K136" s="6526" t="str">
        <f>IF(K30-K31&lt;&gt;K72,"WARNING","")</f>
        <v/>
      </c>
      <c r="L136" s="6526" t="str">
        <f>IF(L30-L31&lt;&gt;L72,"WARNING","")</f>
        <v/>
      </c>
      <c r="M136" s="6526" t="str">
        <f>IF(M30-M31&lt;&gt;M72,"WARNING","")</f>
        <v/>
      </c>
      <c r="N136" s="6526" t="str">
        <f>IF(N30-N31&lt;&gt;N72,"WARNING","")</f>
        <v/>
      </c>
      <c r="O136" s="6526" t="str">
        <f>IF(O30-O31&lt;&gt;O72,"WARNING","")</f>
        <v/>
      </c>
      <c r="P136" s="6526" t="str">
        <f>IF(P30-P31&lt;&gt;P72,"WARNING","")</f>
        <v/>
      </c>
      <c r="Q136" s="6526" t="str">
        <f>IF(Q30-Q31&lt;&gt;Q72,"WARNING","")</f>
        <v/>
      </c>
      <c r="R136" s="6526" t="str">
        <f>IF(R30-R31&lt;&gt;R72,"WARNING","")</f>
        <v/>
      </c>
      <c r="S136" s="6526" t="str">
        <f>IF(S30-S31&lt;&gt;S72,"WARNING","")</f>
        <v/>
      </c>
      <c r="T136" s="6526" t="str">
        <f>IF(T30-T31&lt;&gt;T72,"WARNING","")</f>
        <v/>
      </c>
      <c r="U136" s="6526" t="str">
        <f>IF(U30-U31&lt;&gt;U72,"WARNING","")</f>
        <v/>
      </c>
      <c r="V136" s="6526" t="str">
        <f>IF(V30-V31&lt;&gt;V72,"WARNING","")</f>
        <v/>
      </c>
      <c r="X136" s="1292"/>
      <c r="Y136" s="1773"/>
      <c r="Z136" s="1773"/>
      <c r="AA136" s="1292"/>
      <c r="AB136" s="1292"/>
      <c r="AC136" s="1292"/>
      <c r="AD136" s="1292"/>
      <c r="AE136" s="1773"/>
      <c r="AF136" s="1292"/>
      <c r="AG136" s="1292"/>
      <c r="AH136" s="674"/>
      <c r="AI136" s="1292"/>
      <c r="AJ136" s="1292"/>
      <c r="AK136" s="1292"/>
      <c r="AL136" s="1292"/>
      <c r="AM136" s="1292"/>
      <c r="AN136" s="1769"/>
      <c r="AO136" s="696"/>
      <c r="AP136" s="696"/>
      <c r="AQ136" s="696"/>
      <c r="AR136" s="696"/>
    </row>
    <row s="11770" customFormat="1" customHeight="1" ht="11.25">
      <c r="A137" s="1118"/>
      <c r="B137" s="1773"/>
      <c r="C137" s="1773"/>
      <c r="D137" s="481"/>
      <c r="J137" s="6525"/>
      <c r="K137" s="6525"/>
      <c r="L137" s="6525"/>
      <c r="M137" s="6525"/>
      <c r="N137" s="6525"/>
      <c r="O137" s="6525"/>
      <c r="P137" s="6525"/>
      <c r="Q137" s="6525"/>
      <c r="R137" s="6525"/>
      <c r="S137" s="6525"/>
      <c r="T137" s="6525"/>
      <c r="U137" s="6525"/>
      <c r="V137" s="6525"/>
      <c r="X137" s="1292"/>
      <c r="Y137" s="1773"/>
      <c r="Z137" s="1773"/>
      <c r="AA137" s="1292"/>
      <c r="AB137" s="1292"/>
      <c r="AC137" s="1292"/>
      <c r="AD137" s="1292"/>
      <c r="AE137" s="1773"/>
      <c r="AF137" s="1292"/>
      <c r="AG137" s="1292"/>
      <c r="AH137" s="674"/>
      <c r="AI137" s="1292"/>
      <c r="AJ137" s="1292"/>
      <c r="AK137" s="1292"/>
      <c r="AL137" s="1292"/>
      <c r="AM137" s="1292"/>
      <c r="AN137" s="1769"/>
      <c r="AO137" s="696"/>
      <c r="AP137" s="696"/>
      <c r="AQ137" s="696"/>
      <c r="AR137" s="696"/>
    </row>
    <row s="11770" customFormat="1" customHeight="1" ht="11.25">
      <c r="A138" s="1118"/>
      <c r="B138" s="1773"/>
      <c r="C138" s="1773"/>
      <c r="D138" s="481"/>
      <c r="J138" s="6525"/>
      <c r="K138" s="6525"/>
      <c r="L138" s="6525"/>
      <c r="M138" s="6525"/>
      <c r="N138" s="6525"/>
      <c r="O138" s="6525"/>
      <c r="P138" s="6525"/>
      <c r="Q138" s="6525"/>
      <c r="R138" s="6525"/>
      <c r="S138" s="6525"/>
      <c r="T138" s="6525"/>
      <c r="U138" s="6525"/>
      <c r="V138" s="6525"/>
      <c r="X138" s="1292"/>
      <c r="Y138" s="1773"/>
      <c r="Z138" s="1773"/>
      <c r="AA138" s="1292"/>
      <c r="AB138" s="1292"/>
      <c r="AC138" s="1292"/>
      <c r="AD138" s="1292"/>
      <c r="AE138" s="1773"/>
      <c r="AF138" s="1292"/>
      <c r="AG138" s="1292"/>
      <c r="AH138" s="674"/>
      <c r="AI138" s="1292"/>
      <c r="AJ138" s="1292"/>
      <c r="AK138" s="1292"/>
      <c r="AL138" s="1292"/>
      <c r="AM138" s="1292"/>
      <c r="AN138" s="1769"/>
      <c r="AO138" s="696"/>
      <c r="AP138" s="696"/>
      <c r="AQ138" s="696"/>
      <c r="AR138" s="696"/>
    </row>
    <row s="11770" customFormat="1" customHeight="1" ht="11.25">
      <c r="A139" s="1118"/>
      <c r="B139" s="1773"/>
      <c r="C139" s="1773"/>
      <c r="D139" s="481"/>
      <c r="J139" s="6525"/>
      <c r="K139" s="6525"/>
      <c r="L139" s="6525"/>
      <c r="M139" s="6525"/>
      <c r="N139" s="6525"/>
      <c r="O139" s="6525"/>
      <c r="P139" s="6525"/>
      <c r="Q139" s="6525"/>
      <c r="R139" s="6525"/>
      <c r="S139" s="6525"/>
      <c r="T139" s="6525"/>
      <c r="U139" s="6525"/>
      <c r="V139" s="6525"/>
      <c r="X139" s="1292"/>
      <c r="Y139" s="1773"/>
      <c r="Z139" s="1773"/>
      <c r="AA139" s="1292"/>
      <c r="AB139" s="1292"/>
      <c r="AC139" s="1292"/>
      <c r="AD139" s="1292"/>
      <c r="AE139" s="1773"/>
      <c r="AF139" s="1292"/>
      <c r="AG139" s="1292"/>
      <c r="AH139" s="674"/>
      <c r="AI139" s="1292"/>
      <c r="AJ139" s="1292"/>
      <c r="AK139" s="1292"/>
      <c r="AL139" s="1292"/>
      <c r="AM139" s="1292"/>
      <c r="AN139" s="1769"/>
      <c r="AO139" s="696"/>
      <c r="AP139" s="696"/>
      <c r="AQ139" s="696"/>
      <c r="AR139" s="696"/>
    </row>
    <row s="11770" customFormat="1" customHeight="1" ht="11.25">
      <c r="A140" s="1118"/>
      <c r="B140" s="1773"/>
      <c r="C140" s="1773"/>
      <c r="D140" s="481"/>
      <c r="J140" s="6525"/>
      <c r="K140" s="6525"/>
      <c r="L140" s="6525"/>
      <c r="M140" s="6525"/>
      <c r="N140" s="6525"/>
      <c r="O140" s="6525"/>
      <c r="P140" s="6525"/>
      <c r="Q140" s="6525"/>
      <c r="R140" s="6525"/>
      <c r="S140" s="6525"/>
      <c r="T140" s="6525"/>
      <c r="U140" s="6525"/>
      <c r="V140" s="6525"/>
      <c r="X140" s="1292"/>
      <c r="Y140" s="1773"/>
      <c r="Z140" s="1773"/>
      <c r="AA140" s="1292"/>
      <c r="AB140" s="1292"/>
      <c r="AC140" s="1292"/>
      <c r="AD140" s="1292"/>
      <c r="AE140" s="1773"/>
      <c r="AF140" s="1292"/>
      <c r="AG140" s="1292"/>
      <c r="AH140" s="674"/>
      <c r="AI140" s="1292"/>
      <c r="AJ140" s="1292"/>
      <c r="AK140" s="1292"/>
      <c r="AL140" s="1292"/>
      <c r="AM140" s="1292"/>
      <c r="AN140" s="1769"/>
      <c r="AO140" s="696"/>
      <c r="AP140" s="696"/>
      <c r="AQ140" s="696"/>
      <c r="AR140" s="696"/>
    </row>
    <row s="11770" customFormat="1" customHeight="1" ht="11.25">
      <c r="A141" s="1118"/>
      <c r="B141" s="1773"/>
      <c r="C141" s="1773"/>
      <c r="D141" s="481"/>
      <c r="J141" s="6525"/>
      <c r="K141" s="6525"/>
      <c r="L141" s="6525"/>
      <c r="M141" s="6525"/>
      <c r="N141" s="6525"/>
      <c r="O141" s="6525"/>
      <c r="P141" s="6525"/>
      <c r="Q141" s="6525"/>
      <c r="R141" s="6525"/>
      <c r="S141" s="6525"/>
      <c r="T141" s="6525"/>
      <c r="U141" s="6525"/>
      <c r="V141" s="6525"/>
      <c r="X141" s="1292"/>
      <c r="Y141" s="1773"/>
      <c r="Z141" s="1773"/>
      <c r="AA141" s="1292"/>
      <c r="AB141" s="1292"/>
      <c r="AC141" s="1292"/>
      <c r="AD141" s="1292"/>
      <c r="AE141" s="1773"/>
      <c r="AF141" s="1292"/>
      <c r="AG141" s="1292"/>
      <c r="AH141" s="674"/>
      <c r="AI141" s="1292"/>
      <c r="AJ141" s="1292"/>
      <c r="AK141" s="1292"/>
      <c r="AL141" s="1292"/>
      <c r="AM141" s="1292"/>
      <c r="AN141" s="1769"/>
      <c r="AO141" s="696"/>
      <c r="AP141" s="696"/>
      <c r="AQ141" s="696"/>
      <c r="AR141" s="696"/>
    </row>
    <row s="11770" customFormat="1" customHeight="1" ht="11.25">
      <c r="A142" s="1118"/>
      <c r="B142" s="1773"/>
      <c r="C142" s="1773"/>
      <c r="D142" s="481"/>
      <c r="J142" s="6525"/>
      <c r="K142" s="6525"/>
      <c r="L142" s="6525"/>
      <c r="M142" s="6525"/>
      <c r="N142" s="6525"/>
      <c r="O142" s="6525"/>
      <c r="P142" s="6525"/>
      <c r="Q142" s="6525"/>
      <c r="R142" s="6525"/>
      <c r="S142" s="6525"/>
      <c r="T142" s="6525"/>
      <c r="U142" s="6525"/>
      <c r="V142" s="6525"/>
      <c r="X142" s="1292"/>
      <c r="Y142" s="1773"/>
      <c r="Z142" s="1773"/>
      <c r="AA142" s="1292"/>
      <c r="AB142" s="1292"/>
      <c r="AC142" s="1292"/>
      <c r="AD142" s="1292"/>
      <c r="AE142" s="1773"/>
      <c r="AF142" s="1292"/>
      <c r="AG142" s="1292"/>
      <c r="AH142" s="674"/>
      <c r="AI142" s="1292"/>
      <c r="AJ142" s="1292"/>
      <c r="AK142" s="1292"/>
      <c r="AL142" s="1292"/>
      <c r="AM142" s="1292"/>
      <c r="AN142" s="1769"/>
      <c r="AO142" s="696"/>
      <c r="AP142" s="696"/>
      <c r="AQ142" s="696"/>
      <c r="AR142" s="696"/>
    </row>
    <row s="11770" customFormat="1" customHeight="1" ht="11.25">
      <c r="A143" s="1118"/>
      <c r="B143" s="1773"/>
      <c r="C143" s="1773"/>
      <c r="D143" s="481"/>
      <c r="J143" s="6525"/>
      <c r="K143" s="6525"/>
      <c r="L143" s="6525"/>
      <c r="M143" s="6525"/>
      <c r="N143" s="6525"/>
      <c r="O143" s="6525"/>
      <c r="P143" s="6525"/>
      <c r="Q143" s="6525"/>
      <c r="R143" s="6525"/>
      <c r="S143" s="6525"/>
      <c r="T143" s="6525"/>
      <c r="U143" s="6525"/>
      <c r="V143" s="6525"/>
      <c r="X143" s="1292"/>
      <c r="Y143" s="1773"/>
      <c r="Z143" s="1773"/>
      <c r="AA143" s="1292"/>
      <c r="AB143" s="1292"/>
      <c r="AC143" s="1292"/>
      <c r="AD143" s="1292"/>
      <c r="AE143" s="1773"/>
      <c r="AF143" s="1292"/>
      <c r="AG143" s="1292"/>
      <c r="AH143" s="674"/>
      <c r="AI143" s="1292"/>
      <c r="AJ143" s="1292"/>
      <c r="AK143" s="1292"/>
      <c r="AL143" s="1292"/>
      <c r="AM143" s="1292"/>
      <c r="AN143" s="1769"/>
      <c r="AO143" s="696"/>
      <c r="AP143" s="696"/>
      <c r="AQ143" s="696"/>
      <c r="AR143" s="696"/>
    </row>
    <row s="11770" customFormat="1" customHeight="1" ht="11.25">
      <c r="A144" s="1118"/>
      <c r="B144" s="1773"/>
      <c r="C144" s="1773"/>
      <c r="D144" s="481"/>
      <c r="J144" s="6525"/>
      <c r="K144" s="6525"/>
      <c r="L144" s="6525"/>
      <c r="M144" s="6525"/>
      <c r="N144" s="6525"/>
      <c r="O144" s="6525"/>
      <c r="P144" s="6525"/>
      <c r="Q144" s="6525"/>
      <c r="R144" s="6525"/>
      <c r="S144" s="6525"/>
      <c r="T144" s="6525"/>
      <c r="U144" s="6525"/>
      <c r="V144" s="6525"/>
      <c r="X144" s="1292"/>
      <c r="Y144" s="1773"/>
      <c r="Z144" s="1773"/>
      <c r="AA144" s="1292"/>
      <c r="AB144" s="1292"/>
      <c r="AC144" s="1292"/>
      <c r="AD144" s="1292"/>
      <c r="AE144" s="1773"/>
      <c r="AF144" s="1292"/>
      <c r="AG144" s="1292"/>
      <c r="AH144" s="674"/>
      <c r="AI144" s="1292"/>
      <c r="AJ144" s="1292"/>
      <c r="AK144" s="1292"/>
      <c r="AL144" s="1292"/>
      <c r="AM144" s="1292"/>
      <c r="AN144" s="1769"/>
      <c r="AO144" s="696"/>
      <c r="AP144" s="696"/>
      <c r="AQ144" s="696"/>
      <c r="AR144" s="696"/>
    </row>
    <row s="11770" customFormat="1" customHeight="1" ht="11.25">
      <c r="A145" s="1118"/>
      <c r="B145" s="1773"/>
      <c r="C145" s="1773"/>
      <c r="D145" s="481"/>
      <c r="J145" s="6525"/>
      <c r="K145" s="6525"/>
      <c r="L145" s="6525"/>
      <c r="M145" s="6525"/>
      <c r="N145" s="6525"/>
      <c r="O145" s="6525"/>
      <c r="P145" s="6525"/>
      <c r="Q145" s="6525"/>
      <c r="R145" s="6525"/>
      <c r="S145" s="6525"/>
      <c r="T145" s="6525"/>
      <c r="U145" s="6525"/>
      <c r="V145" s="6525"/>
      <c r="X145" s="1292"/>
      <c r="Y145" s="1773"/>
      <c r="Z145" s="1773"/>
      <c r="AA145" s="1292"/>
      <c r="AB145" s="1292"/>
      <c r="AC145" s="1292"/>
      <c r="AD145" s="1292"/>
      <c r="AE145" s="1773"/>
      <c r="AF145" s="1292"/>
      <c r="AG145" s="1292"/>
      <c r="AH145" s="674"/>
      <c r="AI145" s="1292"/>
      <c r="AJ145" s="1292"/>
      <c r="AK145" s="1292"/>
      <c r="AL145" s="1292"/>
      <c r="AM145" s="1292"/>
      <c r="AN145" s="1769"/>
      <c r="AO145" s="696"/>
      <c r="AP145" s="696"/>
      <c r="AQ145" s="696"/>
      <c r="AR145" s="696"/>
    </row>
    <row s="11770" customFormat="1" customHeight="1" ht="11.25">
      <c r="A146" s="1118"/>
      <c r="B146" s="1773"/>
      <c r="C146" s="1773"/>
      <c r="D146" s="481"/>
      <c r="J146" s="6525"/>
      <c r="K146" s="6525"/>
      <c r="L146" s="6525"/>
      <c r="M146" s="6525"/>
      <c r="N146" s="6525"/>
      <c r="O146" s="6525"/>
      <c r="P146" s="6525"/>
      <c r="Q146" s="6525"/>
      <c r="R146" s="6525"/>
      <c r="S146" s="6525"/>
      <c r="T146" s="6525"/>
      <c r="U146" s="6525"/>
      <c r="V146" s="6525"/>
      <c r="X146" s="1292"/>
      <c r="Y146" s="1773"/>
      <c r="Z146" s="1773"/>
      <c r="AA146" s="1292"/>
      <c r="AB146" s="1292"/>
      <c r="AC146" s="1292"/>
      <c r="AD146" s="1292"/>
      <c r="AE146" s="1773"/>
      <c r="AF146" s="1292"/>
      <c r="AG146" s="1292"/>
      <c r="AH146" s="674"/>
      <c r="AI146" s="1292"/>
      <c r="AJ146" s="1292"/>
      <c r="AK146" s="1292"/>
      <c r="AL146" s="1292"/>
      <c r="AM146" s="1292"/>
      <c r="AN146" s="1769"/>
      <c r="AO146" s="696"/>
      <c r="AP146" s="696"/>
      <c r="AQ146" s="696"/>
      <c r="AR146" s="696"/>
    </row>
    <row s="11770" customFormat="1" customHeight="1" ht="11.25">
      <c r="A147" s="1118"/>
      <c r="B147" s="1773"/>
      <c r="C147" s="1773"/>
      <c r="D147" s="481"/>
      <c r="J147" s="6525"/>
      <c r="K147" s="6525"/>
      <c r="L147" s="6525"/>
      <c r="M147" s="6525"/>
      <c r="N147" s="6525"/>
      <c r="O147" s="6525"/>
      <c r="P147" s="6525"/>
      <c r="Q147" s="6525"/>
      <c r="R147" s="6525"/>
      <c r="S147" s="6525"/>
      <c r="T147" s="6525"/>
      <c r="U147" s="6525"/>
      <c r="V147" s="6525"/>
      <c r="X147" s="1292"/>
      <c r="Y147" s="1773"/>
      <c r="Z147" s="1773"/>
      <c r="AA147" s="1292"/>
      <c r="AB147" s="1292"/>
      <c r="AC147" s="1292"/>
      <c r="AD147" s="1292"/>
      <c r="AE147" s="1773"/>
      <c r="AF147" s="1292"/>
      <c r="AG147" s="1292"/>
      <c r="AH147" s="674"/>
      <c r="AI147" s="1292"/>
      <c r="AJ147" s="1292"/>
      <c r="AK147" s="1292"/>
      <c r="AL147" s="1292"/>
      <c r="AM147" s="1292"/>
      <c r="AN147" s="1769"/>
      <c r="AO147" s="696"/>
      <c r="AP147" s="696"/>
      <c r="AQ147" s="696"/>
      <c r="AR147" s="696"/>
    </row>
    <row s="11770" customFormat="1" customHeight="1" ht="11.25">
      <c r="A148" s="1118"/>
      <c r="B148" s="1773"/>
      <c r="C148" s="1773"/>
      <c r="D148" s="481"/>
      <c r="J148" s="6525"/>
      <c r="K148" s="6525"/>
      <c r="L148" s="6525"/>
      <c r="M148" s="6525"/>
      <c r="N148" s="6525"/>
      <c r="O148" s="6525"/>
      <c r="P148" s="6525"/>
      <c r="Q148" s="6525"/>
      <c r="R148" s="6525"/>
      <c r="S148" s="6525"/>
      <c r="T148" s="6525"/>
      <c r="U148" s="6525"/>
      <c r="V148" s="6525"/>
      <c r="X148" s="1292"/>
      <c r="Y148" s="1773"/>
      <c r="Z148" s="1773"/>
      <c r="AA148" s="1292"/>
      <c r="AB148" s="1292"/>
      <c r="AC148" s="1292"/>
      <c r="AD148" s="1292"/>
      <c r="AE148" s="1773"/>
      <c r="AF148" s="1292"/>
      <c r="AG148" s="1292"/>
      <c r="AH148" s="674"/>
      <c r="AI148" s="1292"/>
      <c r="AJ148" s="1292"/>
      <c r="AK148" s="1292"/>
      <c r="AL148" s="1292"/>
      <c r="AM148" s="1292"/>
      <c r="AN148" s="1769"/>
      <c r="AO148" s="696"/>
      <c r="AP148" s="696"/>
      <c r="AQ148" s="696"/>
      <c r="AR148" s="696"/>
    </row>
    <row s="11770" customFormat="1" customHeight="1" ht="11.25">
      <c r="A149" s="1118"/>
      <c r="B149" s="1773"/>
      <c r="C149" s="1773"/>
      <c r="D149" s="481"/>
      <c r="J149" s="6525"/>
      <c r="K149" s="6525"/>
      <c r="L149" s="6525"/>
      <c r="M149" s="6525"/>
      <c r="N149" s="6525"/>
      <c r="O149" s="6525"/>
      <c r="P149" s="6525"/>
      <c r="Q149" s="6525"/>
      <c r="R149" s="6525"/>
      <c r="S149" s="6525"/>
      <c r="T149" s="6525"/>
      <c r="U149" s="6525"/>
      <c r="V149" s="6525"/>
      <c r="X149" s="1292"/>
      <c r="Y149" s="1773"/>
      <c r="Z149" s="1773"/>
      <c r="AA149" s="1292"/>
      <c r="AB149" s="1292"/>
      <c r="AC149" s="1292"/>
      <c r="AD149" s="1292"/>
      <c r="AE149" s="1773"/>
      <c r="AF149" s="1292"/>
      <c r="AG149" s="1292"/>
      <c r="AH149" s="674"/>
      <c r="AI149" s="1292"/>
      <c r="AJ149" s="1292"/>
      <c r="AK149" s="1292"/>
      <c r="AL149" s="1292"/>
      <c r="AM149" s="1292"/>
      <c r="AN149" s="1769"/>
      <c r="AO149" s="696"/>
      <c r="AP149" s="696"/>
      <c r="AQ149" s="696"/>
      <c r="AR149" s="696"/>
    </row>
    <row s="11770" customFormat="1" customHeight="1" ht="11.25">
      <c r="A150" s="1118"/>
      <c r="B150" s="1773"/>
      <c r="C150" s="1773"/>
      <c r="D150" s="481"/>
      <c r="J150" s="6525"/>
      <c r="K150" s="6525"/>
      <c r="L150" s="6525"/>
      <c r="M150" s="6525"/>
      <c r="N150" s="6525"/>
      <c r="O150" s="6525"/>
      <c r="P150" s="6525"/>
      <c r="Q150" s="6525"/>
      <c r="R150" s="6525"/>
      <c r="S150" s="6525"/>
      <c r="T150" s="6525"/>
      <c r="U150" s="6525"/>
      <c r="V150" s="6525"/>
      <c r="X150" s="1292"/>
      <c r="Y150" s="1773"/>
      <c r="Z150" s="1773"/>
      <c r="AA150" s="1292"/>
      <c r="AB150" s="1292"/>
      <c r="AC150" s="1292"/>
      <c r="AD150" s="1292"/>
      <c r="AE150" s="1773"/>
      <c r="AF150" s="1292"/>
      <c r="AG150" s="1292"/>
      <c r="AH150" s="674"/>
      <c r="AI150" s="1292"/>
      <c r="AJ150" s="1292"/>
      <c r="AK150" s="1292"/>
      <c r="AL150" s="1292"/>
      <c r="AM150" s="1292"/>
      <c r="AN150" s="1769"/>
      <c r="AO150" s="696"/>
      <c r="AP150" s="696"/>
      <c r="AQ150" s="696"/>
      <c r="AR150" s="696"/>
    </row>
    <row s="11770" customFormat="1" customHeight="1" ht="11.25">
      <c r="A151" s="1118"/>
      <c r="B151" s="1773"/>
      <c r="C151" s="1773"/>
      <c r="D151" s="481"/>
      <c r="J151" s="6525"/>
      <c r="K151" s="6525"/>
      <c r="L151" s="6525"/>
      <c r="M151" s="6525"/>
      <c r="N151" s="6525"/>
      <c r="O151" s="6525"/>
      <c r="P151" s="6525"/>
      <c r="Q151" s="6525"/>
      <c r="R151" s="6525"/>
      <c r="S151" s="6525"/>
      <c r="T151" s="6525"/>
      <c r="U151" s="6525"/>
      <c r="V151" s="6525"/>
      <c r="X151" s="1292"/>
      <c r="Y151" s="1773"/>
      <c r="Z151" s="1773"/>
      <c r="AA151" s="1292"/>
      <c r="AB151" s="1292"/>
      <c r="AC151" s="1292"/>
      <c r="AD151" s="1292"/>
      <c r="AE151" s="1773"/>
      <c r="AF151" s="1292"/>
      <c r="AG151" s="1292"/>
      <c r="AH151" s="674"/>
      <c r="AI151" s="1292"/>
      <c r="AJ151" s="1292"/>
      <c r="AK151" s="1292"/>
      <c r="AL151" s="1292"/>
      <c r="AM151" s="1292"/>
      <c r="AN151" s="1769"/>
      <c r="AO151" s="696"/>
      <c r="AP151" s="696"/>
      <c r="AQ151" s="696"/>
      <c r="AR151" s="696"/>
    </row>
    <row s="11770" customFormat="1" customHeight="1" ht="11.25">
      <c r="A152" s="1118"/>
      <c r="B152" s="1773"/>
      <c r="C152" s="1773"/>
      <c r="D152" s="481"/>
      <c r="J152" s="6525"/>
      <c r="K152" s="6525"/>
      <c r="L152" s="6525"/>
      <c r="M152" s="6525"/>
      <c r="N152" s="6525"/>
      <c r="O152" s="6525"/>
      <c r="P152" s="6525"/>
      <c r="Q152" s="6525"/>
      <c r="R152" s="6525"/>
      <c r="S152" s="6525"/>
      <c r="T152" s="6525"/>
      <c r="U152" s="6525"/>
      <c r="V152" s="6525"/>
      <c r="X152" s="1292"/>
      <c r="Y152" s="1773"/>
      <c r="Z152" s="1773"/>
      <c r="AA152" s="1292"/>
      <c r="AB152" s="1292"/>
      <c r="AC152" s="1292"/>
      <c r="AD152" s="1292"/>
      <c r="AE152" s="1773"/>
      <c r="AF152" s="1292"/>
      <c r="AG152" s="1292"/>
      <c r="AH152" s="674"/>
      <c r="AI152" s="1292"/>
      <c r="AJ152" s="1292"/>
      <c r="AK152" s="1292"/>
      <c r="AL152" s="1292"/>
      <c r="AM152" s="1292"/>
      <c r="AN152" s="1769"/>
      <c r="AO152" s="696"/>
      <c r="AP152" s="696"/>
      <c r="AQ152" s="696"/>
      <c r="AR152" s="696"/>
    </row>
    <row s="11770" customFormat="1" customHeight="1" ht="11.25">
      <c r="A153" s="1118"/>
      <c r="B153" s="1773"/>
      <c r="C153" s="1773"/>
      <c r="D153" s="481"/>
      <c r="J153" s="6525"/>
      <c r="K153" s="6525"/>
      <c r="L153" s="6525"/>
      <c r="M153" s="6525"/>
      <c r="N153" s="6525"/>
      <c r="O153" s="6525"/>
      <c r="P153" s="6525"/>
      <c r="Q153" s="6525"/>
      <c r="R153" s="6525"/>
      <c r="S153" s="6525"/>
      <c r="T153" s="6525"/>
      <c r="U153" s="6525"/>
      <c r="V153" s="6525"/>
      <c r="X153" s="1292"/>
      <c r="Y153" s="1773"/>
      <c r="Z153" s="1773"/>
      <c r="AA153" s="1292"/>
      <c r="AB153" s="1292"/>
      <c r="AC153" s="1292"/>
      <c r="AD153" s="1292"/>
      <c r="AE153" s="1773"/>
      <c r="AF153" s="1292"/>
      <c r="AG153" s="1292"/>
      <c r="AH153" s="674"/>
      <c r="AI153" s="1292"/>
      <c r="AJ153" s="1292"/>
      <c r="AK153" s="1292"/>
      <c r="AL153" s="1292"/>
      <c r="AM153" s="1292"/>
      <c r="AN153" s="1769"/>
      <c r="AO153" s="696"/>
      <c r="AP153" s="696"/>
      <c r="AQ153" s="696"/>
      <c r="AR153" s="696"/>
    </row>
    <row s="11770" customFormat="1" customHeight="1" ht="11.25">
      <c r="A154" s="1118"/>
      <c r="B154" s="1773"/>
      <c r="C154" s="1773"/>
      <c r="D154" s="481"/>
      <c r="J154" s="6525"/>
      <c r="K154" s="6525"/>
      <c r="L154" s="6525"/>
      <c r="M154" s="6525"/>
      <c r="N154" s="6525"/>
      <c r="O154" s="6525"/>
      <c r="P154" s="6525"/>
      <c r="Q154" s="6525"/>
      <c r="R154" s="6525"/>
      <c r="S154" s="6525"/>
      <c r="T154" s="6525"/>
      <c r="U154" s="6525"/>
      <c r="V154" s="6525"/>
      <c r="X154" s="1292"/>
      <c r="Y154" s="1773"/>
      <c r="Z154" s="1773"/>
      <c r="AA154" s="1292"/>
      <c r="AB154" s="1292"/>
      <c r="AC154" s="1292"/>
      <c r="AD154" s="1292"/>
      <c r="AE154" s="1773"/>
      <c r="AF154" s="1292"/>
      <c r="AG154" s="1292"/>
      <c r="AH154" s="674"/>
      <c r="AI154" s="1292"/>
      <c r="AJ154" s="1292"/>
      <c r="AK154" s="1292"/>
      <c r="AL154" s="1292"/>
      <c r="AM154" s="1292"/>
      <c r="AN154" s="1769"/>
      <c r="AO154" s="696"/>
      <c r="AP154" s="696"/>
      <c r="AQ154" s="696"/>
      <c r="AR154" s="696"/>
    </row>
    <row s="11770" customFormat="1" customHeight="1" ht="11.25">
      <c r="A155" s="1118"/>
      <c r="B155" s="1773"/>
      <c r="C155" s="1773"/>
      <c r="D155" s="481"/>
      <c r="J155" s="6525"/>
      <c r="K155" s="6525"/>
      <c r="L155" s="6525"/>
      <c r="M155" s="6525"/>
      <c r="N155" s="6525"/>
      <c r="O155" s="6525"/>
      <c r="P155" s="6525"/>
      <c r="Q155" s="6525"/>
      <c r="R155" s="6525"/>
      <c r="S155" s="6525"/>
      <c r="T155" s="6525"/>
      <c r="U155" s="6525"/>
      <c r="V155" s="6525"/>
      <c r="X155" s="1292"/>
      <c r="Y155" s="1773"/>
      <c r="Z155" s="1773"/>
      <c r="AA155" s="1292"/>
      <c r="AB155" s="1292"/>
      <c r="AC155" s="1292"/>
      <c r="AD155" s="1292"/>
      <c r="AE155" s="1773"/>
      <c r="AF155" s="1292"/>
      <c r="AG155" s="1292"/>
      <c r="AH155" s="674"/>
      <c r="AI155" s="1292"/>
      <c r="AJ155" s="1292"/>
      <c r="AK155" s="1292"/>
      <c r="AL155" s="1292"/>
      <c r="AM155" s="1292"/>
      <c r="AN155" s="1769"/>
      <c r="AO155" s="696"/>
      <c r="AP155" s="696"/>
      <c r="AQ155" s="696"/>
      <c r="AR155" s="696"/>
    </row>
    <row s="11770" customFormat="1" customHeight="1" ht="11.25">
      <c r="A156" s="1118"/>
      <c r="B156" s="1773"/>
      <c r="C156" s="1773"/>
      <c r="D156" s="481"/>
      <c r="J156" s="6525"/>
      <c r="K156" s="6525"/>
      <c r="L156" s="6525"/>
      <c r="M156" s="6525"/>
      <c r="N156" s="6525"/>
      <c r="O156" s="6525"/>
      <c r="P156" s="6525"/>
      <c r="Q156" s="6525"/>
      <c r="R156" s="6525"/>
      <c r="S156" s="6525"/>
      <c r="T156" s="6525"/>
      <c r="U156" s="6525"/>
      <c r="V156" s="6525"/>
      <c r="X156" s="1292"/>
      <c r="Y156" s="1773"/>
      <c r="Z156" s="1773"/>
      <c r="AA156" s="1292"/>
      <c r="AB156" s="1292"/>
      <c r="AC156" s="1292"/>
      <c r="AD156" s="1292"/>
      <c r="AE156" s="1773"/>
      <c r="AF156" s="1292"/>
      <c r="AG156" s="1292"/>
      <c r="AH156" s="674"/>
      <c r="AI156" s="1292"/>
      <c r="AJ156" s="1292"/>
      <c r="AK156" s="1292"/>
      <c r="AL156" s="1292"/>
      <c r="AM156" s="1292"/>
      <c r="AN156" s="1769"/>
      <c r="AO156" s="696"/>
      <c r="AP156" s="696"/>
      <c r="AQ156" s="696"/>
      <c r="AR156" s="696"/>
    </row>
    <row s="11770" customFormat="1" customHeight="1" ht="11.25">
      <c r="A157" s="1118"/>
      <c r="B157" s="1773"/>
      <c r="C157" s="1773"/>
      <c r="D157" s="481"/>
      <c r="J157" s="6525"/>
      <c r="K157" s="6525"/>
      <c r="L157" s="6525"/>
      <c r="M157" s="6525"/>
      <c r="N157" s="6525"/>
      <c r="O157" s="6525"/>
      <c r="P157" s="6525"/>
      <c r="Q157" s="6525"/>
      <c r="R157" s="6525"/>
      <c r="S157" s="6525"/>
      <c r="T157" s="6525"/>
      <c r="U157" s="6525"/>
      <c r="V157" s="6525"/>
      <c r="X157" s="1292"/>
      <c r="Y157" s="1773"/>
      <c r="Z157" s="1773"/>
      <c r="AA157" s="1292"/>
      <c r="AB157" s="1292"/>
      <c r="AC157" s="1292"/>
      <c r="AD157" s="1292"/>
      <c r="AE157" s="1773"/>
      <c r="AF157" s="1292"/>
      <c r="AG157" s="1292"/>
      <c r="AH157" s="674"/>
      <c r="AI157" s="1292"/>
      <c r="AJ157" s="1292"/>
      <c r="AK157" s="1292"/>
      <c r="AL157" s="1292"/>
      <c r="AM157" s="1292"/>
      <c r="AN157" s="1769"/>
      <c r="AO157" s="696"/>
      <c r="AP157" s="696"/>
      <c r="AQ157" s="696"/>
      <c r="AR157" s="696"/>
    </row>
    <row s="11770" customFormat="1" customHeight="1" ht="11.25">
      <c r="A158" s="1118"/>
      <c r="B158" s="1773"/>
      <c r="C158" s="1773"/>
      <c r="D158" s="481"/>
      <c r="J158" s="6525"/>
      <c r="K158" s="6525"/>
      <c r="L158" s="6525"/>
      <c r="M158" s="6525"/>
      <c r="N158" s="6525"/>
      <c r="O158" s="6525"/>
      <c r="P158" s="6525"/>
      <c r="Q158" s="6525"/>
      <c r="R158" s="6525"/>
      <c r="S158" s="6525"/>
      <c r="T158" s="6525"/>
      <c r="U158" s="6525"/>
      <c r="V158" s="6525"/>
      <c r="X158" s="1292"/>
      <c r="Y158" s="1773"/>
      <c r="Z158" s="1773"/>
      <c r="AA158" s="1292"/>
      <c r="AB158" s="1292"/>
      <c r="AC158" s="1292"/>
      <c r="AD158" s="1292"/>
      <c r="AE158" s="1773"/>
      <c r="AF158" s="1292"/>
      <c r="AG158" s="1292"/>
      <c r="AH158" s="674"/>
      <c r="AI158" s="1292"/>
      <c r="AJ158" s="1292"/>
      <c r="AK158" s="1292"/>
      <c r="AL158" s="1292"/>
      <c r="AM158" s="1292"/>
      <c r="AN158" s="1769"/>
      <c r="AO158" s="696"/>
      <c r="AP158" s="696"/>
      <c r="AQ158" s="696"/>
      <c r="AR158" s="696"/>
    </row>
    <row s="11770" customFormat="1" customHeight="1" ht="11.25">
      <c r="A159" s="1118"/>
      <c r="B159" s="1773"/>
      <c r="C159" s="1773"/>
      <c r="D159" s="481"/>
      <c r="J159" s="6525"/>
      <c r="K159" s="6525"/>
      <c r="L159" s="6525"/>
      <c r="M159" s="6525"/>
      <c r="N159" s="6525"/>
      <c r="O159" s="6525"/>
      <c r="P159" s="6525"/>
      <c r="Q159" s="6525"/>
      <c r="R159" s="6525"/>
      <c r="S159" s="6525"/>
      <c r="T159" s="6525"/>
      <c r="U159" s="6525"/>
      <c r="V159" s="6525"/>
      <c r="X159" s="1292"/>
      <c r="Y159" s="1773"/>
      <c r="Z159" s="1773"/>
      <c r="AA159" s="1292"/>
      <c r="AB159" s="1292"/>
      <c r="AC159" s="1292"/>
      <c r="AD159" s="1292"/>
      <c r="AE159" s="1773"/>
      <c r="AF159" s="1292"/>
      <c r="AG159" s="1292"/>
      <c r="AH159" s="674"/>
      <c r="AI159" s="1292"/>
      <c r="AJ159" s="1292"/>
      <c r="AK159" s="1292"/>
      <c r="AL159" s="1292"/>
      <c r="AM159" s="1292"/>
      <c r="AN159" s="1769"/>
      <c r="AO159" s="696"/>
      <c r="AP159" s="696"/>
      <c r="AQ159" s="696"/>
      <c r="AR159" s="696"/>
    </row>
    <row s="11770" customFormat="1" customHeight="1" ht="11.25">
      <c r="A160" s="1118"/>
      <c r="B160" s="1773"/>
      <c r="C160" s="1773"/>
      <c r="D160" s="481"/>
      <c r="J160" s="6525"/>
      <c r="K160" s="6525"/>
      <c r="L160" s="6525"/>
      <c r="M160" s="6525"/>
      <c r="N160" s="6525"/>
      <c r="O160" s="6525"/>
      <c r="P160" s="6525"/>
      <c r="Q160" s="6525"/>
      <c r="R160" s="6525"/>
      <c r="S160" s="6525"/>
      <c r="T160" s="6525"/>
      <c r="U160" s="6525"/>
      <c r="V160" s="6525"/>
      <c r="X160" s="1292"/>
      <c r="Y160" s="1773"/>
      <c r="Z160" s="1773"/>
      <c r="AA160" s="1292"/>
      <c r="AB160" s="1292"/>
      <c r="AC160" s="1292"/>
      <c r="AD160" s="1292"/>
      <c r="AE160" s="1773"/>
      <c r="AF160" s="1292"/>
      <c r="AG160" s="1292"/>
      <c r="AH160" s="674"/>
      <c r="AI160" s="1292"/>
      <c r="AJ160" s="1292"/>
      <c r="AK160" s="1292"/>
      <c r="AL160" s="1292"/>
      <c r="AM160" s="1292"/>
      <c r="AN160" s="1769"/>
      <c r="AO160" s="696"/>
      <c r="AP160" s="696"/>
      <c r="AQ160" s="696"/>
      <c r="AR160" s="696"/>
    </row>
    <row s="11770" customFormat="1" customHeight="1" ht="11.25">
      <c r="A161" s="1118"/>
      <c r="B161" s="1773"/>
      <c r="C161" s="1773"/>
      <c r="D161" s="481"/>
      <c r="J161" s="6525"/>
      <c r="K161" s="6525"/>
      <c r="L161" s="6525"/>
      <c r="M161" s="6525"/>
      <c r="N161" s="6525"/>
      <c r="O161" s="6525"/>
      <c r="P161" s="6525"/>
      <c r="Q161" s="6525"/>
      <c r="R161" s="6525"/>
      <c r="S161" s="6525"/>
      <c r="T161" s="6525"/>
      <c r="U161" s="6525"/>
      <c r="V161" s="6525"/>
      <c r="X161" s="1292"/>
      <c r="Y161" s="1773"/>
      <c r="Z161" s="1773"/>
      <c r="AA161" s="1292"/>
      <c r="AB161" s="1292"/>
      <c r="AC161" s="1292"/>
      <c r="AD161" s="1292"/>
      <c r="AE161" s="1773"/>
      <c r="AF161" s="1292"/>
      <c r="AG161" s="1292"/>
      <c r="AH161" s="674"/>
      <c r="AI161" s="1292"/>
      <c r="AJ161" s="1292"/>
      <c r="AK161" s="1292"/>
      <c r="AL161" s="1292"/>
      <c r="AM161" s="1292"/>
      <c r="AN161" s="1769"/>
      <c r="AO161" s="696"/>
      <c r="AP161" s="696"/>
      <c r="AQ161" s="696"/>
      <c r="AR161" s="696"/>
    </row>
    <row s="11770" customFormat="1" customHeight="1" ht="11.25">
      <c r="A162" s="1118"/>
      <c r="B162" s="1773"/>
      <c r="C162" s="1773"/>
      <c r="D162" s="481"/>
      <c r="J162" s="6525"/>
      <c r="K162" s="6525"/>
      <c r="L162" s="6525"/>
      <c r="M162" s="6525"/>
      <c r="N162" s="6525"/>
      <c r="O162" s="6525"/>
      <c r="P162" s="6525"/>
      <c r="Q162" s="6525"/>
      <c r="R162" s="6525"/>
      <c r="S162" s="6525"/>
      <c r="T162" s="6525"/>
      <c r="U162" s="6525"/>
      <c r="V162" s="6525"/>
      <c r="X162" s="1292"/>
      <c r="Y162" s="1773"/>
      <c r="Z162" s="1773"/>
      <c r="AA162" s="1292"/>
      <c r="AB162" s="1292"/>
      <c r="AC162" s="1292"/>
      <c r="AD162" s="1292"/>
      <c r="AE162" s="1773"/>
      <c r="AF162" s="1292"/>
      <c r="AG162" s="1292"/>
      <c r="AH162" s="674"/>
      <c r="AI162" s="1292"/>
      <c r="AJ162" s="1292"/>
      <c r="AK162" s="1292"/>
      <c r="AL162" s="1292"/>
      <c r="AM162" s="1292"/>
      <c r="AN162" s="1769"/>
      <c r="AO162" s="696"/>
      <c r="AP162" s="696"/>
      <c r="AQ162" s="696"/>
      <c r="AR162" s="696"/>
    </row>
    <row s="11770" customFormat="1" customHeight="1" ht="11.25">
      <c r="A163" s="1118"/>
      <c r="B163" s="1773"/>
      <c r="C163" s="1773"/>
      <c r="D163" s="481"/>
      <c r="J163" s="6525"/>
      <c r="K163" s="6525"/>
      <c r="L163" s="6525"/>
      <c r="M163" s="6525"/>
      <c r="N163" s="6525"/>
      <c r="O163" s="6525"/>
      <c r="P163" s="6525"/>
      <c r="Q163" s="6525"/>
      <c r="R163" s="6525"/>
      <c r="S163" s="6525"/>
      <c r="T163" s="6525"/>
      <c r="U163" s="6525"/>
      <c r="V163" s="6525"/>
      <c r="X163" s="1292"/>
      <c r="Y163" s="1773"/>
      <c r="Z163" s="1773"/>
      <c r="AA163" s="1292"/>
      <c r="AB163" s="1292"/>
      <c r="AC163" s="1292"/>
      <c r="AD163" s="1292"/>
      <c r="AE163" s="1773"/>
      <c r="AF163" s="1292"/>
      <c r="AG163" s="1292"/>
      <c r="AH163" s="674"/>
      <c r="AI163" s="1292"/>
      <c r="AJ163" s="1292"/>
      <c r="AK163" s="1292"/>
      <c r="AL163" s="1292"/>
      <c r="AM163" s="1292"/>
      <c r="AN163" s="1769"/>
      <c r="AO163" s="696"/>
      <c r="AP163" s="696"/>
      <c r="AQ163" s="696"/>
      <c r="AR163" s="696"/>
    </row>
    <row s="11770" customFormat="1" customHeight="1" ht="11.25">
      <c r="A164" s="1118"/>
      <c r="B164" s="1773"/>
      <c r="C164" s="1773"/>
      <c r="D164" s="481"/>
      <c r="J164" s="6525"/>
      <c r="K164" s="6525"/>
      <c r="L164" s="6525"/>
      <c r="M164" s="6525"/>
      <c r="N164" s="6525"/>
      <c r="O164" s="6525"/>
      <c r="P164" s="6525"/>
      <c r="Q164" s="6525"/>
      <c r="R164" s="6525"/>
      <c r="S164" s="6525"/>
      <c r="T164" s="6525"/>
      <c r="U164" s="6525"/>
      <c r="V164" s="6525"/>
      <c r="X164" s="1292"/>
      <c r="Y164" s="1773"/>
      <c r="Z164" s="1773"/>
      <c r="AA164" s="1292"/>
      <c r="AB164" s="1292"/>
      <c r="AC164" s="1292"/>
      <c r="AD164" s="1292"/>
      <c r="AE164" s="1773"/>
      <c r="AF164" s="1292"/>
      <c r="AG164" s="1292"/>
      <c r="AH164" s="674"/>
      <c r="AI164" s="1292"/>
      <c r="AJ164" s="1292"/>
      <c r="AK164" s="1292"/>
      <c r="AL164" s="1292"/>
      <c r="AM164" s="1292"/>
      <c r="AN164" s="1769"/>
      <c r="AO164" s="696"/>
      <c r="AP164" s="696"/>
      <c r="AQ164" s="696"/>
      <c r="AR164" s="696"/>
    </row>
    <row s="11770" customFormat="1" customHeight="1" ht="11.25">
      <c r="A165" s="1118"/>
      <c r="B165" s="1773"/>
      <c r="C165" s="1773"/>
      <c r="D165" s="481"/>
      <c r="J165" s="6525"/>
      <c r="K165" s="6525"/>
      <c r="L165" s="6525"/>
      <c r="M165" s="6525"/>
      <c r="N165" s="6525"/>
      <c r="O165" s="6525"/>
      <c r="P165" s="6525"/>
      <c r="Q165" s="6525"/>
      <c r="R165" s="6525"/>
      <c r="S165" s="6525"/>
      <c r="T165" s="6525"/>
      <c r="U165" s="6525"/>
      <c r="V165" s="6525"/>
      <c r="X165" s="1292"/>
      <c r="Y165" s="1773"/>
      <c r="Z165" s="1773"/>
      <c r="AA165" s="1292"/>
      <c r="AB165" s="1292"/>
      <c r="AC165" s="1292"/>
      <c r="AD165" s="1292"/>
      <c r="AE165" s="1773"/>
      <c r="AF165" s="1292"/>
      <c r="AG165" s="1292"/>
      <c r="AH165" s="674"/>
      <c r="AI165" s="1292"/>
      <c r="AJ165" s="1292"/>
      <c r="AK165" s="1292"/>
      <c r="AL165" s="1292"/>
      <c r="AM165" s="1292"/>
      <c r="AN165" s="1769"/>
      <c r="AO165" s="696"/>
      <c r="AP165" s="696"/>
      <c r="AQ165" s="696"/>
      <c r="AR165" s="696"/>
    </row>
    <row s="11770" customFormat="1" customHeight="1" ht="11.25">
      <c r="A166" s="1118"/>
      <c r="B166" s="1773"/>
      <c r="C166" s="1773"/>
      <c r="D166" s="481"/>
      <c r="J166" s="6525"/>
      <c r="K166" s="6525"/>
      <c r="L166" s="6525"/>
      <c r="M166" s="6525"/>
      <c r="N166" s="6525"/>
      <c r="O166" s="6525"/>
      <c r="P166" s="6525"/>
      <c r="Q166" s="6525"/>
      <c r="R166" s="6525"/>
      <c r="S166" s="6525"/>
      <c r="T166" s="6525"/>
      <c r="U166" s="6525"/>
      <c r="V166" s="6525"/>
      <c r="X166" s="1292"/>
      <c r="Y166" s="1773"/>
      <c r="Z166" s="1773"/>
      <c r="AA166" s="1292"/>
      <c r="AB166" s="1292"/>
      <c r="AC166" s="1292"/>
      <c r="AD166" s="1292"/>
      <c r="AE166" s="1773"/>
      <c r="AF166" s="1292"/>
      <c r="AG166" s="1292"/>
      <c r="AH166" s="674"/>
      <c r="AI166" s="1292"/>
      <c r="AJ166" s="1292"/>
      <c r="AK166" s="1292"/>
      <c r="AL166" s="1292"/>
      <c r="AM166" s="1292"/>
      <c r="AN166" s="1769"/>
      <c r="AO166" s="696"/>
      <c r="AP166" s="696"/>
      <c r="AQ166" s="696"/>
      <c r="AR166" s="696"/>
    </row>
    <row s="11770" customFormat="1" customHeight="1" ht="11.25">
      <c r="A167" s="1118"/>
      <c r="B167" s="1773"/>
      <c r="C167" s="1773"/>
      <c r="D167" s="481"/>
      <c r="J167" s="6525"/>
      <c r="K167" s="6525"/>
      <c r="L167" s="6525"/>
      <c r="M167" s="6525"/>
      <c r="N167" s="6525"/>
      <c r="O167" s="6525"/>
      <c r="P167" s="6525"/>
      <c r="Q167" s="6525"/>
      <c r="R167" s="6525"/>
      <c r="S167" s="6525"/>
      <c r="T167" s="6525"/>
      <c r="U167" s="6525"/>
      <c r="V167" s="6525"/>
      <c r="X167" s="1292"/>
      <c r="Y167" s="1773"/>
      <c r="Z167" s="1773"/>
      <c r="AA167" s="1292"/>
      <c r="AB167" s="1292"/>
      <c r="AC167" s="1292"/>
      <c r="AD167" s="1292"/>
      <c r="AE167" s="1773"/>
      <c r="AF167" s="1292"/>
      <c r="AG167" s="1292"/>
      <c r="AH167" s="674"/>
      <c r="AI167" s="1292"/>
      <c r="AJ167" s="1292"/>
      <c r="AK167" s="1292"/>
      <c r="AL167" s="1292"/>
      <c r="AM167" s="1292"/>
      <c r="AN167" s="1769"/>
      <c r="AO167" s="696"/>
      <c r="AP167" s="696"/>
      <c r="AQ167" s="696"/>
      <c r="AR167" s="696"/>
    </row>
    <row s="11770" customFormat="1" customHeight="1" ht="11.25">
      <c r="A168" s="1118"/>
      <c r="B168" s="1773"/>
      <c r="C168" s="1773"/>
      <c r="D168" s="481"/>
      <c r="J168" s="6525"/>
      <c r="K168" s="6525"/>
      <c r="L168" s="6525"/>
      <c r="M168" s="6525"/>
      <c r="N168" s="6525"/>
      <c r="O168" s="6525"/>
      <c r="P168" s="6525"/>
      <c r="Q168" s="6525"/>
      <c r="R168" s="6525"/>
      <c r="S168" s="6525"/>
      <c r="T168" s="6525"/>
      <c r="U168" s="6525"/>
      <c r="V168" s="6525"/>
      <c r="X168" s="1292"/>
      <c r="Y168" s="1773"/>
      <c r="Z168" s="1773"/>
      <c r="AA168" s="1292"/>
      <c r="AB168" s="1292"/>
      <c r="AC168" s="1292"/>
      <c r="AD168" s="1292"/>
      <c r="AE168" s="1773"/>
      <c r="AF168" s="1292"/>
      <c r="AG168" s="1292"/>
      <c r="AH168" s="674"/>
      <c r="AI168" s="1292"/>
      <c r="AJ168" s="1292"/>
      <c r="AK168" s="1292"/>
      <c r="AL168" s="1292"/>
      <c r="AM168" s="1292"/>
      <c r="AN168" s="1769"/>
      <c r="AO168" s="696"/>
      <c r="AP168" s="696"/>
      <c r="AQ168" s="696"/>
      <c r="AR168" s="696"/>
    </row>
    <row s="11770" customFormat="1" customHeight="1" ht="11.25">
      <c r="A169" s="1118"/>
      <c r="B169" s="1773"/>
      <c r="C169" s="1773"/>
      <c r="D169" s="481"/>
      <c r="J169" s="6525"/>
      <c r="K169" s="6525"/>
      <c r="L169" s="6525"/>
      <c r="M169" s="6525"/>
      <c r="N169" s="6525"/>
      <c r="O169" s="6525"/>
      <c r="P169" s="6525"/>
      <c r="Q169" s="6525"/>
      <c r="R169" s="6525"/>
      <c r="S169" s="6525"/>
      <c r="T169" s="6525"/>
      <c r="U169" s="6525"/>
      <c r="V169" s="6525"/>
      <c r="X169" s="1292"/>
      <c r="Y169" s="1773"/>
      <c r="Z169" s="1773"/>
      <c r="AA169" s="1292"/>
      <c r="AB169" s="1292"/>
      <c r="AC169" s="1292"/>
      <c r="AD169" s="1292"/>
      <c r="AE169" s="1773"/>
      <c r="AF169" s="1292"/>
      <c r="AG169" s="1292"/>
      <c r="AH169" s="674"/>
      <c r="AI169" s="1292"/>
      <c r="AJ169" s="1292"/>
      <c r="AK169" s="1292"/>
      <c r="AL169" s="1292"/>
      <c r="AM169" s="1292"/>
      <c r="AN169" s="1769"/>
      <c r="AO169" s="696"/>
      <c r="AP169" s="696"/>
      <c r="AQ169" s="696"/>
      <c r="AR169" s="696"/>
    </row>
    <row s="11770" customFormat="1" customHeight="1" ht="11.25">
      <c r="A170" s="1118"/>
      <c r="B170" s="1773"/>
      <c r="C170" s="1773"/>
      <c r="D170" s="481"/>
      <c r="J170" s="6525"/>
      <c r="K170" s="6525"/>
      <c r="L170" s="6525"/>
      <c r="M170" s="6525"/>
      <c r="N170" s="6525"/>
      <c r="O170" s="6525"/>
      <c r="P170" s="6525"/>
      <c r="Q170" s="6525"/>
      <c r="R170" s="6525"/>
      <c r="S170" s="6525"/>
      <c r="T170" s="6525"/>
      <c r="U170" s="6525"/>
      <c r="V170" s="6525"/>
      <c r="X170" s="1292"/>
      <c r="Y170" s="1773"/>
      <c r="Z170" s="1773"/>
      <c r="AA170" s="1292"/>
      <c r="AB170" s="1292"/>
      <c r="AC170" s="1292"/>
      <c r="AD170" s="1292"/>
      <c r="AE170" s="1773"/>
      <c r="AF170" s="1292"/>
      <c r="AG170" s="1292"/>
      <c r="AH170" s="674"/>
      <c r="AI170" s="1292"/>
      <c r="AJ170" s="1292"/>
      <c r="AK170" s="1292"/>
      <c r="AL170" s="1292"/>
      <c r="AM170" s="1292"/>
      <c r="AN170" s="1769"/>
      <c r="AO170" s="696"/>
      <c r="AP170" s="696"/>
      <c r="AQ170" s="696"/>
      <c r="AR170" s="696"/>
    </row>
    <row s="11770" customFormat="1" customHeight="1" ht="11.25">
      <c r="A171" s="1118"/>
      <c r="B171" s="1773"/>
      <c r="C171" s="1773"/>
      <c r="D171" s="481"/>
      <c r="J171" s="6525"/>
      <c r="K171" s="6525"/>
      <c r="L171" s="6525"/>
      <c r="M171" s="6525"/>
      <c r="N171" s="6525"/>
      <c r="O171" s="6525"/>
      <c r="P171" s="6525"/>
      <c r="Q171" s="6525"/>
      <c r="R171" s="6525"/>
      <c r="S171" s="6525"/>
      <c r="T171" s="6525"/>
      <c r="U171" s="6525"/>
      <c r="V171" s="6525"/>
      <c r="X171" s="1292"/>
      <c r="Y171" s="1773"/>
      <c r="Z171" s="1773"/>
      <c r="AA171" s="1292"/>
      <c r="AB171" s="1292"/>
      <c r="AC171" s="1292"/>
      <c r="AD171" s="1292"/>
      <c r="AE171" s="1773"/>
      <c r="AF171" s="1292"/>
      <c r="AG171" s="1292"/>
      <c r="AH171" s="674"/>
      <c r="AI171" s="1292"/>
      <c r="AJ171" s="1292"/>
      <c r="AK171" s="1292"/>
      <c r="AL171" s="1292"/>
      <c r="AM171" s="1292"/>
      <c r="AN171" s="1769"/>
      <c r="AO171" s="696"/>
      <c r="AP171" s="696"/>
      <c r="AQ171" s="696"/>
      <c r="AR171" s="696"/>
    </row>
    <row s="11770" customFormat="1" customHeight="1" ht="11.25">
      <c r="A172" s="1118"/>
      <c r="B172" s="1773"/>
      <c r="C172" s="1773"/>
      <c r="D172" s="481"/>
      <c r="J172" s="6525"/>
      <c r="K172" s="6525"/>
      <c r="L172" s="6525"/>
      <c r="M172" s="6525"/>
      <c r="N172" s="6525"/>
      <c r="O172" s="6525"/>
      <c r="P172" s="6525"/>
      <c r="Q172" s="6525"/>
      <c r="R172" s="6525"/>
      <c r="S172" s="6525"/>
      <c r="T172" s="6525"/>
      <c r="U172" s="6525"/>
      <c r="V172" s="6525"/>
      <c r="X172" s="1292"/>
      <c r="Y172" s="1773"/>
      <c r="Z172" s="1773"/>
      <c r="AA172" s="1292"/>
      <c r="AB172" s="1292"/>
      <c r="AC172" s="1292"/>
      <c r="AD172" s="1292"/>
      <c r="AE172" s="1773"/>
      <c r="AF172" s="1292"/>
      <c r="AG172" s="1292"/>
      <c r="AH172" s="674"/>
      <c r="AI172" s="1292"/>
      <c r="AJ172" s="1292"/>
      <c r="AK172" s="1292"/>
      <c r="AL172" s="1292"/>
      <c r="AM172" s="1292"/>
      <c r="AN172" s="1769"/>
      <c r="AO172" s="696"/>
      <c r="AP172" s="696"/>
      <c r="AQ172" s="696"/>
      <c r="AR172" s="696"/>
    </row>
    <row s="11770" customFormat="1" customHeight="1" ht="11.25">
      <c r="A173" s="1118"/>
      <c r="B173" s="1773"/>
      <c r="C173" s="1773"/>
      <c r="D173" s="481"/>
      <c r="J173" s="6525"/>
      <c r="K173" s="6525"/>
      <c r="L173" s="6525"/>
      <c r="M173" s="6525"/>
      <c r="N173" s="6525"/>
      <c r="O173" s="6525"/>
      <c r="P173" s="6525"/>
      <c r="Q173" s="6525"/>
      <c r="R173" s="6525"/>
      <c r="S173" s="6525"/>
      <c r="T173" s="6525"/>
      <c r="U173" s="6525"/>
      <c r="V173" s="6525"/>
      <c r="X173" s="1292"/>
      <c r="Y173" s="1773"/>
      <c r="Z173" s="1773"/>
      <c r="AA173" s="1292"/>
      <c r="AB173" s="1292"/>
      <c r="AC173" s="1292"/>
      <c r="AD173" s="1292"/>
      <c r="AE173" s="1773"/>
      <c r="AF173" s="1292"/>
      <c r="AG173" s="1292"/>
      <c r="AH173" s="674"/>
      <c r="AI173" s="1292"/>
      <c r="AJ173" s="1292"/>
      <c r="AK173" s="1292"/>
      <c r="AL173" s="1292"/>
      <c r="AM173" s="1292"/>
      <c r="AN173" s="1769"/>
      <c r="AO173" s="696"/>
      <c r="AP173" s="696"/>
      <c r="AQ173" s="696"/>
      <c r="AR173" s="696"/>
    </row>
    <row s="11770" customFormat="1" customHeight="1" ht="11.25">
      <c r="A174" s="1118"/>
      <c r="B174" s="1773"/>
      <c r="C174" s="1773"/>
      <c r="D174" s="481"/>
      <c r="J174" s="6525"/>
      <c r="K174" s="6525"/>
      <c r="L174" s="6525"/>
      <c r="M174" s="6525"/>
      <c r="N174" s="6525"/>
      <c r="O174" s="6525"/>
      <c r="P174" s="6525"/>
      <c r="Q174" s="6525"/>
      <c r="R174" s="6525"/>
      <c r="S174" s="6525"/>
      <c r="T174" s="6525"/>
      <c r="U174" s="6525"/>
      <c r="V174" s="6525"/>
      <c r="X174" s="1292"/>
      <c r="Y174" s="1773"/>
      <c r="Z174" s="1773"/>
      <c r="AA174" s="1292"/>
      <c r="AB174" s="1292"/>
      <c r="AC174" s="1292"/>
      <c r="AD174" s="1292"/>
      <c r="AE174" s="1773"/>
      <c r="AF174" s="1292"/>
      <c r="AG174" s="1292"/>
      <c r="AH174" s="674"/>
      <c r="AI174" s="1292"/>
      <c r="AJ174" s="1292"/>
      <c r="AK174" s="1292"/>
      <c r="AL174" s="1292"/>
      <c r="AM174" s="1292"/>
      <c r="AN174" s="1769"/>
      <c r="AO174" s="696"/>
      <c r="AP174" s="696"/>
      <c r="AQ174" s="696"/>
      <c r="AR174" s="696"/>
    </row>
    <row s="11770" customFormat="1" customHeight="1" ht="11.25">
      <c r="A175" s="1118"/>
      <c r="B175" s="1773"/>
      <c r="C175" s="1773"/>
      <c r="D175" s="481"/>
      <c r="J175" s="6525"/>
      <c r="K175" s="6525"/>
      <c r="L175" s="6525"/>
      <c r="M175" s="6525"/>
      <c r="N175" s="6525"/>
      <c r="O175" s="6525"/>
      <c r="P175" s="6525"/>
      <c r="Q175" s="6525"/>
      <c r="R175" s="6525"/>
      <c r="S175" s="6525"/>
      <c r="T175" s="6525"/>
      <c r="U175" s="6525"/>
      <c r="V175" s="6525"/>
      <c r="X175" s="1292"/>
      <c r="Y175" s="1773"/>
      <c r="Z175" s="1773"/>
      <c r="AA175" s="1292"/>
      <c r="AB175" s="1292"/>
      <c r="AC175" s="1292"/>
      <c r="AD175" s="1292"/>
      <c r="AE175" s="1773"/>
      <c r="AF175" s="1292"/>
      <c r="AG175" s="1292"/>
      <c r="AH175" s="674"/>
      <c r="AI175" s="1292"/>
      <c r="AJ175" s="1292"/>
      <c r="AK175" s="1292"/>
      <c r="AL175" s="1292"/>
      <c r="AM175" s="1292"/>
      <c r="AN175" s="1769"/>
      <c r="AO175" s="696"/>
      <c r="AP175" s="696"/>
      <c r="AQ175" s="696"/>
      <c r="AR175" s="696"/>
    </row>
    <row s="11770" customFormat="1" customHeight="1" ht="11.25">
      <c r="A176" s="1118"/>
      <c r="B176" s="1773"/>
      <c r="C176" s="1773"/>
      <c r="D176" s="481"/>
      <c r="J176" s="6525"/>
      <c r="K176" s="6525"/>
      <c r="L176" s="6525"/>
      <c r="M176" s="6525"/>
      <c r="N176" s="6525"/>
      <c r="O176" s="6525"/>
      <c r="P176" s="6525"/>
      <c r="Q176" s="6525"/>
      <c r="R176" s="6525"/>
      <c r="S176" s="6525"/>
      <c r="T176" s="6525"/>
      <c r="U176" s="6525"/>
      <c r="V176" s="6525"/>
      <c r="X176" s="1292"/>
      <c r="Y176" s="1773"/>
      <c r="Z176" s="1773"/>
      <c r="AA176" s="1292"/>
      <c r="AB176" s="1292"/>
      <c r="AC176" s="1292"/>
      <c r="AD176" s="1292"/>
      <c r="AE176" s="1773"/>
      <c r="AF176" s="1292"/>
      <c r="AG176" s="1292"/>
      <c r="AH176" s="674"/>
      <c r="AI176" s="1292"/>
      <c r="AJ176" s="1292"/>
      <c r="AK176" s="1292"/>
      <c r="AL176" s="1292"/>
      <c r="AM176" s="1292"/>
      <c r="AN176" s="1769"/>
      <c r="AO176" s="696"/>
      <c r="AP176" s="696"/>
      <c r="AQ176" s="696"/>
      <c r="AR176" s="696"/>
    </row>
    <row s="11770" customFormat="1" customHeight="1" ht="11.25">
      <c r="A177" s="1118"/>
      <c r="B177" s="1773"/>
      <c r="C177" s="1773"/>
      <c r="D177" s="481"/>
      <c r="J177" s="6525"/>
      <c r="K177" s="6525"/>
      <c r="L177" s="6525"/>
      <c r="M177" s="6525"/>
      <c r="N177" s="6525"/>
      <c r="O177" s="6525"/>
      <c r="P177" s="6525"/>
      <c r="Q177" s="6525"/>
      <c r="R177" s="6525"/>
      <c r="S177" s="6525"/>
      <c r="T177" s="6525"/>
      <c r="U177" s="6525"/>
      <c r="V177" s="6525"/>
      <c r="X177" s="1292"/>
      <c r="Y177" s="1773"/>
      <c r="Z177" s="1773"/>
      <c r="AA177" s="1292"/>
      <c r="AB177" s="1292"/>
      <c r="AC177" s="1292"/>
      <c r="AD177" s="1292"/>
      <c r="AE177" s="1773"/>
      <c r="AF177" s="1292"/>
      <c r="AG177" s="1292"/>
      <c r="AH177" s="674"/>
      <c r="AI177" s="1292"/>
      <c r="AJ177" s="1292"/>
      <c r="AK177" s="1292"/>
      <c r="AL177" s="1292"/>
      <c r="AM177" s="1292"/>
      <c r="AN177" s="1769"/>
      <c r="AO177" s="696"/>
      <c r="AP177" s="696"/>
      <c r="AQ177" s="696"/>
      <c r="AR177" s="696"/>
    </row>
    <row s="11770" customFormat="1" customHeight="1" ht="11.25">
      <c r="A178" s="1118"/>
      <c r="B178" s="1773"/>
      <c r="C178" s="1773"/>
      <c r="D178" s="481"/>
      <c r="J178" s="6525"/>
      <c r="K178" s="6525"/>
      <c r="L178" s="6525"/>
      <c r="M178" s="6525"/>
      <c r="N178" s="6525"/>
      <c r="O178" s="6525"/>
      <c r="P178" s="6525"/>
      <c r="Q178" s="6525"/>
      <c r="R178" s="6525"/>
      <c r="S178" s="6525"/>
      <c r="T178" s="6525"/>
      <c r="U178" s="6525"/>
      <c r="V178" s="6525"/>
      <c r="X178" s="1292"/>
      <c r="Y178" s="1773"/>
      <c r="Z178" s="1773"/>
      <c r="AA178" s="1292"/>
      <c r="AB178" s="1292"/>
      <c r="AC178" s="1292"/>
      <c r="AD178" s="1292"/>
      <c r="AE178" s="1773"/>
      <c r="AF178" s="1292"/>
      <c r="AG178" s="1292"/>
      <c r="AH178" s="674"/>
      <c r="AI178" s="1292"/>
      <c r="AJ178" s="1292"/>
      <c r="AK178" s="1292"/>
      <c r="AL178" s="1292"/>
      <c r="AM178" s="1292"/>
      <c r="AN178" s="1769"/>
      <c r="AO178" s="696"/>
      <c r="AP178" s="696"/>
      <c r="AQ178" s="696"/>
      <c r="AR178" s="696"/>
    </row>
    <row s="11770" customFormat="1" customHeight="1" ht="11.25">
      <c r="A179" s="1118"/>
      <c r="B179" s="1773"/>
      <c r="C179" s="1773"/>
      <c r="D179" s="481"/>
      <c r="J179" s="6525"/>
      <c r="K179" s="6525"/>
      <c r="L179" s="6525"/>
      <c r="M179" s="6525"/>
      <c r="N179" s="6525"/>
      <c r="O179" s="6525"/>
      <c r="P179" s="6525"/>
      <c r="Q179" s="6525"/>
      <c r="R179" s="6525"/>
      <c r="S179" s="6525"/>
      <c r="T179" s="6525"/>
      <c r="U179" s="6525"/>
      <c r="V179" s="6525"/>
      <c r="X179" s="1292"/>
      <c r="Y179" s="1773"/>
      <c r="Z179" s="1773"/>
      <c r="AA179" s="1292"/>
      <c r="AB179" s="1292"/>
      <c r="AC179" s="1292"/>
      <c r="AD179" s="1292"/>
      <c r="AE179" s="1773"/>
      <c r="AF179" s="1292"/>
      <c r="AG179" s="1292"/>
      <c r="AH179" s="674"/>
      <c r="AI179" s="1292"/>
      <c r="AJ179" s="1292"/>
      <c r="AK179" s="1292"/>
      <c r="AL179" s="1292"/>
      <c r="AM179" s="1292"/>
      <c r="AN179" s="1769"/>
      <c r="AO179" s="696"/>
      <c r="AP179" s="696"/>
      <c r="AQ179" s="696"/>
      <c r="AR179" s="696"/>
    </row>
    <row s="11770" customFormat="1" customHeight="1" ht="11.25">
      <c r="A180" s="1118"/>
      <c r="B180" s="1773"/>
      <c r="C180" s="1773"/>
      <c r="D180" s="481"/>
      <c r="J180" s="6525"/>
      <c r="K180" s="6525"/>
      <c r="L180" s="6525"/>
      <c r="M180" s="6525"/>
      <c r="N180" s="6525"/>
      <c r="O180" s="6525"/>
      <c r="P180" s="6525"/>
      <c r="Q180" s="6525"/>
      <c r="R180" s="6525"/>
      <c r="S180" s="6525"/>
      <c r="T180" s="6525"/>
      <c r="U180" s="6525"/>
      <c r="V180" s="6525"/>
      <c r="X180" s="1292"/>
      <c r="Y180" s="1773"/>
      <c r="Z180" s="1773"/>
      <c r="AA180" s="1292"/>
      <c r="AB180" s="1292"/>
      <c r="AC180" s="1292"/>
      <c r="AD180" s="1292"/>
      <c r="AE180" s="1773"/>
      <c r="AF180" s="1292"/>
      <c r="AG180" s="1292"/>
      <c r="AH180" s="674"/>
      <c r="AI180" s="1292"/>
      <c r="AJ180" s="1292"/>
      <c r="AK180" s="1292"/>
      <c r="AL180" s="1292"/>
      <c r="AM180" s="1292"/>
      <c r="AN180" s="1769"/>
      <c r="AO180" s="696"/>
      <c r="AP180" s="696"/>
      <c r="AQ180" s="696"/>
      <c r="AR180" s="696"/>
    </row>
    <row s="11770" customFormat="1" customHeight="1" ht="11.25">
      <c r="A181" s="1118"/>
      <c r="B181" s="1773"/>
      <c r="C181" s="1773"/>
      <c r="D181" s="481"/>
      <c r="J181" s="6525"/>
      <c r="K181" s="6525"/>
      <c r="L181" s="6525"/>
      <c r="M181" s="6525"/>
      <c r="N181" s="6525"/>
      <c r="O181" s="6525"/>
      <c r="P181" s="6525"/>
      <c r="Q181" s="6525"/>
      <c r="R181" s="6525"/>
      <c r="S181" s="6525"/>
      <c r="T181" s="6525"/>
      <c r="U181" s="6525"/>
      <c r="V181" s="6525"/>
      <c r="X181" s="1292"/>
      <c r="Y181" s="1773"/>
      <c r="Z181" s="1773"/>
      <c r="AA181" s="1292"/>
      <c r="AB181" s="1292"/>
      <c r="AC181" s="1292"/>
      <c r="AD181" s="1292"/>
      <c r="AE181" s="1773"/>
      <c r="AF181" s="1292"/>
      <c r="AG181" s="1292"/>
      <c r="AH181" s="674"/>
      <c r="AI181" s="1292"/>
      <c r="AJ181" s="1292"/>
      <c r="AK181" s="1292"/>
      <c r="AL181" s="1292"/>
      <c r="AM181" s="1292"/>
      <c r="AN181" s="1769"/>
      <c r="AO181" s="696"/>
      <c r="AP181" s="696"/>
      <c r="AQ181" s="696"/>
      <c r="AR181" s="696"/>
    </row>
    <row s="11770" customFormat="1" customHeight="1" ht="11.25">
      <c r="A182" s="1118"/>
      <c r="B182" s="1773"/>
      <c r="C182" s="1773"/>
      <c r="D182" s="481"/>
      <c r="J182" s="6525"/>
      <c r="K182" s="6525"/>
      <c r="L182" s="6525"/>
      <c r="M182" s="6525"/>
      <c r="N182" s="6525"/>
      <c r="O182" s="6525"/>
      <c r="P182" s="6525"/>
      <c r="Q182" s="6525"/>
      <c r="R182" s="6525"/>
      <c r="S182" s="6525"/>
      <c r="T182" s="6525"/>
      <c r="U182" s="6525"/>
      <c r="V182" s="6525"/>
      <c r="X182" s="1292"/>
      <c r="Y182" s="1773"/>
      <c r="Z182" s="1773"/>
      <c r="AA182" s="1292"/>
      <c r="AB182" s="1292"/>
      <c r="AC182" s="1292"/>
      <c r="AD182" s="1292"/>
      <c r="AE182" s="1773"/>
      <c r="AF182" s="1292"/>
      <c r="AG182" s="1292"/>
      <c r="AH182" s="674"/>
      <c r="AI182" s="1292"/>
      <c r="AJ182" s="1292"/>
      <c r="AK182" s="1292"/>
      <c r="AL182" s="1292"/>
      <c r="AM182" s="1292"/>
      <c r="AN182" s="1769"/>
      <c r="AO182" s="696"/>
      <c r="AP182" s="696"/>
      <c r="AQ182" s="696"/>
      <c r="AR182" s="696"/>
    </row>
    <row s="11770" customFormat="1" customHeight="1" ht="11.25">
      <c r="A183" s="1118"/>
      <c r="B183" s="1773"/>
      <c r="C183" s="1773"/>
      <c r="D183" s="481"/>
      <c r="J183" s="6525"/>
      <c r="K183" s="6525"/>
      <c r="L183" s="6525"/>
      <c r="M183" s="6525"/>
      <c r="N183" s="6525"/>
      <c r="O183" s="6525"/>
      <c r="P183" s="6525"/>
      <c r="Q183" s="6525"/>
      <c r="R183" s="6525"/>
      <c r="S183" s="6525"/>
      <c r="T183" s="6525"/>
      <c r="U183" s="6525"/>
      <c r="V183" s="6525"/>
      <c r="X183" s="1292"/>
      <c r="Y183" s="1773"/>
      <c r="Z183" s="1773"/>
      <c r="AA183" s="1292"/>
      <c r="AB183" s="1292"/>
      <c r="AC183" s="1292"/>
      <c r="AD183" s="1292"/>
      <c r="AE183" s="1773"/>
      <c r="AF183" s="1292"/>
      <c r="AG183" s="1292"/>
      <c r="AH183" s="674"/>
      <c r="AI183" s="1292"/>
      <c r="AJ183" s="1292"/>
      <c r="AK183" s="1292"/>
      <c r="AL183" s="1292"/>
      <c r="AM183" s="1292"/>
      <c r="AN183" s="1769"/>
      <c r="AO183" s="696"/>
      <c r="AP183" s="696"/>
      <c r="AQ183" s="696"/>
      <c r="AR183" s="696"/>
    </row>
    <row s="11770" customFormat="1" customHeight="1" ht="11.25">
      <c r="A184" s="1118"/>
      <c r="B184" s="1773"/>
      <c r="C184" s="1773"/>
      <c r="D184" s="481"/>
      <c r="J184" s="6525"/>
      <c r="K184" s="6525"/>
      <c r="L184" s="6525"/>
      <c r="M184" s="6525"/>
      <c r="N184" s="6525"/>
      <c r="O184" s="6525"/>
      <c r="P184" s="6525"/>
      <c r="Q184" s="6525"/>
      <c r="R184" s="6525"/>
      <c r="S184" s="6525"/>
      <c r="T184" s="6525"/>
      <c r="U184" s="6525"/>
      <c r="V184" s="6525"/>
      <c r="X184" s="1292"/>
      <c r="Y184" s="1773"/>
      <c r="Z184" s="1773"/>
      <c r="AA184" s="1292"/>
      <c r="AB184" s="1292"/>
      <c r="AC184" s="1292"/>
      <c r="AD184" s="1292"/>
      <c r="AE184" s="1773"/>
      <c r="AF184" s="1292"/>
      <c r="AG184" s="1292"/>
      <c r="AH184" s="674"/>
      <c r="AI184" s="1292"/>
      <c r="AJ184" s="1292"/>
      <c r="AK184" s="1292"/>
      <c r="AL184" s="1292"/>
      <c r="AM184" s="1292"/>
      <c r="AN184" s="1769"/>
      <c r="AO184" s="696"/>
      <c r="AP184" s="696"/>
      <c r="AQ184" s="696"/>
      <c r="AR184" s="696"/>
    </row>
    <row s="11770" customFormat="1" customHeight="1" ht="11.25">
      <c r="A185" s="1118"/>
      <c r="B185" s="1773"/>
      <c r="C185" s="1773"/>
      <c r="D185" s="481"/>
      <c r="J185" s="6525"/>
      <c r="K185" s="6525"/>
      <c r="L185" s="6525"/>
      <c r="M185" s="6525"/>
      <c r="N185" s="6525"/>
      <c r="O185" s="6525"/>
      <c r="P185" s="6525"/>
      <c r="Q185" s="6525"/>
      <c r="R185" s="6525"/>
      <c r="S185" s="6525"/>
      <c r="T185" s="6525"/>
      <c r="U185" s="6525"/>
      <c r="V185" s="6525"/>
      <c r="X185" s="1292"/>
      <c r="Y185" s="1773"/>
      <c r="Z185" s="1773"/>
      <c r="AA185" s="1292"/>
      <c r="AB185" s="1292"/>
      <c r="AC185" s="1292"/>
      <c r="AD185" s="1292"/>
      <c r="AE185" s="1773"/>
      <c r="AF185" s="1292"/>
      <c r="AG185" s="1292"/>
      <c r="AH185" s="674"/>
      <c r="AI185" s="1292"/>
      <c r="AJ185" s="1292"/>
      <c r="AK185" s="1292"/>
      <c r="AL185" s="1292"/>
      <c r="AM185" s="1292"/>
      <c r="AN185" s="1769"/>
      <c r="AO185" s="696"/>
      <c r="AP185" s="696"/>
      <c r="AQ185" s="696"/>
      <c r="AR185" s="696"/>
    </row>
    <row s="11770" customFormat="1" customHeight="1" ht="11.25">
      <c r="A186" s="1118"/>
      <c r="B186" s="1773"/>
      <c r="C186" s="1773"/>
      <c r="D186" s="481"/>
      <c r="J186" s="6525"/>
      <c r="K186" s="6525"/>
      <c r="L186" s="6525"/>
      <c r="M186" s="6525"/>
      <c r="N186" s="6525"/>
      <c r="O186" s="6525"/>
      <c r="P186" s="6525"/>
      <c r="Q186" s="6525"/>
      <c r="R186" s="6525"/>
      <c r="S186" s="6525"/>
      <c r="T186" s="6525"/>
      <c r="U186" s="6525"/>
      <c r="V186" s="6525"/>
      <c r="X186" s="1292"/>
      <c r="Y186" s="1773"/>
      <c r="Z186" s="1773"/>
      <c r="AA186" s="1292"/>
      <c r="AB186" s="1292"/>
      <c r="AC186" s="1292"/>
      <c r="AD186" s="1292"/>
      <c r="AE186" s="1773"/>
      <c r="AF186" s="1292"/>
      <c r="AG186" s="1292"/>
      <c r="AH186" s="674"/>
      <c r="AI186" s="1292"/>
      <c r="AJ186" s="1292"/>
      <c r="AK186" s="1292"/>
      <c r="AL186" s="1292"/>
      <c r="AM186" s="1292"/>
      <c r="AN186" s="1769"/>
      <c r="AO186" s="696"/>
      <c r="AP186" s="696"/>
      <c r="AQ186" s="696"/>
      <c r="AR186" s="696"/>
    </row>
    <row s="11770" customFormat="1" customHeight="1" ht="11.25">
      <c r="A187" s="1118"/>
      <c r="B187" s="1773"/>
      <c r="C187" s="1773"/>
      <c r="D187" s="481"/>
      <c r="J187" s="6525"/>
      <c r="K187" s="6525"/>
      <c r="L187" s="6525"/>
      <c r="M187" s="6525"/>
      <c r="N187" s="6525"/>
      <c r="O187" s="6525"/>
      <c r="P187" s="6525"/>
      <c r="Q187" s="6525"/>
      <c r="R187" s="6525"/>
      <c r="S187" s="6525"/>
      <c r="T187" s="6525"/>
      <c r="U187" s="6525"/>
      <c r="V187" s="6525"/>
      <c r="X187" s="1292"/>
      <c r="Y187" s="1773"/>
      <c r="Z187" s="1773"/>
      <c r="AA187" s="1292"/>
      <c r="AB187" s="1292"/>
      <c r="AC187" s="1292"/>
      <c r="AD187" s="1292"/>
      <c r="AE187" s="1773"/>
      <c r="AF187" s="1292"/>
      <c r="AG187" s="1292"/>
      <c r="AH187" s="674"/>
      <c r="AI187" s="1292"/>
      <c r="AJ187" s="1292"/>
      <c r="AK187" s="1292"/>
      <c r="AL187" s="1292"/>
      <c r="AM187" s="1292"/>
      <c r="AN187" s="1769"/>
      <c r="AO187" s="696"/>
      <c r="AP187" s="696"/>
      <c r="AQ187" s="696"/>
      <c r="AR187" s="696"/>
    </row>
    <row s="11770" customFormat="1" customHeight="1" ht="11.25">
      <c r="A188" s="1118"/>
      <c r="B188" s="1773"/>
      <c r="C188" s="1773"/>
      <c r="D188" s="481"/>
      <c r="J188" s="6525"/>
      <c r="K188" s="6525"/>
      <c r="L188" s="6525"/>
      <c r="M188" s="6525"/>
      <c r="N188" s="6525"/>
      <c r="O188" s="6525"/>
      <c r="P188" s="6525"/>
      <c r="Q188" s="6525"/>
      <c r="R188" s="6525"/>
      <c r="S188" s="6525"/>
      <c r="T188" s="6525"/>
      <c r="U188" s="6525"/>
      <c r="V188" s="6525"/>
      <c r="X188" s="1292"/>
      <c r="Y188" s="1773"/>
      <c r="Z188" s="1773"/>
      <c r="AA188" s="1292"/>
      <c r="AB188" s="1292"/>
      <c r="AC188" s="1292"/>
      <c r="AD188" s="1292"/>
      <c r="AE188" s="1773"/>
      <c r="AF188" s="1292"/>
      <c r="AG188" s="1292"/>
      <c r="AH188" s="674"/>
      <c r="AI188" s="1292"/>
      <c r="AJ188" s="1292"/>
      <c r="AK188" s="1292"/>
      <c r="AL188" s="1292"/>
      <c r="AM188" s="1292"/>
      <c r="AN188" s="1769"/>
      <c r="AO188" s="696"/>
      <c r="AP188" s="696"/>
      <c r="AQ188" s="696"/>
      <c r="AR188" s="696"/>
    </row>
    <row s="11770" customFormat="1" customHeight="1" ht="11.25">
      <c r="A189" s="1118"/>
      <c r="B189" s="1773"/>
      <c r="C189" s="1773"/>
      <c r="D189" s="481"/>
      <c r="J189" s="6525"/>
      <c r="K189" s="6525"/>
      <c r="L189" s="6525"/>
      <c r="M189" s="6525"/>
      <c r="N189" s="6525"/>
      <c r="O189" s="6525"/>
      <c r="P189" s="6525"/>
      <c r="Q189" s="6525"/>
      <c r="R189" s="6525"/>
      <c r="S189" s="6525"/>
      <c r="T189" s="6525"/>
      <c r="U189" s="6525"/>
      <c r="V189" s="6525"/>
      <c r="X189" s="1292"/>
      <c r="Y189" s="1773"/>
      <c r="Z189" s="1773"/>
      <c r="AA189" s="1292"/>
      <c r="AB189" s="1292"/>
      <c r="AC189" s="1292"/>
      <c r="AD189" s="1292"/>
      <c r="AE189" s="1773"/>
      <c r="AF189" s="1292"/>
      <c r="AG189" s="1292"/>
      <c r="AH189" s="674"/>
      <c r="AI189" s="1292"/>
      <c r="AJ189" s="1292"/>
      <c r="AK189" s="1292"/>
      <c r="AL189" s="1292"/>
      <c r="AM189" s="1292"/>
      <c r="AN189" s="1769"/>
      <c r="AO189" s="696"/>
      <c r="AP189" s="696"/>
      <c r="AQ189" s="696"/>
      <c r="AR189" s="696"/>
    </row>
    <row s="11770" customFormat="1" customHeight="1" ht="11.25">
      <c r="A190" s="1118"/>
      <c r="B190" s="1773"/>
      <c r="C190" s="1773"/>
      <c r="D190" s="481"/>
      <c r="J190" s="6525"/>
      <c r="K190" s="6525"/>
      <c r="L190" s="6525"/>
      <c r="M190" s="6525"/>
      <c r="N190" s="6525"/>
      <c r="O190" s="6525"/>
      <c r="P190" s="6525"/>
      <c r="Q190" s="6525"/>
      <c r="R190" s="6525"/>
      <c r="S190" s="6525"/>
      <c r="T190" s="6525"/>
      <c r="U190" s="6525"/>
      <c r="V190" s="6525"/>
      <c r="X190" s="1292"/>
      <c r="Y190" s="1773"/>
      <c r="Z190" s="1773"/>
      <c r="AA190" s="1292"/>
      <c r="AB190" s="1292"/>
      <c r="AC190" s="1292"/>
      <c r="AD190" s="1292"/>
      <c r="AE190" s="1773"/>
      <c r="AF190" s="1292"/>
      <c r="AG190" s="1292"/>
      <c r="AH190" s="674"/>
      <c r="AI190" s="1292"/>
      <c r="AJ190" s="1292"/>
      <c r="AK190" s="1292"/>
      <c r="AL190" s="1292"/>
      <c r="AM190" s="1292"/>
      <c r="AN190" s="1769"/>
      <c r="AO190" s="696"/>
      <c r="AP190" s="696"/>
      <c r="AQ190" s="696"/>
      <c r="AR190" s="696"/>
    </row>
    <row s="11770" customFormat="1" customHeight="1" ht="11.25">
      <c r="A191" s="1118"/>
      <c r="B191" s="1773"/>
      <c r="C191" s="1773"/>
      <c r="D191" s="481"/>
      <c r="J191" s="6525"/>
      <c r="K191" s="6525"/>
      <c r="L191" s="6525"/>
      <c r="M191" s="6525"/>
      <c r="N191" s="6525"/>
      <c r="O191" s="6525"/>
      <c r="P191" s="6525"/>
      <c r="Q191" s="6525"/>
      <c r="R191" s="6525"/>
      <c r="S191" s="6525"/>
      <c r="T191" s="6525"/>
      <c r="U191" s="6525"/>
      <c r="V191" s="6525"/>
      <c r="X191" s="1292"/>
      <c r="Y191" s="1773"/>
      <c r="Z191" s="1773"/>
      <c r="AA191" s="1292"/>
      <c r="AB191" s="1292"/>
      <c r="AC191" s="1292"/>
      <c r="AD191" s="1292"/>
      <c r="AE191" s="1773"/>
      <c r="AF191" s="1292"/>
      <c r="AG191" s="1292"/>
      <c r="AH191" s="674"/>
      <c r="AI191" s="1292"/>
      <c r="AJ191" s="1292"/>
      <c r="AK191" s="1292"/>
      <c r="AL191" s="1292"/>
      <c r="AM191" s="1292"/>
      <c r="AN191" s="1769"/>
      <c r="AO191" s="696"/>
      <c r="AP191" s="696"/>
      <c r="AQ191" s="696"/>
      <c r="AR191" s="696"/>
    </row>
    <row s="11770" customFormat="1" customHeight="1" ht="11.25">
      <c r="A192" s="1118"/>
      <c r="B192" s="1773"/>
      <c r="C192" s="1773"/>
      <c r="D192" s="481"/>
      <c r="J192" s="6525"/>
      <c r="K192" s="6525"/>
      <c r="L192" s="6525"/>
      <c r="M192" s="6525"/>
      <c r="N192" s="6525"/>
      <c r="O192" s="6525"/>
      <c r="P192" s="6525"/>
      <c r="Q192" s="6525"/>
      <c r="R192" s="6525"/>
      <c r="S192" s="6525"/>
      <c r="T192" s="6525"/>
      <c r="U192" s="6525"/>
      <c r="V192" s="6525"/>
      <c r="X192" s="1292"/>
      <c r="Y192" s="1773"/>
      <c r="Z192" s="1773"/>
      <c r="AA192" s="1292"/>
      <c r="AB192" s="1292"/>
      <c r="AC192" s="1292"/>
      <c r="AD192" s="1292"/>
      <c r="AE192" s="1773"/>
      <c r="AF192" s="1292"/>
      <c r="AG192" s="1292"/>
      <c r="AH192" s="674"/>
      <c r="AI192" s="1292"/>
      <c r="AJ192" s="1292"/>
      <c r="AK192" s="1292"/>
      <c r="AL192" s="1292"/>
      <c r="AM192" s="1292"/>
      <c r="AN192" s="1769"/>
      <c r="AO192" s="696"/>
      <c r="AP192" s="696"/>
      <c r="AQ192" s="696"/>
      <c r="AR192" s="696"/>
    </row>
    <row s="11770" customFormat="1" customHeight="1" ht="11.25">
      <c r="A193" s="1118"/>
      <c r="B193" s="1773"/>
      <c r="C193" s="1773"/>
      <c r="D193" s="481"/>
      <c r="J193" s="6525"/>
      <c r="K193" s="6525"/>
      <c r="L193" s="6525"/>
      <c r="M193" s="6525"/>
      <c r="N193" s="6525"/>
      <c r="O193" s="6525"/>
      <c r="P193" s="6525"/>
      <c r="Q193" s="6525"/>
      <c r="R193" s="6525"/>
      <c r="S193" s="6525"/>
      <c r="T193" s="6525"/>
      <c r="U193" s="6525"/>
      <c r="V193" s="6525"/>
      <c r="X193" s="1292"/>
      <c r="Y193" s="1773"/>
      <c r="Z193" s="1773"/>
      <c r="AA193" s="1292"/>
      <c r="AB193" s="1292"/>
      <c r="AC193" s="1292"/>
      <c r="AD193" s="1292"/>
      <c r="AE193" s="1773"/>
      <c r="AF193" s="1292"/>
      <c r="AG193" s="1292"/>
      <c r="AH193" s="674"/>
      <c r="AI193" s="1292"/>
      <c r="AJ193" s="1292"/>
      <c r="AK193" s="1292"/>
      <c r="AL193" s="1292"/>
      <c r="AM193" s="1292"/>
      <c r="AN193" s="1769"/>
      <c r="AO193" s="696"/>
      <c r="AP193" s="696"/>
      <c r="AQ193" s="696"/>
      <c r="AR193" s="696"/>
    </row>
    <row s="11770" customFormat="1" customHeight="1" ht="11.25">
      <c r="A194" s="1118"/>
      <c r="B194" s="1773"/>
      <c r="C194" s="1773"/>
      <c r="D194" s="481"/>
      <c r="J194" s="6525"/>
      <c r="K194" s="6525"/>
      <c r="L194" s="6525"/>
      <c r="M194" s="6525"/>
      <c r="N194" s="6525"/>
      <c r="O194" s="6525"/>
      <c r="P194" s="6525"/>
      <c r="Q194" s="6525"/>
      <c r="R194" s="6525"/>
      <c r="S194" s="6525"/>
      <c r="T194" s="6525"/>
      <c r="U194" s="6525"/>
      <c r="V194" s="6525"/>
      <c r="X194" s="1292"/>
      <c r="Y194" s="1773"/>
      <c r="Z194" s="1773"/>
      <c r="AA194" s="1292"/>
      <c r="AB194" s="1292"/>
      <c r="AC194" s="1292"/>
      <c r="AD194" s="1292"/>
      <c r="AE194" s="1773"/>
      <c r="AF194" s="1292"/>
      <c r="AG194" s="1292"/>
      <c r="AH194" s="674"/>
      <c r="AI194" s="1292"/>
      <c r="AJ194" s="1292"/>
      <c r="AK194" s="1292"/>
      <c r="AL194" s="1292"/>
      <c r="AM194" s="1292"/>
      <c r="AN194" s="1769"/>
      <c r="AO194" s="696"/>
      <c r="AP194" s="696"/>
      <c r="AQ194" s="696"/>
      <c r="AR194" s="696"/>
    </row>
    <row s="11770" customFormat="1" customHeight="1" ht="11.25">
      <c r="A195" s="1118"/>
      <c r="B195" s="1773"/>
      <c r="C195" s="1773"/>
      <c r="D195" s="481"/>
      <c r="J195" s="6525"/>
      <c r="K195" s="6525"/>
      <c r="L195" s="6525"/>
      <c r="M195" s="6525"/>
      <c r="N195" s="6525"/>
      <c r="O195" s="6525"/>
      <c r="P195" s="6525"/>
      <c r="Q195" s="6525"/>
      <c r="R195" s="6525"/>
      <c r="S195" s="6525"/>
      <c r="T195" s="6525"/>
      <c r="U195" s="6525"/>
      <c r="V195" s="6525"/>
      <c r="X195" s="1292"/>
      <c r="Y195" s="1773"/>
      <c r="Z195" s="1773"/>
      <c r="AA195" s="1292"/>
      <c r="AB195" s="1292"/>
      <c r="AC195" s="1292"/>
      <c r="AD195" s="1292"/>
      <c r="AE195" s="1773"/>
      <c r="AF195" s="1292"/>
      <c r="AG195" s="1292"/>
      <c r="AH195" s="674"/>
      <c r="AI195" s="1292"/>
      <c r="AJ195" s="1292"/>
      <c r="AK195" s="1292"/>
      <c r="AL195" s="1292"/>
      <c r="AM195" s="1292"/>
      <c r="AN195" s="1769"/>
      <c r="AO195" s="696"/>
      <c r="AP195" s="696"/>
      <c r="AQ195" s="696"/>
      <c r="AR195" s="696"/>
    </row>
    <row s="11770" customFormat="1" customHeight="1" ht="11.25">
      <c r="A196" s="1118"/>
      <c r="B196" s="1773"/>
      <c r="C196" s="1773"/>
      <c r="D196" s="481"/>
      <c r="J196" s="6525"/>
      <c r="K196" s="6525"/>
      <c r="L196" s="6525"/>
      <c r="M196" s="6525"/>
      <c r="N196" s="6525"/>
      <c r="O196" s="6525"/>
      <c r="P196" s="6525"/>
      <c r="Q196" s="6525"/>
      <c r="R196" s="6525"/>
      <c r="S196" s="6525"/>
      <c r="T196" s="6525"/>
      <c r="U196" s="6525"/>
      <c r="V196" s="6525"/>
      <c r="X196" s="1292"/>
      <c r="Y196" s="1773"/>
      <c r="Z196" s="1773"/>
      <c r="AA196" s="1292"/>
      <c r="AB196" s="1292"/>
      <c r="AC196" s="1292"/>
      <c r="AD196" s="1292"/>
      <c r="AE196" s="1773"/>
      <c r="AF196" s="1292"/>
      <c r="AG196" s="1292"/>
      <c r="AH196" s="674"/>
      <c r="AI196" s="1292"/>
      <c r="AJ196" s="1292"/>
      <c r="AK196" s="1292"/>
      <c r="AL196" s="1292"/>
      <c r="AM196" s="1292"/>
      <c r="AN196" s="1769"/>
      <c r="AO196" s="696"/>
      <c r="AP196" s="696"/>
      <c r="AQ196" s="696"/>
      <c r="AR196" s="696"/>
    </row>
    <row s="11770" customFormat="1" customHeight="1" ht="11.25">
      <c r="A197" s="1118"/>
      <c r="B197" s="1773"/>
      <c r="C197" s="1773"/>
      <c r="D197" s="481"/>
      <c r="J197" s="6525"/>
      <c r="K197" s="6525"/>
      <c r="L197" s="6525"/>
      <c r="M197" s="6525"/>
      <c r="N197" s="6525"/>
      <c r="O197" s="6525"/>
      <c r="P197" s="6525"/>
      <c r="Q197" s="6525"/>
      <c r="R197" s="6525"/>
      <c r="S197" s="6525"/>
      <c r="T197" s="6525"/>
      <c r="U197" s="6525"/>
      <c r="V197" s="6525"/>
      <c r="X197" s="1292"/>
      <c r="Y197" s="1773"/>
      <c r="Z197" s="1773"/>
      <c r="AA197" s="1292"/>
      <c r="AB197" s="1292"/>
      <c r="AC197" s="1292"/>
      <c r="AD197" s="1292"/>
      <c r="AE197" s="1773"/>
      <c r="AF197" s="1292"/>
      <c r="AG197" s="1292"/>
      <c r="AH197" s="674"/>
      <c r="AI197" s="1292"/>
      <c r="AJ197" s="1292"/>
      <c r="AK197" s="1292"/>
      <c r="AL197" s="1292"/>
      <c r="AM197" s="1292"/>
      <c r="AN197" s="1769"/>
      <c r="AO197" s="696"/>
      <c r="AP197" s="696"/>
      <c r="AQ197" s="696"/>
      <c r="AR197" s="696"/>
    </row>
    <row s="11770" customFormat="1" customHeight="1" ht="11.25">
      <c r="A198" s="1118"/>
      <c r="B198" s="1773"/>
      <c r="C198" s="1773"/>
      <c r="D198" s="481"/>
      <c r="J198" s="6525"/>
      <c r="K198" s="6525"/>
      <c r="L198" s="6525"/>
      <c r="M198" s="6525"/>
      <c r="N198" s="6525"/>
      <c r="O198" s="6525"/>
      <c r="P198" s="6525"/>
      <c r="Q198" s="6525"/>
      <c r="R198" s="6525"/>
      <c r="S198" s="6525"/>
      <c r="T198" s="6525"/>
      <c r="U198" s="6525"/>
      <c r="V198" s="6525"/>
      <c r="X198" s="1292"/>
      <c r="Y198" s="1773"/>
      <c r="Z198" s="1773"/>
      <c r="AA198" s="1292"/>
      <c r="AB198" s="1292"/>
      <c r="AC198" s="1292"/>
      <c r="AD198" s="1292"/>
      <c r="AE198" s="1773"/>
      <c r="AF198" s="1292"/>
      <c r="AG198" s="1292"/>
      <c r="AH198" s="674"/>
      <c r="AI198" s="1292"/>
      <c r="AJ198" s="1292"/>
      <c r="AK198" s="1292"/>
      <c r="AL198" s="1292"/>
      <c r="AM198" s="1292"/>
      <c r="AN198" s="1769"/>
      <c r="AO198" s="696"/>
      <c r="AP198" s="696"/>
      <c r="AQ198" s="696"/>
      <c r="AR198" s="696"/>
    </row>
    <row s="11770" customFormat="1" customHeight="1" ht="11.25">
      <c r="A199" s="1118"/>
      <c r="B199" s="1773"/>
      <c r="C199" s="1773"/>
      <c r="D199" s="481"/>
      <c r="J199" s="6525"/>
      <c r="K199" s="6525"/>
      <c r="L199" s="6525"/>
      <c r="M199" s="6525"/>
      <c r="N199" s="6525"/>
      <c r="O199" s="6525"/>
      <c r="P199" s="6525"/>
      <c r="Q199" s="6525"/>
      <c r="R199" s="6525"/>
      <c r="S199" s="6525"/>
      <c r="T199" s="6525"/>
      <c r="U199" s="6525"/>
      <c r="V199" s="6525"/>
      <c r="X199" s="1292"/>
      <c r="Y199" s="1773"/>
      <c r="Z199" s="1773"/>
      <c r="AA199" s="1292"/>
      <c r="AB199" s="1292"/>
      <c r="AC199" s="1292"/>
      <c r="AD199" s="1292"/>
      <c r="AE199" s="1773"/>
      <c r="AF199" s="1292"/>
      <c r="AG199" s="1292"/>
      <c r="AH199" s="674"/>
      <c r="AI199" s="1292"/>
      <c r="AJ199" s="1292"/>
      <c r="AK199" s="1292"/>
      <c r="AL199" s="1292"/>
      <c r="AM199" s="1292"/>
      <c r="AN199" s="1769"/>
      <c r="AO199" s="696"/>
      <c r="AP199" s="696"/>
      <c r="AQ199" s="696"/>
      <c r="AR199" s="696"/>
    </row>
    <row s="11770" customFormat="1" customHeight="1" ht="11.25">
      <c r="A200" s="1118"/>
      <c r="B200" s="1773"/>
      <c r="C200" s="1773"/>
      <c r="D200" s="481"/>
      <c r="J200" s="6525"/>
      <c r="K200" s="6525"/>
      <c r="L200" s="6525"/>
      <c r="M200" s="6525"/>
      <c r="N200" s="6525"/>
      <c r="O200" s="6525"/>
      <c r="P200" s="6525"/>
      <c r="Q200" s="6525"/>
      <c r="R200" s="6525"/>
      <c r="S200" s="6525"/>
      <c r="T200" s="6525"/>
      <c r="U200" s="6525"/>
      <c r="V200" s="6525"/>
      <c r="X200" s="1292"/>
      <c r="Y200" s="1773"/>
      <c r="Z200" s="1773"/>
      <c r="AA200" s="1292"/>
      <c r="AB200" s="1292"/>
      <c r="AC200" s="1292"/>
      <c r="AD200" s="1292"/>
      <c r="AE200" s="1773"/>
      <c r="AF200" s="1292"/>
      <c r="AG200" s="1292"/>
      <c r="AH200" s="674"/>
      <c r="AI200" s="1292"/>
      <c r="AJ200" s="1292"/>
      <c r="AK200" s="1292"/>
      <c r="AL200" s="1292"/>
      <c r="AM200" s="1292"/>
      <c r="AN200" s="1769"/>
      <c r="AO200" s="696"/>
      <c r="AP200" s="696"/>
      <c r="AQ200" s="696"/>
      <c r="AR200" s="696"/>
    </row>
    <row s="11770" customFormat="1" customHeight="1" ht="11.25">
      <c r="A201" s="1118"/>
      <c r="B201" s="1773"/>
      <c r="C201" s="1773"/>
      <c r="D201" s="481"/>
      <c r="J201" s="6525"/>
      <c r="K201" s="6525"/>
      <c r="L201" s="6525"/>
      <c r="M201" s="6525"/>
      <c r="N201" s="6525"/>
      <c r="O201" s="6525"/>
      <c r="P201" s="6525"/>
      <c r="Q201" s="6525"/>
      <c r="R201" s="6525"/>
      <c r="S201" s="6525"/>
      <c r="T201" s="6525"/>
      <c r="U201" s="6525"/>
      <c r="V201" s="6525"/>
      <c r="X201" s="1292"/>
      <c r="Y201" s="1773"/>
      <c r="Z201" s="1773"/>
      <c r="AA201" s="1292"/>
      <c r="AB201" s="1292"/>
      <c r="AC201" s="1292"/>
      <c r="AD201" s="1292"/>
      <c r="AE201" s="1773"/>
      <c r="AF201" s="1292"/>
      <c r="AG201" s="1292"/>
      <c r="AH201" s="674"/>
      <c r="AI201" s="1292"/>
      <c r="AJ201" s="1292"/>
      <c r="AK201" s="1292"/>
      <c r="AL201" s="1292"/>
      <c r="AM201" s="1292"/>
      <c r="AN201" s="1769"/>
      <c r="AO201" s="696"/>
      <c r="AP201" s="696"/>
      <c r="AQ201" s="696"/>
      <c r="AR201" s="696"/>
    </row>
    <row s="11770" customFormat="1" customHeight="1" ht="11.25">
      <c r="A202" s="1118"/>
      <c r="B202" s="1773"/>
      <c r="C202" s="1773"/>
      <c r="D202" s="481"/>
      <c r="J202" s="6525"/>
      <c r="K202" s="6525"/>
      <c r="L202" s="6525"/>
      <c r="M202" s="6525"/>
      <c r="N202" s="6525"/>
      <c r="O202" s="6525"/>
      <c r="P202" s="6525"/>
      <c r="Q202" s="6525"/>
      <c r="R202" s="6525"/>
      <c r="S202" s="6525"/>
      <c r="T202" s="6525"/>
      <c r="U202" s="6525"/>
      <c r="V202" s="6525"/>
      <c r="X202" s="1292"/>
      <c r="Y202" s="1773"/>
      <c r="Z202" s="1773"/>
      <c r="AA202" s="1292"/>
      <c r="AB202" s="1292"/>
      <c r="AC202" s="1292"/>
      <c r="AD202" s="1292"/>
      <c r="AE202" s="1773"/>
      <c r="AF202" s="1292"/>
      <c r="AG202" s="1292"/>
      <c r="AH202" s="674"/>
      <c r="AI202" s="1292"/>
      <c r="AJ202" s="1292"/>
      <c r="AK202" s="1292"/>
      <c r="AL202" s="1292"/>
      <c r="AM202" s="1292"/>
      <c r="AN202" s="1769"/>
      <c r="AO202" s="696"/>
      <c r="AP202" s="696"/>
      <c r="AQ202" s="696"/>
      <c r="AR202" s="696"/>
    </row>
    <row s="11770" customFormat="1" customHeight="1" ht="11.25">
      <c r="A203" s="1118"/>
      <c r="B203" s="1773"/>
      <c r="C203" s="1773"/>
      <c r="D203" s="481"/>
      <c r="J203" s="6525"/>
      <c r="K203" s="6525"/>
      <c r="L203" s="6525"/>
      <c r="M203" s="6525"/>
      <c r="N203" s="6525"/>
      <c r="O203" s="6525"/>
      <c r="P203" s="6525"/>
      <c r="Q203" s="6525"/>
      <c r="R203" s="6525"/>
      <c r="S203" s="6525"/>
      <c r="T203" s="6525"/>
      <c r="U203" s="6525"/>
      <c r="V203" s="6525"/>
      <c r="X203" s="1292"/>
      <c r="Y203" s="1773"/>
      <c r="Z203" s="1773"/>
      <c r="AA203" s="1292"/>
      <c r="AB203" s="1292"/>
      <c r="AC203" s="1292"/>
      <c r="AD203" s="1292"/>
      <c r="AE203" s="1773"/>
      <c r="AF203" s="1292"/>
      <c r="AG203" s="1292"/>
      <c r="AH203" s="674"/>
      <c r="AI203" s="1292"/>
      <c r="AJ203" s="1292"/>
      <c r="AK203" s="1292"/>
      <c r="AL203" s="1292"/>
      <c r="AM203" s="1292"/>
      <c r="AN203" s="1769"/>
      <c r="AO203" s="696"/>
      <c r="AP203" s="696"/>
      <c r="AQ203" s="696"/>
      <c r="AR203" s="696"/>
    </row>
    <row s="11770" customFormat="1" customHeight="1" ht="11.25">
      <c r="A204" s="1118"/>
      <c r="B204" s="1773"/>
      <c r="C204" s="1773"/>
      <c r="D204" s="481"/>
      <c r="J204" s="6525"/>
      <c r="K204" s="6525"/>
      <c r="L204" s="6525"/>
      <c r="M204" s="6525"/>
      <c r="N204" s="6525"/>
      <c r="O204" s="6525"/>
      <c r="P204" s="6525"/>
      <c r="Q204" s="6525"/>
      <c r="R204" s="6525"/>
      <c r="S204" s="6525"/>
      <c r="T204" s="6525"/>
      <c r="U204" s="6525"/>
      <c r="V204" s="6525"/>
      <c r="X204" s="1292"/>
      <c r="Y204" s="1773"/>
      <c r="Z204" s="1773"/>
      <c r="AA204" s="1292"/>
      <c r="AB204" s="1292"/>
      <c r="AC204" s="1292"/>
      <c r="AD204" s="1292"/>
      <c r="AE204" s="1773"/>
      <c r="AF204" s="1292"/>
      <c r="AG204" s="1292"/>
      <c r="AH204" s="674"/>
      <c r="AI204" s="1292"/>
      <c r="AJ204" s="1292"/>
      <c r="AK204" s="1292"/>
      <c r="AL204" s="1292"/>
      <c r="AM204" s="1292"/>
      <c r="AN204" s="1769"/>
      <c r="AO204" s="696"/>
      <c r="AP204" s="696"/>
      <c r="AQ204" s="696"/>
      <c r="AR204" s="696"/>
    </row>
    <row s="11770" customFormat="1" customHeight="1" ht="11.25">
      <c r="A205" s="1118"/>
      <c r="B205" s="1773"/>
      <c r="C205" s="1773"/>
      <c r="D205" s="481"/>
      <c r="J205" s="6525"/>
      <c r="K205" s="6525"/>
      <c r="L205" s="6525"/>
      <c r="M205" s="6525"/>
      <c r="N205" s="6525"/>
      <c r="O205" s="6525"/>
      <c r="P205" s="6525"/>
      <c r="Q205" s="6525"/>
      <c r="R205" s="6525"/>
      <c r="S205" s="6525"/>
      <c r="T205" s="6525"/>
      <c r="U205" s="6525"/>
      <c r="V205" s="6525"/>
      <c r="X205" s="1292"/>
      <c r="Y205" s="1773"/>
      <c r="Z205" s="1773"/>
      <c r="AA205" s="1292"/>
      <c r="AB205" s="1292"/>
      <c r="AC205" s="1292"/>
      <c r="AD205" s="1292"/>
      <c r="AE205" s="1773"/>
      <c r="AF205" s="1292"/>
      <c r="AG205" s="1292"/>
      <c r="AH205" s="674"/>
      <c r="AI205" s="1292"/>
      <c r="AJ205" s="1292"/>
      <c r="AK205" s="1292"/>
      <c r="AL205" s="1292"/>
      <c r="AM205" s="1292"/>
      <c r="AN205" s="1769"/>
      <c r="AO205" s="696"/>
      <c r="AP205" s="696"/>
      <c r="AQ205" s="696"/>
      <c r="AR205" s="696"/>
    </row>
    <row s="11770" customFormat="1" customHeight="1" ht="11.25">
      <c r="A206" s="1118"/>
      <c r="B206" s="1773"/>
      <c r="C206" s="1773"/>
      <c r="D206" s="481"/>
      <c r="J206" s="6525"/>
      <c r="K206" s="6525"/>
      <c r="L206" s="6525"/>
      <c r="M206" s="6525"/>
      <c r="N206" s="6525"/>
      <c r="O206" s="6525"/>
      <c r="P206" s="6525"/>
      <c r="Q206" s="6525"/>
      <c r="R206" s="6525"/>
      <c r="S206" s="6525"/>
      <c r="T206" s="6525"/>
      <c r="U206" s="6525"/>
      <c r="V206" s="6525"/>
      <c r="X206" s="1292"/>
      <c r="Y206" s="1773"/>
      <c r="Z206" s="1773"/>
      <c r="AA206" s="1292"/>
      <c r="AB206" s="1292"/>
      <c r="AC206" s="1292"/>
      <c r="AD206" s="1292"/>
      <c r="AE206" s="1773"/>
      <c r="AF206" s="1292"/>
      <c r="AG206" s="1292"/>
      <c r="AH206" s="674"/>
      <c r="AI206" s="1292"/>
      <c r="AJ206" s="1292"/>
      <c r="AK206" s="1292"/>
      <c r="AL206" s="1292"/>
      <c r="AM206" s="1292"/>
      <c r="AN206" s="1769"/>
      <c r="AO206" s="696"/>
      <c r="AP206" s="696"/>
      <c r="AQ206" s="696"/>
      <c r="AR206" s="696"/>
    </row>
    <row s="11770" customFormat="1" customHeight="1" ht="11.25">
      <c r="A207" s="1118"/>
      <c r="B207" s="1773"/>
      <c r="C207" s="1773"/>
      <c r="D207" s="481"/>
      <c r="J207" s="6525"/>
      <c r="K207" s="6525"/>
      <c r="L207" s="6525"/>
      <c r="M207" s="6525"/>
      <c r="N207" s="6525"/>
      <c r="O207" s="6525"/>
      <c r="P207" s="6525"/>
      <c r="Q207" s="6525"/>
      <c r="R207" s="6525"/>
      <c r="S207" s="6525"/>
      <c r="T207" s="6525"/>
      <c r="U207" s="6525"/>
      <c r="V207" s="6525"/>
      <c r="X207" s="1292"/>
      <c r="Y207" s="1773"/>
      <c r="Z207" s="1773"/>
      <c r="AA207" s="1292"/>
      <c r="AB207" s="1292"/>
      <c r="AC207" s="1292"/>
      <c r="AD207" s="1292"/>
      <c r="AE207" s="1773"/>
      <c r="AF207" s="1292"/>
      <c r="AG207" s="1292"/>
      <c r="AH207" s="674"/>
      <c r="AI207" s="1292"/>
      <c r="AJ207" s="1292"/>
      <c r="AK207" s="1292"/>
      <c r="AL207" s="1292"/>
      <c r="AM207" s="1292"/>
      <c r="AN207" s="1769"/>
      <c r="AO207" s="696"/>
      <c r="AP207" s="696"/>
      <c r="AQ207" s="696"/>
      <c r="AR207" s="696"/>
    </row>
    <row s="11770" customFormat="1" customHeight="1" ht="11.25">
      <c r="A208" s="1118"/>
      <c r="B208" s="1773"/>
      <c r="C208" s="1773"/>
      <c r="D208" s="481"/>
      <c r="J208" s="6525"/>
      <c r="K208" s="6525"/>
      <c r="L208" s="6525"/>
      <c r="M208" s="6525"/>
      <c r="N208" s="6525"/>
      <c r="O208" s="6525"/>
      <c r="P208" s="6525"/>
      <c r="Q208" s="6525"/>
      <c r="R208" s="6525"/>
      <c r="S208" s="6525"/>
      <c r="T208" s="6525"/>
      <c r="U208" s="6525"/>
      <c r="V208" s="6525"/>
      <c r="X208" s="1292"/>
      <c r="Y208" s="1773"/>
      <c r="Z208" s="1773"/>
      <c r="AA208" s="1292"/>
      <c r="AB208" s="1292"/>
      <c r="AC208" s="1292"/>
      <c r="AD208" s="1292"/>
      <c r="AE208" s="1773"/>
      <c r="AF208" s="1292"/>
      <c r="AG208" s="1292"/>
      <c r="AH208" s="674"/>
      <c r="AI208" s="1292"/>
      <c r="AJ208" s="1292"/>
      <c r="AK208" s="1292"/>
      <c r="AL208" s="1292"/>
      <c r="AM208" s="1292"/>
      <c r="AN208" s="1769"/>
      <c r="AO208" s="696"/>
      <c r="AP208" s="696"/>
      <c r="AQ208" s="696"/>
      <c r="AR208" s="696"/>
    </row>
    <row s="11770" customFormat="1" customHeight="1" ht="11.25">
      <c r="A209" s="1118"/>
      <c r="B209" s="1773"/>
      <c r="C209" s="1773"/>
      <c r="D209" s="481"/>
      <c r="J209" s="6525"/>
      <c r="K209" s="6525"/>
      <c r="L209" s="6525"/>
      <c r="M209" s="6525"/>
      <c r="N209" s="6525"/>
      <c r="O209" s="6525"/>
      <c r="P209" s="6525"/>
      <c r="Q209" s="6525"/>
      <c r="R209" s="6525"/>
      <c r="S209" s="6525"/>
      <c r="T209" s="6525"/>
      <c r="U209" s="6525"/>
      <c r="V209" s="6525"/>
      <c r="X209" s="1292"/>
      <c r="Y209" s="1773"/>
      <c r="Z209" s="1773"/>
      <c r="AA209" s="1292"/>
      <c r="AB209" s="1292"/>
      <c r="AC209" s="1292"/>
      <c r="AD209" s="1292"/>
      <c r="AE209" s="1773"/>
      <c r="AF209" s="1292"/>
      <c r="AG209" s="1292"/>
      <c r="AH209" s="674"/>
      <c r="AI209" s="1292"/>
      <c r="AJ209" s="1292"/>
      <c r="AK209" s="1292"/>
      <c r="AL209" s="1292"/>
      <c r="AM209" s="1292"/>
      <c r="AN209" s="1769"/>
      <c r="AO209" s="696"/>
      <c r="AP209" s="696"/>
      <c r="AQ209" s="696"/>
      <c r="AR209" s="696"/>
    </row>
    <row s="11770" customFormat="1" customHeight="1" ht="11.25">
      <c r="A210" s="1118"/>
      <c r="B210" s="1773"/>
      <c r="C210" s="1773"/>
      <c r="D210" s="481"/>
      <c r="J210" s="6525"/>
      <c r="K210" s="6525"/>
      <c r="L210" s="6525"/>
      <c r="M210" s="6525"/>
      <c r="N210" s="6525"/>
      <c r="O210" s="6525"/>
      <c r="P210" s="6525"/>
      <c r="Q210" s="6525"/>
      <c r="R210" s="6525"/>
      <c r="S210" s="6525"/>
      <c r="T210" s="6525"/>
      <c r="U210" s="6525"/>
      <c r="V210" s="6525"/>
      <c r="X210" s="1292"/>
      <c r="Y210" s="1773"/>
      <c r="Z210" s="1773"/>
      <c r="AA210" s="1292"/>
      <c r="AB210" s="1292"/>
      <c r="AC210" s="1292"/>
      <c r="AD210" s="1292"/>
      <c r="AE210" s="1773"/>
      <c r="AF210" s="1292"/>
      <c r="AG210" s="1292"/>
      <c r="AH210" s="674"/>
      <c r="AI210" s="1292"/>
      <c r="AJ210" s="1292"/>
      <c r="AK210" s="1292"/>
      <c r="AL210" s="1292"/>
      <c r="AM210" s="1292"/>
      <c r="AN210" s="1769"/>
      <c r="AO210" s="696"/>
      <c r="AP210" s="696"/>
      <c r="AQ210" s="696"/>
      <c r="AR210" s="696"/>
    </row>
    <row s="11770" customFormat="1" customHeight="1" ht="11.25">
      <c r="A211" s="1118"/>
      <c r="B211" s="1773"/>
      <c r="C211" s="1773"/>
      <c r="D211" s="481"/>
      <c r="J211" s="6525"/>
      <c r="K211" s="6525"/>
      <c r="L211" s="6525"/>
      <c r="M211" s="6525"/>
      <c r="N211" s="6525"/>
      <c r="O211" s="6525"/>
      <c r="P211" s="6525"/>
      <c r="Q211" s="6525"/>
      <c r="R211" s="6525"/>
      <c r="S211" s="6525"/>
      <c r="T211" s="6525"/>
      <c r="U211" s="6525"/>
      <c r="V211" s="6525"/>
      <c r="X211" s="1292"/>
      <c r="Y211" s="1773"/>
      <c r="Z211" s="1773"/>
      <c r="AA211" s="1292"/>
      <c r="AB211" s="1292"/>
      <c r="AC211" s="1292"/>
      <c r="AD211" s="1292"/>
      <c r="AE211" s="1773"/>
      <c r="AF211" s="1292"/>
      <c r="AG211" s="1292"/>
      <c r="AH211" s="674"/>
      <c r="AI211" s="1292"/>
      <c r="AJ211" s="1292"/>
      <c r="AK211" s="1292"/>
      <c r="AL211" s="1292"/>
      <c r="AM211" s="1292"/>
      <c r="AN211" s="1769"/>
      <c r="AO211" s="696"/>
      <c r="AP211" s="696"/>
      <c r="AQ211" s="696"/>
      <c r="AR211" s="696"/>
    </row>
    <row s="11770" customFormat="1" customHeight="1" ht="11.25">
      <c r="A212" s="1118"/>
      <c r="B212" s="1773"/>
      <c r="C212" s="1773"/>
      <c r="D212" s="481"/>
      <c r="J212" s="6525"/>
      <c r="K212" s="6525"/>
      <c r="L212" s="6525"/>
      <c r="M212" s="6525"/>
      <c r="N212" s="6525"/>
      <c r="O212" s="6525"/>
      <c r="P212" s="6525"/>
      <c r="Q212" s="6525"/>
      <c r="R212" s="6525"/>
      <c r="S212" s="6525"/>
      <c r="T212" s="6525"/>
      <c r="U212" s="6525"/>
      <c r="V212" s="6525"/>
      <c r="X212" s="1292"/>
      <c r="Y212" s="1773"/>
      <c r="Z212" s="1773"/>
      <c r="AA212" s="1292"/>
      <c r="AB212" s="1292"/>
      <c r="AC212" s="1292"/>
      <c r="AD212" s="1292"/>
      <c r="AE212" s="1773"/>
      <c r="AF212" s="1292"/>
      <c r="AG212" s="1292"/>
      <c r="AH212" s="674"/>
      <c r="AI212" s="1292"/>
      <c r="AJ212" s="1292"/>
      <c r="AK212" s="1292"/>
      <c r="AL212" s="1292"/>
      <c r="AM212" s="1292"/>
      <c r="AN212" s="1769"/>
      <c r="AO212" s="696"/>
      <c r="AP212" s="696"/>
      <c r="AQ212" s="696"/>
      <c r="AR212" s="696"/>
    </row>
    <row s="11770" customFormat="1" customHeight="1" ht="11.25">
      <c r="A213" s="1118"/>
      <c r="B213" s="1773"/>
      <c r="C213" s="1773"/>
      <c r="D213" s="481"/>
      <c r="J213" s="6525"/>
      <c r="K213" s="6525"/>
      <c r="L213" s="6525"/>
      <c r="M213" s="6525"/>
      <c r="N213" s="6525"/>
      <c r="O213" s="6525"/>
      <c r="P213" s="6525"/>
      <c r="Q213" s="6525"/>
      <c r="R213" s="6525"/>
      <c r="S213" s="6525"/>
      <c r="T213" s="6525"/>
      <c r="U213" s="6525"/>
      <c r="V213" s="6525"/>
      <c r="X213" s="1292"/>
      <c r="Y213" s="1773"/>
      <c r="Z213" s="1773"/>
      <c r="AA213" s="1292"/>
      <c r="AB213" s="1292"/>
      <c r="AC213" s="1292"/>
      <c r="AD213" s="1292"/>
      <c r="AE213" s="1773"/>
      <c r="AF213" s="1292"/>
      <c r="AG213" s="1292"/>
      <c r="AH213" s="674"/>
      <c r="AI213" s="1292"/>
      <c r="AJ213" s="1292"/>
      <c r="AK213" s="1292"/>
      <c r="AL213" s="1292"/>
      <c r="AM213" s="1292"/>
      <c r="AN213" s="1769"/>
      <c r="AO213" s="696"/>
      <c r="AP213" s="696"/>
      <c r="AQ213" s="696"/>
      <c r="AR213" s="696"/>
    </row>
    <row s="11770" customFormat="1" customHeight="1" ht="11.25">
      <c r="A214" s="1118"/>
      <c r="B214" s="1773"/>
      <c r="C214" s="1773"/>
      <c r="D214" s="481"/>
      <c r="J214" s="6525"/>
      <c r="K214" s="6525"/>
      <c r="L214" s="6525"/>
      <c r="M214" s="6525"/>
      <c r="N214" s="6525"/>
      <c r="O214" s="6525"/>
      <c r="P214" s="6525"/>
      <c r="Q214" s="6525"/>
      <c r="R214" s="6525"/>
      <c r="S214" s="6525"/>
      <c r="T214" s="6525"/>
      <c r="U214" s="6525"/>
      <c r="V214" s="6525"/>
      <c r="X214" s="1292"/>
      <c r="Y214" s="1773"/>
      <c r="Z214" s="1773"/>
      <c r="AA214" s="1292"/>
      <c r="AB214" s="1292"/>
      <c r="AC214" s="1292"/>
      <c r="AD214" s="1292"/>
      <c r="AE214" s="1773"/>
      <c r="AF214" s="1292"/>
      <c r="AG214" s="1292"/>
      <c r="AH214" s="674"/>
      <c r="AI214" s="1292"/>
      <c r="AJ214" s="1292"/>
      <c r="AK214" s="1292"/>
      <c r="AL214" s="1292"/>
      <c r="AM214" s="1292"/>
      <c r="AN214" s="1769"/>
      <c r="AO214" s="696"/>
      <c r="AP214" s="696"/>
      <c r="AQ214" s="696"/>
      <c r="AR214" s="696"/>
    </row>
    <row s="11770" customFormat="1" customHeight="1" ht="11.25">
      <c r="A215" s="1118"/>
      <c r="B215" s="1773"/>
      <c r="C215" s="1773"/>
      <c r="D215" s="481"/>
      <c r="J215" s="6525"/>
      <c r="K215" s="6525"/>
      <c r="L215" s="6525"/>
      <c r="M215" s="6525"/>
      <c r="N215" s="6525"/>
      <c r="O215" s="6525"/>
      <c r="P215" s="6525"/>
      <c r="Q215" s="6525"/>
      <c r="R215" s="6525"/>
      <c r="S215" s="6525"/>
      <c r="T215" s="6525"/>
      <c r="U215" s="6525"/>
      <c r="V215" s="6525"/>
      <c r="X215" s="1292"/>
      <c r="Y215" s="1773"/>
      <c r="Z215" s="1773"/>
      <c r="AA215" s="1292"/>
      <c r="AB215" s="1292"/>
      <c r="AC215" s="1292"/>
      <c r="AD215" s="1292"/>
      <c r="AE215" s="1773"/>
      <c r="AF215" s="1292"/>
      <c r="AG215" s="1292"/>
      <c r="AH215" s="674"/>
      <c r="AI215" s="1292"/>
      <c r="AJ215" s="1292"/>
      <c r="AK215" s="1292"/>
      <c r="AL215" s="1292"/>
      <c r="AM215" s="1292"/>
      <c r="AN215" s="1769"/>
      <c r="AO215" s="696"/>
      <c r="AP215" s="696"/>
      <c r="AQ215" s="696"/>
      <c r="AR215" s="696"/>
    </row>
    <row s="11770" customFormat="1" customHeight="1" ht="11.25">
      <c r="A216" s="1118"/>
      <c r="B216" s="1773"/>
      <c r="C216" s="1773"/>
      <c r="D216" s="481"/>
      <c r="J216" s="6525"/>
      <c r="K216" s="6525"/>
      <c r="L216" s="6525"/>
      <c r="M216" s="6525"/>
      <c r="N216" s="6525"/>
      <c r="O216" s="6525"/>
      <c r="P216" s="6525"/>
      <c r="Q216" s="6525"/>
      <c r="R216" s="6525"/>
      <c r="S216" s="6525"/>
      <c r="T216" s="6525"/>
      <c r="U216" s="6525"/>
      <c r="V216" s="6525"/>
      <c r="X216" s="1292"/>
      <c r="Y216" s="1773"/>
      <c r="Z216" s="1773"/>
      <c r="AA216" s="1292"/>
      <c r="AB216" s="1292"/>
      <c r="AC216" s="1292"/>
      <c r="AD216" s="1292"/>
      <c r="AE216" s="1773"/>
      <c r="AF216" s="1292"/>
      <c r="AG216" s="1292"/>
      <c r="AH216" s="674"/>
      <c r="AI216" s="1292"/>
      <c r="AJ216" s="1292"/>
      <c r="AK216" s="1292"/>
      <c r="AL216" s="1292"/>
      <c r="AM216" s="1292"/>
      <c r="AN216" s="1769"/>
      <c r="AO216" s="696"/>
      <c r="AP216" s="696"/>
      <c r="AQ216" s="696"/>
      <c r="AR216" s="696"/>
    </row>
    <row s="11770" customFormat="1" customHeight="1" ht="11.25">
      <c r="A217" s="1118"/>
      <c r="B217" s="1773"/>
      <c r="C217" s="1773"/>
      <c r="D217" s="481"/>
      <c r="J217" s="6525"/>
      <c r="K217" s="6525"/>
      <c r="L217" s="6525"/>
      <c r="M217" s="6525"/>
      <c r="N217" s="6525"/>
      <c r="O217" s="6525"/>
      <c r="P217" s="6525"/>
      <c r="Q217" s="6525"/>
      <c r="R217" s="6525"/>
      <c r="S217" s="6525"/>
      <c r="T217" s="6525"/>
      <c r="U217" s="6525"/>
      <c r="V217" s="6525"/>
      <c r="X217" s="1292"/>
      <c r="Y217" s="1773"/>
      <c r="Z217" s="1773"/>
      <c r="AA217" s="1292"/>
      <c r="AB217" s="1292"/>
      <c r="AC217" s="1292"/>
      <c r="AD217" s="1292"/>
      <c r="AE217" s="1773"/>
      <c r="AF217" s="1292"/>
      <c r="AG217" s="1292"/>
      <c r="AH217" s="674"/>
      <c r="AI217" s="1292"/>
      <c r="AJ217" s="1292"/>
      <c r="AK217" s="1292"/>
      <c r="AL217" s="1292"/>
      <c r="AM217" s="1292"/>
      <c r="AN217" s="1769"/>
      <c r="AO217" s="696"/>
      <c r="AP217" s="696"/>
      <c r="AQ217" s="696"/>
      <c r="AR217" s="696"/>
    </row>
    <row s="11770" customFormat="1" customHeight="1" ht="11.25">
      <c r="A218" s="1118"/>
      <c r="B218" s="1773"/>
      <c r="C218" s="1773"/>
      <c r="D218" s="481"/>
      <c r="J218" s="6525"/>
      <c r="K218" s="6525"/>
      <c r="L218" s="6525"/>
      <c r="M218" s="6525"/>
      <c r="N218" s="6525"/>
      <c r="O218" s="6525"/>
      <c r="P218" s="6525"/>
      <c r="Q218" s="6525"/>
      <c r="R218" s="6525"/>
      <c r="S218" s="6525"/>
      <c r="T218" s="6525"/>
      <c r="U218" s="6525"/>
      <c r="V218" s="6525"/>
      <c r="X218" s="1292"/>
      <c r="Y218" s="1773"/>
      <c r="Z218" s="1773"/>
      <c r="AA218" s="1292"/>
      <c r="AB218" s="1292"/>
      <c r="AC218" s="1292"/>
      <c r="AD218" s="1292"/>
      <c r="AE218" s="1773"/>
      <c r="AF218" s="1292"/>
      <c r="AG218" s="1292"/>
      <c r="AH218" s="674"/>
      <c r="AI218" s="1292"/>
      <c r="AJ218" s="1292"/>
      <c r="AK218" s="1292"/>
      <c r="AL218" s="1292"/>
      <c r="AM218" s="1292"/>
      <c r="AN218" s="1769"/>
      <c r="AO218" s="696"/>
      <c r="AP218" s="696"/>
      <c r="AQ218" s="696"/>
      <c r="AR218" s="696"/>
    </row>
    <row s="11770" customFormat="1" customHeight="1" ht="11.25">
      <c r="A219" s="1118"/>
      <c r="B219" s="1773"/>
      <c r="C219" s="1773"/>
      <c r="D219" s="481"/>
      <c r="J219" s="6525"/>
      <c r="K219" s="6525"/>
      <c r="L219" s="6525"/>
      <c r="M219" s="6525"/>
      <c r="N219" s="6525"/>
      <c r="O219" s="6525"/>
      <c r="P219" s="6525"/>
      <c r="Q219" s="6525"/>
      <c r="R219" s="6525"/>
      <c r="S219" s="6525"/>
      <c r="T219" s="6525"/>
      <c r="U219" s="6525"/>
      <c r="V219" s="6525"/>
      <c r="X219" s="1292"/>
      <c r="Y219" s="1773"/>
      <c r="Z219" s="1773"/>
      <c r="AA219" s="1292"/>
      <c r="AB219" s="1292"/>
      <c r="AC219" s="1292"/>
      <c r="AD219" s="1292"/>
      <c r="AE219" s="1773"/>
      <c r="AF219" s="1292"/>
      <c r="AG219" s="1292"/>
      <c r="AH219" s="674"/>
      <c r="AI219" s="1292"/>
      <c r="AJ219" s="1292"/>
      <c r="AK219" s="1292"/>
      <c r="AL219" s="1292"/>
      <c r="AM219" s="1292"/>
      <c r="AN219" s="1769"/>
      <c r="AO219" s="696"/>
      <c r="AP219" s="696"/>
      <c r="AQ219" s="696"/>
      <c r="AR219" s="696"/>
    </row>
    <row s="11770" customFormat="1" customHeight="1" ht="11.25">
      <c r="A220" s="1118"/>
      <c r="B220" s="1773"/>
      <c r="C220" s="1773"/>
      <c r="D220" s="481"/>
      <c r="J220" s="6525"/>
      <c r="K220" s="6525"/>
      <c r="L220" s="6525"/>
      <c r="M220" s="6525"/>
      <c r="N220" s="6525"/>
      <c r="O220" s="6525"/>
      <c r="P220" s="6525"/>
      <c r="Q220" s="6525"/>
      <c r="R220" s="6525"/>
      <c r="S220" s="6525"/>
      <c r="T220" s="6525"/>
      <c r="U220" s="6525"/>
      <c r="V220" s="6525"/>
      <c r="X220" s="1292"/>
      <c r="Y220" s="1773"/>
      <c r="Z220" s="1773"/>
      <c r="AA220" s="1292"/>
      <c r="AB220" s="1292"/>
      <c r="AC220" s="1292"/>
      <c r="AD220" s="1292"/>
      <c r="AE220" s="1773"/>
      <c r="AF220" s="1292"/>
      <c r="AG220" s="1292"/>
      <c r="AH220" s="674"/>
      <c r="AI220" s="1292"/>
      <c r="AJ220" s="1292"/>
      <c r="AK220" s="1292"/>
      <c r="AL220" s="1292"/>
      <c r="AM220" s="1292"/>
      <c r="AN220" s="1769"/>
      <c r="AO220" s="696"/>
      <c r="AP220" s="696"/>
      <c r="AQ220" s="696"/>
      <c r="AR220" s="696"/>
    </row>
    <row s="11770" customFormat="1" customHeight="1" ht="11.25">
      <c r="A221" s="1118"/>
      <c r="B221" s="1773"/>
      <c r="C221" s="1773"/>
      <c r="D221" s="481"/>
      <c r="J221" s="6525"/>
      <c r="K221" s="6525"/>
      <c r="L221" s="6525"/>
      <c r="M221" s="6525"/>
      <c r="N221" s="6525"/>
      <c r="O221" s="6525"/>
      <c r="P221" s="6525"/>
      <c r="Q221" s="6525"/>
      <c r="R221" s="6525"/>
      <c r="S221" s="6525"/>
      <c r="T221" s="6525"/>
      <c r="U221" s="6525"/>
      <c r="V221" s="6525"/>
      <c r="X221" s="1292"/>
      <c r="Y221" s="1773"/>
      <c r="Z221" s="1773"/>
      <c r="AA221" s="1292"/>
      <c r="AB221" s="1292"/>
      <c r="AC221" s="1292"/>
      <c r="AD221" s="1292"/>
      <c r="AE221" s="1773"/>
      <c r="AF221" s="1292"/>
      <c r="AG221" s="1292"/>
      <c r="AH221" s="674"/>
      <c r="AI221" s="1292"/>
      <c r="AJ221" s="1292"/>
      <c r="AK221" s="1292"/>
      <c r="AL221" s="1292"/>
      <c r="AM221" s="1292"/>
      <c r="AN221" s="1769"/>
      <c r="AO221" s="696"/>
      <c r="AP221" s="696"/>
      <c r="AQ221" s="696"/>
      <c r="AR221" s="696"/>
    </row>
    <row s="11770" customFormat="1" customHeight="1" ht="11.25">
      <c r="A222" s="1118"/>
      <c r="B222" s="1773"/>
      <c r="C222" s="1773"/>
      <c r="D222" s="481"/>
      <c r="J222" s="6525"/>
      <c r="K222" s="6525"/>
      <c r="L222" s="6525"/>
      <c r="M222" s="6525"/>
      <c r="N222" s="6525"/>
      <c r="O222" s="6525"/>
      <c r="P222" s="6525"/>
      <c r="Q222" s="6525"/>
      <c r="R222" s="6525"/>
      <c r="S222" s="6525"/>
      <c r="T222" s="6525"/>
      <c r="U222" s="6525"/>
      <c r="V222" s="6525"/>
      <c r="X222" s="1292"/>
      <c r="Y222" s="1773"/>
      <c r="Z222" s="1773"/>
      <c r="AA222" s="1292"/>
      <c r="AB222" s="1292"/>
      <c r="AC222" s="1292"/>
      <c r="AD222" s="1292"/>
      <c r="AE222" s="1773"/>
      <c r="AF222" s="1292"/>
      <c r="AG222" s="1292"/>
      <c r="AH222" s="674"/>
      <c r="AI222" s="1292"/>
      <c r="AJ222" s="1292"/>
      <c r="AK222" s="1292"/>
      <c r="AL222" s="1292"/>
      <c r="AM222" s="1292"/>
      <c r="AN222" s="1769"/>
      <c r="AO222" s="696"/>
      <c r="AP222" s="696"/>
      <c r="AQ222" s="696"/>
      <c r="AR222" s="696"/>
    </row>
    <row s="11770" customFormat="1" customHeight="1" ht="11.25">
      <c r="A223" s="1118"/>
      <c r="B223" s="1773"/>
      <c r="C223" s="1773"/>
      <c r="D223" s="481"/>
      <c r="J223" s="6525"/>
      <c r="K223" s="6525"/>
      <c r="L223" s="6525"/>
      <c r="M223" s="6525"/>
      <c r="N223" s="6525"/>
      <c r="O223" s="6525"/>
      <c r="P223" s="6525"/>
      <c r="Q223" s="6525"/>
      <c r="R223" s="6525"/>
      <c r="S223" s="6525"/>
      <c r="T223" s="6525"/>
      <c r="U223" s="6525"/>
      <c r="V223" s="6525"/>
      <c r="X223" s="1292"/>
      <c r="Y223" s="1773"/>
      <c r="Z223" s="1773"/>
      <c r="AA223" s="1292"/>
      <c r="AB223" s="1292"/>
      <c r="AC223" s="1292"/>
      <c r="AD223" s="1292"/>
      <c r="AE223" s="1773"/>
      <c r="AF223" s="1292"/>
      <c r="AG223" s="1292"/>
      <c r="AH223" s="674"/>
      <c r="AI223" s="1292"/>
      <c r="AJ223" s="1292"/>
      <c r="AK223" s="1292"/>
      <c r="AL223" s="1292"/>
      <c r="AM223" s="1292"/>
      <c r="AN223" s="1769"/>
      <c r="AO223" s="696"/>
      <c r="AP223" s="696"/>
      <c r="AQ223" s="696"/>
      <c r="AR223" s="696"/>
    </row>
    <row s="11770" customFormat="1" customHeight="1" ht="11.25">
      <c r="A224" s="1118"/>
      <c r="B224" s="1773"/>
      <c r="C224" s="1773"/>
      <c r="D224" s="481"/>
      <c r="J224" s="6525"/>
      <c r="K224" s="6525"/>
      <c r="L224" s="6525"/>
      <c r="M224" s="6525"/>
      <c r="N224" s="6525"/>
      <c r="O224" s="6525"/>
      <c r="P224" s="6525"/>
      <c r="Q224" s="6525"/>
      <c r="R224" s="6525"/>
      <c r="S224" s="6525"/>
      <c r="T224" s="6525"/>
      <c r="U224" s="6525"/>
      <c r="V224" s="6525"/>
      <c r="X224" s="1292"/>
      <c r="Y224" s="1773"/>
      <c r="Z224" s="1773"/>
      <c r="AA224" s="1292"/>
      <c r="AB224" s="1292"/>
      <c r="AC224" s="1292"/>
      <c r="AD224" s="1292"/>
      <c r="AE224" s="1773"/>
      <c r="AF224" s="1292"/>
      <c r="AG224" s="1292"/>
      <c r="AH224" s="674"/>
      <c r="AI224" s="1292"/>
      <c r="AJ224" s="1292"/>
      <c r="AK224" s="1292"/>
      <c r="AL224" s="1292"/>
      <c r="AM224" s="1292"/>
      <c r="AN224" s="1769"/>
      <c r="AO224" s="696"/>
      <c r="AP224" s="696"/>
      <c r="AQ224" s="696"/>
      <c r="AR224" s="696"/>
    </row>
    <row s="11770" customFormat="1" customHeight="1" ht="11.25">
      <c r="A225" s="1118"/>
      <c r="B225" s="1773"/>
      <c r="C225" s="1773"/>
      <c r="D225" s="481"/>
      <c r="J225" s="6525"/>
      <c r="K225" s="6525"/>
      <c r="L225" s="6525"/>
      <c r="M225" s="6525"/>
      <c r="N225" s="6525"/>
      <c r="O225" s="6525"/>
      <c r="P225" s="6525"/>
      <c r="Q225" s="6525"/>
      <c r="R225" s="6525"/>
      <c r="S225" s="6525"/>
      <c r="T225" s="6525"/>
      <c r="U225" s="6525"/>
      <c r="V225" s="6525"/>
      <c r="X225" s="1292"/>
      <c r="Y225" s="1773"/>
      <c r="Z225" s="1773"/>
      <c r="AA225" s="1292"/>
      <c r="AB225" s="1292"/>
      <c r="AC225" s="1292"/>
      <c r="AD225" s="1292"/>
      <c r="AE225" s="1773"/>
      <c r="AF225" s="1292"/>
      <c r="AG225" s="1292"/>
      <c r="AH225" s="674"/>
      <c r="AI225" s="1292"/>
      <c r="AJ225" s="1292"/>
      <c r="AK225" s="1292"/>
      <c r="AL225" s="1292"/>
      <c r="AM225" s="1292"/>
      <c r="AN225" s="1769"/>
      <c r="AO225" s="696"/>
      <c r="AP225" s="696"/>
      <c r="AQ225" s="696"/>
      <c r="AR225" s="696"/>
    </row>
    <row s="11770" customFormat="1" customHeight="1" ht="11.25">
      <c r="A226" s="1118"/>
      <c r="B226" s="1773"/>
      <c r="C226" s="1773"/>
      <c r="D226" s="481"/>
      <c r="J226" s="6525"/>
      <c r="K226" s="6525"/>
      <c r="L226" s="6525"/>
      <c r="M226" s="6525"/>
      <c r="N226" s="6525"/>
      <c r="O226" s="6525"/>
      <c r="P226" s="6525"/>
      <c r="Q226" s="6525"/>
      <c r="R226" s="6525"/>
      <c r="S226" s="6525"/>
      <c r="T226" s="6525"/>
      <c r="U226" s="6525"/>
      <c r="V226" s="6525"/>
      <c r="X226" s="1292"/>
      <c r="Y226" s="1773"/>
      <c r="Z226" s="1773"/>
      <c r="AA226" s="1292"/>
      <c r="AB226" s="1292"/>
      <c r="AC226" s="1292"/>
      <c r="AD226" s="1292"/>
      <c r="AE226" s="1773"/>
      <c r="AF226" s="1292"/>
      <c r="AG226" s="1292"/>
      <c r="AH226" s="674"/>
      <c r="AI226" s="1292"/>
      <c r="AJ226" s="1292"/>
      <c r="AK226" s="1292"/>
      <c r="AL226" s="1292"/>
      <c r="AM226" s="1292"/>
      <c r="AN226" s="1769"/>
      <c r="AO226" s="696"/>
      <c r="AP226" s="696"/>
      <c r="AQ226" s="696"/>
      <c r="AR226" s="696"/>
    </row>
    <row s="11770" customFormat="1" customHeight="1" ht="11.25">
      <c r="A227" s="1118"/>
      <c r="B227" s="1773"/>
      <c r="C227" s="1773"/>
      <c r="D227" s="481"/>
      <c r="J227" s="6525"/>
      <c r="K227" s="6525"/>
      <c r="L227" s="6525"/>
      <c r="M227" s="6525"/>
      <c r="N227" s="6525"/>
      <c r="O227" s="6525"/>
      <c r="P227" s="6525"/>
      <c r="Q227" s="6525"/>
      <c r="R227" s="6525"/>
      <c r="S227" s="6525"/>
      <c r="T227" s="6525"/>
      <c r="U227" s="6525"/>
      <c r="V227" s="6525"/>
      <c r="X227" s="1292"/>
      <c r="Y227" s="1773"/>
      <c r="Z227" s="1773"/>
      <c r="AA227" s="1292"/>
      <c r="AB227" s="1292"/>
      <c r="AC227" s="1292"/>
      <c r="AD227" s="1292"/>
      <c r="AE227" s="1773"/>
      <c r="AF227" s="1292"/>
      <c r="AG227" s="1292"/>
      <c r="AH227" s="674"/>
      <c r="AI227" s="1292"/>
      <c r="AJ227" s="1292"/>
      <c r="AK227" s="1292"/>
      <c r="AL227" s="1292"/>
      <c r="AM227" s="1292"/>
      <c r="AN227" s="1769"/>
      <c r="AO227" s="696"/>
      <c r="AP227" s="696"/>
      <c r="AQ227" s="696"/>
      <c r="AR227" s="696"/>
    </row>
    <row s="11770" customFormat="1" customHeight="1" ht="11.25">
      <c r="A228" s="1118"/>
      <c r="B228" s="1773"/>
      <c r="C228" s="1773"/>
      <c r="D228" s="481"/>
      <c r="J228" s="6525"/>
      <c r="K228" s="6525"/>
      <c r="L228" s="6525"/>
      <c r="M228" s="6525"/>
      <c r="N228" s="6525"/>
      <c r="O228" s="6525"/>
      <c r="P228" s="6525"/>
      <c r="Q228" s="6525"/>
      <c r="R228" s="6525"/>
      <c r="S228" s="6525"/>
      <c r="T228" s="6525"/>
      <c r="U228" s="6525"/>
      <c r="V228" s="6525"/>
      <c r="X228" s="1292"/>
      <c r="Y228" s="1773"/>
      <c r="Z228" s="1773"/>
      <c r="AA228" s="1292"/>
      <c r="AB228" s="1292"/>
      <c r="AC228" s="1292"/>
      <c r="AD228" s="1292"/>
      <c r="AE228" s="1773"/>
      <c r="AF228" s="1292"/>
      <c r="AG228" s="1292"/>
      <c r="AH228" s="674"/>
      <c r="AI228" s="1292"/>
      <c r="AJ228" s="1292"/>
      <c r="AK228" s="1292"/>
      <c r="AL228" s="1292"/>
      <c r="AM228" s="1292"/>
      <c r="AN228" s="1769"/>
      <c r="AO228" s="696"/>
      <c r="AP228" s="696"/>
      <c r="AQ228" s="696"/>
      <c r="AR228" s="696"/>
    </row>
    <row s="11770" customFormat="1" customHeight="1" ht="11.25">
      <c r="A229" s="1118"/>
      <c r="B229" s="1773"/>
      <c r="C229" s="1773"/>
      <c r="D229" s="481"/>
      <c r="J229" s="6525"/>
      <c r="K229" s="6525"/>
      <c r="L229" s="6525"/>
      <c r="M229" s="6525"/>
      <c r="N229" s="6525"/>
      <c r="O229" s="6525"/>
      <c r="P229" s="6525"/>
      <c r="Q229" s="6525"/>
      <c r="R229" s="6525"/>
      <c r="S229" s="6525"/>
      <c r="T229" s="6525"/>
      <c r="U229" s="6525"/>
      <c r="V229" s="6525"/>
      <c r="X229" s="1292"/>
      <c r="Y229" s="1773"/>
      <c r="Z229" s="1773"/>
      <c r="AA229" s="1292"/>
      <c r="AB229" s="1292"/>
      <c r="AC229" s="1292"/>
      <c r="AD229" s="1292"/>
      <c r="AE229" s="1773"/>
      <c r="AF229" s="1292"/>
      <c r="AG229" s="1292"/>
      <c r="AH229" s="674"/>
      <c r="AI229" s="1292"/>
      <c r="AJ229" s="1292"/>
      <c r="AK229" s="1292"/>
      <c r="AL229" s="1292"/>
      <c r="AM229" s="1292"/>
      <c r="AN229" s="1769"/>
      <c r="AO229" s="696"/>
      <c r="AP229" s="696"/>
      <c r="AQ229" s="696"/>
      <c r="AR229" s="696"/>
    </row>
    <row s="11770" customFormat="1" customHeight="1" ht="11.25">
      <c r="A230" s="1118"/>
      <c r="B230" s="1773"/>
      <c r="C230" s="1773"/>
      <c r="D230" s="481"/>
      <c r="J230" s="6525"/>
      <c r="K230" s="6525"/>
      <c r="L230" s="6525"/>
      <c r="M230" s="6525"/>
      <c r="N230" s="6525"/>
      <c r="O230" s="6525"/>
      <c r="P230" s="6525"/>
      <c r="Q230" s="6525"/>
      <c r="R230" s="6525"/>
      <c r="S230" s="6525"/>
      <c r="T230" s="6525"/>
      <c r="U230" s="6525"/>
      <c r="V230" s="6525"/>
      <c r="X230" s="1292"/>
      <c r="Y230" s="1773"/>
      <c r="Z230" s="1773"/>
      <c r="AA230" s="1292"/>
      <c r="AB230" s="1292"/>
      <c r="AC230" s="1292"/>
      <c r="AD230" s="1292"/>
      <c r="AE230" s="1773"/>
      <c r="AF230" s="1292"/>
      <c r="AG230" s="1292"/>
      <c r="AH230" s="674"/>
      <c r="AI230" s="1292"/>
      <c r="AJ230" s="1292"/>
      <c r="AK230" s="1292"/>
      <c r="AL230" s="1292"/>
      <c r="AM230" s="1292"/>
      <c r="AN230" s="1769"/>
      <c r="AO230" s="696"/>
      <c r="AP230" s="696"/>
      <c r="AQ230" s="696"/>
      <c r="AR230" s="696"/>
    </row>
    <row s="11770" customFormat="1" customHeight="1" ht="11.25">
      <c r="A231" s="1118"/>
      <c r="B231" s="1773"/>
      <c r="C231" s="1773"/>
      <c r="D231" s="481"/>
      <c r="J231" s="6525"/>
      <c r="K231" s="6525"/>
      <c r="L231" s="6525"/>
      <c r="M231" s="6525"/>
      <c r="N231" s="6525"/>
      <c r="O231" s="6525"/>
      <c r="P231" s="6525"/>
      <c r="Q231" s="6525"/>
      <c r="R231" s="6525"/>
      <c r="S231" s="6525"/>
      <c r="T231" s="6525"/>
      <c r="U231" s="6525"/>
      <c r="V231" s="6525"/>
      <c r="X231" s="1292"/>
      <c r="Y231" s="1773"/>
      <c r="Z231" s="1773"/>
      <c r="AA231" s="1292"/>
      <c r="AB231" s="1292"/>
      <c r="AC231" s="1292"/>
      <c r="AD231" s="1292"/>
      <c r="AE231" s="1773"/>
      <c r="AF231" s="1292"/>
      <c r="AG231" s="1292"/>
      <c r="AH231" s="674"/>
      <c r="AI231" s="1292"/>
      <c r="AJ231" s="1292"/>
      <c r="AK231" s="1292"/>
      <c r="AL231" s="1292"/>
      <c r="AM231" s="1292"/>
      <c r="AN231" s="1769"/>
      <c r="AO231" s="696"/>
      <c r="AP231" s="696"/>
      <c r="AQ231" s="696"/>
      <c r="AR231" s="696"/>
    </row>
    <row s="11770" customFormat="1" customHeight="1" ht="11.25">
      <c r="A232" s="1118"/>
      <c r="B232" s="1773"/>
      <c r="C232" s="1773"/>
      <c r="D232" s="481"/>
      <c r="J232" s="6525"/>
      <c r="K232" s="6525"/>
      <c r="L232" s="6525"/>
      <c r="M232" s="6525"/>
      <c r="N232" s="6525"/>
      <c r="O232" s="6525"/>
      <c r="P232" s="6525"/>
      <c r="Q232" s="6525"/>
      <c r="R232" s="6525"/>
      <c r="S232" s="6525"/>
      <c r="T232" s="6525"/>
      <c r="U232" s="6525"/>
      <c r="V232" s="6525"/>
      <c r="X232" s="1292"/>
      <c r="Y232" s="1773"/>
      <c r="Z232" s="1773"/>
      <c r="AA232" s="1292"/>
      <c r="AB232" s="1292"/>
      <c r="AC232" s="1292"/>
      <c r="AD232" s="1292"/>
      <c r="AE232" s="1773"/>
      <c r="AF232" s="1292"/>
      <c r="AG232" s="1292"/>
      <c r="AH232" s="674"/>
      <c r="AI232" s="1292"/>
      <c r="AJ232" s="1292"/>
      <c r="AK232" s="1292"/>
      <c r="AL232" s="1292"/>
      <c r="AM232" s="1292"/>
      <c r="AN232" s="1769"/>
      <c r="AO232" s="696"/>
      <c r="AP232" s="696"/>
      <c r="AQ232" s="696"/>
      <c r="AR232" s="696"/>
    </row>
    <row s="11770" customFormat="1" customHeight="1" ht="11.25">
      <c r="A233" s="1118"/>
      <c r="B233" s="1773"/>
      <c r="C233" s="1773"/>
      <c r="D233" s="481"/>
      <c r="J233" s="6525"/>
      <c r="K233" s="6525"/>
      <c r="L233" s="6525"/>
      <c r="M233" s="6525"/>
      <c r="N233" s="6525"/>
      <c r="O233" s="6525"/>
      <c r="P233" s="6525"/>
      <c r="Q233" s="6525"/>
      <c r="R233" s="6525"/>
      <c r="S233" s="6525"/>
      <c r="T233" s="6525"/>
      <c r="U233" s="6525"/>
      <c r="V233" s="6525"/>
      <c r="X233" s="1292"/>
      <c r="Y233" s="1773"/>
      <c r="Z233" s="1773"/>
      <c r="AA233" s="1292"/>
      <c r="AB233" s="1292"/>
      <c r="AC233" s="1292"/>
      <c r="AD233" s="1292"/>
      <c r="AE233" s="1773"/>
      <c r="AF233" s="1292"/>
      <c r="AG233" s="1292"/>
      <c r="AH233" s="674"/>
      <c r="AI233" s="1292"/>
      <c r="AJ233" s="1292"/>
      <c r="AK233" s="1292"/>
      <c r="AL233" s="1292"/>
      <c r="AM233" s="1292"/>
      <c r="AN233" s="1769"/>
      <c r="AO233" s="696"/>
      <c r="AP233" s="696"/>
      <c r="AQ233" s="696"/>
      <c r="AR233" s="696"/>
    </row>
    <row s="11770" customFormat="1" customHeight="1" ht="11.25">
      <c r="A234" s="1118"/>
      <c r="B234" s="1773"/>
      <c r="C234" s="1773"/>
      <c r="D234" s="481"/>
      <c r="J234" s="6525"/>
      <c r="K234" s="6525"/>
      <c r="L234" s="6525"/>
      <c r="M234" s="6525"/>
      <c r="N234" s="6525"/>
      <c r="O234" s="6525"/>
      <c r="P234" s="6525"/>
      <c r="Q234" s="6525"/>
      <c r="R234" s="6525"/>
      <c r="S234" s="6525"/>
      <c r="T234" s="6525"/>
      <c r="U234" s="6525"/>
      <c r="V234" s="6525"/>
      <c r="X234" s="1292"/>
      <c r="Y234" s="1773"/>
      <c r="Z234" s="1773"/>
      <c r="AA234" s="1292"/>
      <c r="AB234" s="1292"/>
      <c r="AC234" s="1292"/>
      <c r="AD234" s="1292"/>
      <c r="AE234" s="1773"/>
      <c r="AF234" s="1292"/>
      <c r="AG234" s="1292"/>
      <c r="AH234" s="674"/>
      <c r="AI234" s="1292"/>
      <c r="AJ234" s="1292"/>
      <c r="AK234" s="1292"/>
      <c r="AL234" s="1292"/>
      <c r="AM234" s="1292"/>
      <c r="AN234" s="1769"/>
      <c r="AO234" s="696"/>
      <c r="AP234" s="696"/>
      <c r="AQ234" s="696"/>
      <c r="AR234" s="696"/>
    </row>
    <row s="11770" customFormat="1" customHeight="1" ht="11.25">
      <c r="A235" s="1118"/>
      <c r="B235" s="1773"/>
      <c r="C235" s="1773"/>
      <c r="D235" s="481"/>
      <c r="J235" s="6525"/>
      <c r="K235" s="6525"/>
      <c r="L235" s="6525"/>
      <c r="M235" s="6525"/>
      <c r="N235" s="6525"/>
      <c r="O235" s="6525"/>
      <c r="P235" s="6525"/>
      <c r="Q235" s="6525"/>
      <c r="R235" s="6525"/>
      <c r="S235" s="6525"/>
      <c r="T235" s="6525"/>
      <c r="U235" s="6525"/>
      <c r="V235" s="6525"/>
      <c r="X235" s="1292"/>
      <c r="Y235" s="1773"/>
      <c r="Z235" s="1773"/>
      <c r="AA235" s="1292"/>
      <c r="AB235" s="1292"/>
      <c r="AC235" s="1292"/>
      <c r="AD235" s="1292"/>
      <c r="AE235" s="1773"/>
      <c r="AF235" s="1292"/>
      <c r="AG235" s="1292"/>
      <c r="AH235" s="674"/>
      <c r="AI235" s="1292"/>
      <c r="AJ235" s="1292"/>
      <c r="AK235" s="1292"/>
      <c r="AL235" s="1292"/>
      <c r="AM235" s="1292"/>
      <c r="AN235" s="1769"/>
      <c r="AO235" s="696"/>
      <c r="AP235" s="696"/>
      <c r="AQ235" s="696"/>
      <c r="AR235" s="696"/>
    </row>
    <row s="11770" customFormat="1" customHeight="1" ht="11.25">
      <c r="A236" s="1118"/>
      <c r="B236" s="1773"/>
      <c r="C236" s="1773"/>
      <c r="D236" s="481"/>
      <c r="J236" s="6525"/>
      <c r="K236" s="6525"/>
      <c r="L236" s="6525"/>
      <c r="M236" s="6525"/>
      <c r="N236" s="6525"/>
      <c r="O236" s="6525"/>
      <c r="P236" s="6525"/>
      <c r="Q236" s="6525"/>
      <c r="R236" s="6525"/>
      <c r="S236" s="6525"/>
      <c r="T236" s="6525"/>
      <c r="U236" s="6525"/>
      <c r="V236" s="6525"/>
      <c r="X236" s="1292"/>
      <c r="Y236" s="1773"/>
      <c r="Z236" s="1773"/>
      <c r="AA236" s="1292"/>
      <c r="AB236" s="1292"/>
      <c r="AC236" s="1292"/>
      <c r="AD236" s="1292"/>
      <c r="AE236" s="1773"/>
      <c r="AF236" s="1292"/>
      <c r="AG236" s="1292"/>
      <c r="AH236" s="674"/>
      <c r="AI236" s="1292"/>
      <c r="AJ236" s="1292"/>
      <c r="AK236" s="1292"/>
      <c r="AL236" s="1292"/>
      <c r="AM236" s="1292"/>
      <c r="AN236" s="1769"/>
      <c r="AO236" s="696"/>
      <c r="AP236" s="696"/>
      <c r="AQ236" s="696"/>
      <c r="AR236" s="696"/>
    </row>
    <row s="11770" customFormat="1" customHeight="1" ht="11.25">
      <c r="A237" s="1118"/>
      <c r="B237" s="1773"/>
      <c r="C237" s="1773"/>
      <c r="D237" s="481"/>
      <c r="J237" s="6525"/>
      <c r="K237" s="6525"/>
      <c r="L237" s="6525"/>
      <c r="M237" s="6525"/>
      <c r="N237" s="6525"/>
      <c r="O237" s="6525"/>
      <c r="P237" s="6525"/>
      <c r="Q237" s="6525"/>
      <c r="R237" s="6525"/>
      <c r="S237" s="6525"/>
      <c r="T237" s="6525"/>
      <c r="U237" s="6525"/>
      <c r="V237" s="6525"/>
      <c r="X237" s="1292"/>
      <c r="Y237" s="1773"/>
      <c r="Z237" s="1773"/>
      <c r="AA237" s="1292"/>
      <c r="AB237" s="1292"/>
      <c r="AC237" s="1292"/>
      <c r="AD237" s="1292"/>
      <c r="AE237" s="1773"/>
      <c r="AF237" s="1292"/>
      <c r="AG237" s="1292"/>
      <c r="AH237" s="674"/>
      <c r="AI237" s="1292"/>
      <c r="AJ237" s="1292"/>
      <c r="AK237" s="1292"/>
      <c r="AL237" s="1292"/>
      <c r="AM237" s="1292"/>
      <c r="AN237" s="1769"/>
      <c r="AO237" s="696"/>
      <c r="AP237" s="696"/>
      <c r="AQ237" s="696"/>
      <c r="AR237" s="696"/>
    </row>
    <row s="11770" customFormat="1" customHeight="1" ht="11.25">
      <c r="A238" s="1118"/>
      <c r="B238" s="1773"/>
      <c r="C238" s="1773"/>
      <c r="D238" s="481"/>
      <c r="J238" s="6525"/>
      <c r="K238" s="6525"/>
      <c r="L238" s="6525"/>
      <c r="M238" s="6525"/>
      <c r="N238" s="6525"/>
      <c r="O238" s="6525"/>
      <c r="P238" s="6525"/>
      <c r="Q238" s="6525"/>
      <c r="R238" s="6525"/>
      <c r="S238" s="6525"/>
      <c r="T238" s="6525"/>
      <c r="U238" s="6525"/>
      <c r="V238" s="6525"/>
      <c r="X238" s="1292"/>
      <c r="Y238" s="1773"/>
      <c r="Z238" s="1773"/>
      <c r="AA238" s="1292"/>
      <c r="AB238" s="1292"/>
      <c r="AC238" s="1292"/>
      <c r="AD238" s="1292"/>
      <c r="AE238" s="1773"/>
      <c r="AF238" s="1292"/>
      <c r="AG238" s="1292"/>
      <c r="AH238" s="674"/>
      <c r="AI238" s="1292"/>
      <c r="AJ238" s="1292"/>
      <c r="AK238" s="1292"/>
      <c r="AL238" s="1292"/>
      <c r="AM238" s="1292"/>
      <c r="AN238" s="1769"/>
      <c r="AO238" s="696"/>
      <c r="AP238" s="696"/>
      <c r="AQ238" s="696"/>
      <c r="AR238" s="696"/>
    </row>
    <row s="11770" customFormat="1" customHeight="1" ht="11.25">
      <c r="A239" s="1118"/>
      <c r="B239" s="1773"/>
      <c r="C239" s="1773"/>
      <c r="D239" s="481"/>
      <c r="J239" s="6525"/>
      <c r="K239" s="6525"/>
      <c r="L239" s="6525"/>
      <c r="M239" s="6525"/>
      <c r="N239" s="6525"/>
      <c r="O239" s="6525"/>
      <c r="P239" s="6525"/>
      <c r="Q239" s="6525"/>
      <c r="R239" s="6525"/>
      <c r="S239" s="6525"/>
      <c r="T239" s="6525"/>
      <c r="U239" s="6525"/>
      <c r="V239" s="6525"/>
      <c r="X239" s="1292"/>
      <c r="Y239" s="1773"/>
      <c r="Z239" s="1773"/>
      <c r="AA239" s="1292"/>
      <c r="AB239" s="1292"/>
      <c r="AC239" s="1292"/>
      <c r="AD239" s="1292"/>
      <c r="AE239" s="1773"/>
      <c r="AF239" s="1292"/>
      <c r="AG239" s="1292"/>
      <c r="AH239" s="674"/>
      <c r="AI239" s="1292"/>
      <c r="AJ239" s="1292"/>
      <c r="AK239" s="1292"/>
      <c r="AL239" s="1292"/>
      <c r="AM239" s="1292"/>
      <c r="AN239" s="1769"/>
      <c r="AO239" s="696"/>
      <c r="AP239" s="696"/>
      <c r="AQ239" s="696"/>
      <c r="AR239" s="696"/>
    </row>
    <row s="11770" customFormat="1" customHeight="1" ht="11.25">
      <c r="A240" s="1118"/>
      <c r="B240" s="1773"/>
      <c r="C240" s="1773"/>
      <c r="D240" s="481"/>
      <c r="J240" s="6525"/>
      <c r="K240" s="6525"/>
      <c r="L240" s="6525"/>
      <c r="M240" s="6525"/>
      <c r="N240" s="6525"/>
      <c r="O240" s="6525"/>
      <c r="P240" s="6525"/>
      <c r="Q240" s="6525"/>
      <c r="R240" s="6525"/>
      <c r="S240" s="6525"/>
      <c r="T240" s="6525"/>
      <c r="U240" s="6525"/>
      <c r="V240" s="6525"/>
      <c r="X240" s="1292"/>
      <c r="Y240" s="1773"/>
      <c r="Z240" s="1773"/>
      <c r="AA240" s="1292"/>
      <c r="AB240" s="1292"/>
      <c r="AC240" s="1292"/>
      <c r="AD240" s="1292"/>
      <c r="AE240" s="1773"/>
      <c r="AF240" s="1292"/>
      <c r="AG240" s="1292"/>
      <c r="AH240" s="674"/>
      <c r="AI240" s="1292"/>
      <c r="AJ240" s="1292"/>
      <c r="AK240" s="1292"/>
      <c r="AL240" s="1292"/>
      <c r="AM240" s="1292"/>
      <c r="AN240" s="1769"/>
      <c r="AO240" s="696"/>
      <c r="AP240" s="696"/>
      <c r="AQ240" s="696"/>
      <c r="AR240" s="696"/>
    </row>
    <row s="11770" customFormat="1" customHeight="1" ht="11.25">
      <c r="A241" s="1118"/>
      <c r="B241" s="1773"/>
      <c r="C241" s="1773"/>
      <c r="D241" s="481"/>
      <c r="J241" s="6525"/>
      <c r="K241" s="6525"/>
      <c r="L241" s="6525"/>
      <c r="M241" s="6525"/>
      <c r="N241" s="6525"/>
      <c r="O241" s="6525"/>
      <c r="P241" s="6525"/>
      <c r="Q241" s="6525"/>
      <c r="R241" s="6525"/>
      <c r="S241" s="6525"/>
      <c r="T241" s="6525"/>
      <c r="U241" s="6525"/>
      <c r="V241" s="6525"/>
      <c r="X241" s="1292"/>
      <c r="Y241" s="1773"/>
      <c r="Z241" s="1773"/>
      <c r="AA241" s="1292"/>
      <c r="AB241" s="1292"/>
      <c r="AC241" s="1292"/>
      <c r="AD241" s="1292"/>
      <c r="AE241" s="1773"/>
      <c r="AF241" s="1292"/>
      <c r="AG241" s="1292"/>
      <c r="AH241" s="674"/>
      <c r="AI241" s="1292"/>
      <c r="AJ241" s="1292"/>
      <c r="AK241" s="1292"/>
      <c r="AL241" s="1292"/>
      <c r="AM241" s="1292"/>
      <c r="AN241" s="1769"/>
      <c r="AO241" s="696"/>
      <c r="AP241" s="696"/>
      <c r="AQ241" s="696"/>
      <c r="AR241" s="696"/>
    </row>
    <row s="11770" customFormat="1" customHeight="1" ht="11.25">
      <c r="A242" s="1118"/>
      <c r="B242" s="1773"/>
      <c r="C242" s="1773"/>
      <c r="D242" s="481"/>
      <c r="J242" s="6525"/>
      <c r="K242" s="6525"/>
      <c r="L242" s="6525"/>
      <c r="M242" s="6525"/>
      <c r="N242" s="6525"/>
      <c r="O242" s="6525"/>
      <c r="P242" s="6525"/>
      <c r="Q242" s="6525"/>
      <c r="R242" s="6525"/>
      <c r="S242" s="6525"/>
      <c r="T242" s="6525"/>
      <c r="U242" s="6525"/>
      <c r="V242" s="6525"/>
      <c r="X242" s="1292"/>
      <c r="Y242" s="1773"/>
      <c r="Z242" s="1773"/>
      <c r="AA242" s="1292"/>
      <c r="AB242" s="1292"/>
      <c r="AC242" s="1292"/>
      <c r="AD242" s="1292"/>
      <c r="AE242" s="1773"/>
      <c r="AF242" s="1292"/>
      <c r="AG242" s="1292"/>
      <c r="AH242" s="674"/>
      <c r="AI242" s="1292"/>
      <c r="AJ242" s="1292"/>
      <c r="AK242" s="1292"/>
      <c r="AL242" s="1292"/>
      <c r="AM242" s="1292"/>
      <c r="AN242" s="1769"/>
      <c r="AO242" s="696"/>
      <c r="AP242" s="696"/>
      <c r="AQ242" s="696"/>
      <c r="AR242" s="696"/>
    </row>
    <row s="11770" customFormat="1" customHeight="1" ht="11.25">
      <c r="A243" s="1118"/>
      <c r="B243" s="1773"/>
      <c r="C243" s="1773"/>
      <c r="D243" s="481"/>
      <c r="J243" s="6525"/>
      <c r="K243" s="6525"/>
      <c r="L243" s="6525"/>
      <c r="M243" s="6525"/>
      <c r="N243" s="6525"/>
      <c r="O243" s="6525"/>
      <c r="P243" s="6525"/>
      <c r="Q243" s="6525"/>
      <c r="R243" s="6525"/>
      <c r="S243" s="6525"/>
      <c r="T243" s="6525"/>
      <c r="U243" s="6525"/>
      <c r="V243" s="6525"/>
      <c r="X243" s="1292"/>
      <c r="Y243" s="1773"/>
      <c r="Z243" s="1773"/>
      <c r="AA243" s="1292"/>
      <c r="AB243" s="1292"/>
      <c r="AC243" s="1292"/>
      <c r="AD243" s="1292"/>
      <c r="AE243" s="1773"/>
      <c r="AF243" s="1292"/>
      <c r="AG243" s="1292"/>
      <c r="AH243" s="674"/>
      <c r="AI243" s="1292"/>
      <c r="AJ243" s="1292"/>
      <c r="AK243" s="1292"/>
      <c r="AL243" s="1292"/>
      <c r="AM243" s="1292"/>
      <c r="AN243" s="1769"/>
      <c r="AO243" s="696"/>
      <c r="AP243" s="696"/>
      <c r="AQ243" s="696"/>
      <c r="AR243" s="696"/>
    </row>
    <row s="11770" customFormat="1" customHeight="1" ht="11.25">
      <c r="A244" s="1118"/>
      <c r="B244" s="1773"/>
      <c r="C244" s="1773"/>
      <c r="D244" s="481"/>
      <c r="J244" s="6525"/>
      <c r="K244" s="6525"/>
      <c r="L244" s="6525"/>
      <c r="M244" s="6525"/>
      <c r="N244" s="6525"/>
      <c r="O244" s="6525"/>
      <c r="P244" s="6525"/>
      <c r="Q244" s="6525"/>
      <c r="R244" s="6525"/>
      <c r="S244" s="6525"/>
      <c r="T244" s="6525"/>
      <c r="U244" s="6525"/>
      <c r="V244" s="6525"/>
      <c r="X244" s="1292"/>
      <c r="Y244" s="1773"/>
      <c r="Z244" s="1773"/>
      <c r="AA244" s="1292"/>
      <c r="AB244" s="1292"/>
      <c r="AC244" s="1292"/>
      <c r="AD244" s="1292"/>
      <c r="AE244" s="1773"/>
      <c r="AF244" s="1292"/>
      <c r="AG244" s="1292"/>
      <c r="AH244" s="674"/>
      <c r="AI244" s="1292"/>
      <c r="AJ244" s="1292"/>
      <c r="AK244" s="1292"/>
      <c r="AL244" s="1292"/>
      <c r="AM244" s="1292"/>
      <c r="AN244" s="1769"/>
      <c r="AO244" s="696"/>
      <c r="AP244" s="696"/>
      <c r="AQ244" s="696"/>
      <c r="AR244" s="696"/>
    </row>
    <row s="11770" customFormat="1" customHeight="1" ht="11.25">
      <c r="A245" s="1118"/>
      <c r="B245" s="1773"/>
      <c r="C245" s="1773"/>
      <c r="D245" s="481"/>
      <c r="J245" s="6525"/>
      <c r="K245" s="6525"/>
      <c r="L245" s="6525"/>
      <c r="M245" s="6525"/>
      <c r="N245" s="6525"/>
      <c r="O245" s="6525"/>
      <c r="P245" s="6525"/>
      <c r="Q245" s="6525"/>
      <c r="R245" s="6525"/>
      <c r="S245" s="6525"/>
      <c r="T245" s="6525"/>
      <c r="U245" s="6525"/>
      <c r="V245" s="6525"/>
      <c r="X245" s="1292"/>
      <c r="Y245" s="1773"/>
      <c r="Z245" s="1773"/>
      <c r="AA245" s="1292"/>
      <c r="AB245" s="1292"/>
      <c r="AC245" s="1292"/>
      <c r="AD245" s="1292"/>
      <c r="AE245" s="1773"/>
      <c r="AF245" s="1292"/>
      <c r="AG245" s="1292"/>
      <c r="AH245" s="674"/>
      <c r="AI245" s="1292"/>
      <c r="AJ245" s="1292"/>
      <c r="AK245" s="1292"/>
      <c r="AL245" s="1292"/>
      <c r="AM245" s="1292"/>
      <c r="AN245" s="1769"/>
      <c r="AO245" s="696"/>
      <c r="AP245" s="696"/>
      <c r="AQ245" s="696"/>
      <c r="AR245" s="696"/>
    </row>
    <row s="11770" customFormat="1" customHeight="1" ht="11.25">
      <c r="A246" s="1118"/>
      <c r="B246" s="1773"/>
      <c r="C246" s="1773"/>
      <c r="D246" s="481"/>
      <c r="J246" s="6525"/>
      <c r="K246" s="6525"/>
      <c r="L246" s="6525"/>
      <c r="M246" s="6525"/>
      <c r="N246" s="6525"/>
      <c r="O246" s="6525"/>
      <c r="P246" s="6525"/>
      <c r="Q246" s="6525"/>
      <c r="R246" s="6525"/>
      <c r="S246" s="6525"/>
      <c r="T246" s="6525"/>
      <c r="U246" s="6525"/>
      <c r="V246" s="6525"/>
      <c r="X246" s="1292"/>
      <c r="Y246" s="1773"/>
      <c r="Z246" s="1773"/>
      <c r="AA246" s="1292"/>
      <c r="AB246" s="1292"/>
      <c r="AC246" s="1292"/>
      <c r="AD246" s="1292"/>
      <c r="AE246" s="1773"/>
      <c r="AF246" s="1292"/>
      <c r="AG246" s="1292"/>
      <c r="AH246" s="674"/>
      <c r="AI246" s="1292"/>
      <c r="AJ246" s="1292"/>
      <c r="AK246" s="1292"/>
      <c r="AL246" s="1292"/>
      <c r="AM246" s="1292"/>
      <c r="AN246" s="1769"/>
      <c r="AO246" s="696"/>
      <c r="AP246" s="696"/>
      <c r="AQ246" s="696"/>
      <c r="AR246" s="696"/>
    </row>
    <row s="11770" customFormat="1" customHeight="1" ht="11.25">
      <c r="A247" s="1118"/>
      <c r="B247" s="1773"/>
      <c r="C247" s="1773"/>
      <c r="D247" s="481"/>
      <c r="J247" s="6525"/>
      <c r="K247" s="6525"/>
      <c r="L247" s="6525"/>
      <c r="M247" s="6525"/>
      <c r="N247" s="6525"/>
      <c r="O247" s="6525"/>
      <c r="P247" s="6525"/>
      <c r="Q247" s="6525"/>
      <c r="R247" s="6525"/>
      <c r="S247" s="6525"/>
      <c r="T247" s="6525"/>
      <c r="U247" s="6525"/>
      <c r="V247" s="6525"/>
      <c r="X247" s="1292"/>
      <c r="Y247" s="1773"/>
      <c r="Z247" s="1773"/>
      <c r="AA247" s="1292"/>
      <c r="AB247" s="1292"/>
      <c r="AC247" s="1292"/>
      <c r="AD247" s="1292"/>
      <c r="AE247" s="1773"/>
      <c r="AF247" s="1292"/>
      <c r="AG247" s="1292"/>
      <c r="AH247" s="674"/>
      <c r="AI247" s="1292"/>
      <c r="AJ247" s="1292"/>
      <c r="AK247" s="1292"/>
      <c r="AL247" s="1292"/>
      <c r="AM247" s="1292"/>
      <c r="AN247" s="1769"/>
      <c r="AO247" s="696"/>
      <c r="AP247" s="696"/>
      <c r="AQ247" s="696"/>
      <c r="AR247" s="696"/>
    </row>
    <row s="11770" customFormat="1" customHeight="1" ht="11.25">
      <c r="A248" s="1118"/>
      <c r="B248" s="1773"/>
      <c r="C248" s="1773"/>
      <c r="D248" s="481"/>
      <c r="J248" s="6525"/>
      <c r="K248" s="6525"/>
      <c r="L248" s="6525"/>
      <c r="M248" s="6525"/>
      <c r="N248" s="6525"/>
      <c r="O248" s="6525"/>
      <c r="P248" s="6525"/>
      <c r="Q248" s="6525"/>
      <c r="R248" s="6525"/>
      <c r="S248" s="6525"/>
      <c r="T248" s="6525"/>
      <c r="U248" s="6525"/>
      <c r="V248" s="6525"/>
      <c r="X248" s="1292"/>
      <c r="Y248" s="1773"/>
      <c r="Z248" s="1773"/>
      <c r="AA248" s="1292"/>
      <c r="AB248" s="1292"/>
      <c r="AC248" s="1292"/>
      <c r="AD248" s="1292"/>
      <c r="AE248" s="1773"/>
      <c r="AF248" s="1292"/>
      <c r="AG248" s="1292"/>
      <c r="AH248" s="674"/>
      <c r="AI248" s="1292"/>
      <c r="AJ248" s="1292"/>
      <c r="AK248" s="1292"/>
      <c r="AL248" s="1292"/>
      <c r="AM248" s="1292"/>
      <c r="AN248" s="1769"/>
      <c r="AO248" s="696"/>
      <c r="AP248" s="696"/>
      <c r="AQ248" s="696"/>
      <c r="AR248" s="696"/>
    </row>
    <row s="11770" customFormat="1" customHeight="1" ht="11.25">
      <c r="A249" s="1118"/>
      <c r="B249" s="1773"/>
      <c r="C249" s="1773"/>
      <c r="D249" s="481"/>
      <c r="J249" s="6525"/>
      <c r="K249" s="6525"/>
      <c r="L249" s="6525"/>
      <c r="M249" s="6525"/>
      <c r="N249" s="6525"/>
      <c r="O249" s="6525"/>
      <c r="P249" s="6525"/>
      <c r="Q249" s="6525"/>
      <c r="R249" s="6525"/>
      <c r="S249" s="6525"/>
      <c r="T249" s="6525"/>
      <c r="U249" s="6525"/>
      <c r="V249" s="6525"/>
      <c r="X249" s="1292"/>
      <c r="Y249" s="1773"/>
      <c r="Z249" s="1773"/>
      <c r="AA249" s="1292"/>
      <c r="AB249" s="1292"/>
      <c r="AC249" s="1292"/>
      <c r="AD249" s="1292"/>
      <c r="AE249" s="1773"/>
      <c r="AF249" s="1292"/>
      <c r="AG249" s="1292"/>
      <c r="AH249" s="674"/>
      <c r="AI249" s="1292"/>
      <c r="AJ249" s="1292"/>
      <c r="AK249" s="1292"/>
      <c r="AL249" s="1292"/>
      <c r="AM249" s="1292"/>
      <c r="AN249" s="1769"/>
      <c r="AO249" s="696"/>
      <c r="AP249" s="696"/>
      <c r="AQ249" s="696"/>
      <c r="AR249" s="696"/>
    </row>
    <row s="11770" customFormat="1" customHeight="1" ht="11.25">
      <c r="A250" s="1118"/>
      <c r="B250" s="1773"/>
      <c r="C250" s="1773"/>
      <c r="D250" s="481"/>
      <c r="J250" s="6525"/>
      <c r="K250" s="6525"/>
      <c r="L250" s="6525"/>
      <c r="M250" s="6525"/>
      <c r="N250" s="6525"/>
      <c r="O250" s="6525"/>
      <c r="P250" s="6525"/>
      <c r="Q250" s="6525"/>
      <c r="R250" s="6525"/>
      <c r="S250" s="6525"/>
      <c r="T250" s="6525"/>
      <c r="U250" s="6525"/>
      <c r="V250" s="6525"/>
      <c r="X250" s="1292"/>
      <c r="Y250" s="1773"/>
      <c r="Z250" s="1773"/>
      <c r="AA250" s="1292"/>
      <c r="AB250" s="1292"/>
      <c r="AC250" s="1292"/>
      <c r="AD250" s="1292"/>
      <c r="AE250" s="1773"/>
      <c r="AF250" s="1292"/>
      <c r="AG250" s="1292"/>
      <c r="AH250" s="674"/>
      <c r="AI250" s="1292"/>
      <c r="AJ250" s="1292"/>
      <c r="AK250" s="1292"/>
      <c r="AL250" s="1292"/>
      <c r="AM250" s="1292"/>
      <c r="AN250" s="1769"/>
      <c r="AO250" s="696"/>
      <c r="AP250" s="696"/>
      <c r="AQ250" s="696"/>
      <c r="AR250" s="696"/>
    </row>
    <row s="11770" customFormat="1" customHeight="1" ht="11.25">
      <c r="A251" s="1118"/>
      <c r="B251" s="1773"/>
      <c r="C251" s="1773"/>
      <c r="D251" s="481"/>
      <c r="J251" s="6525"/>
      <c r="K251" s="6525"/>
      <c r="L251" s="6525"/>
      <c r="M251" s="6525"/>
      <c r="N251" s="6525"/>
      <c r="O251" s="6525"/>
      <c r="P251" s="6525"/>
      <c r="Q251" s="6525"/>
      <c r="R251" s="6525"/>
      <c r="S251" s="6525"/>
      <c r="T251" s="6525"/>
      <c r="U251" s="6525"/>
      <c r="V251" s="6525"/>
      <c r="X251" s="1292"/>
      <c r="Y251" s="1773"/>
      <c r="Z251" s="1773"/>
      <c r="AA251" s="1292"/>
      <c r="AB251" s="1292"/>
      <c r="AC251" s="1292"/>
      <c r="AD251" s="1292"/>
      <c r="AE251" s="1773"/>
      <c r="AF251" s="1292"/>
      <c r="AG251" s="1292"/>
      <c r="AH251" s="674"/>
      <c r="AI251" s="1292"/>
      <c r="AJ251" s="1292"/>
      <c r="AK251" s="1292"/>
      <c r="AL251" s="1292"/>
      <c r="AM251" s="1292"/>
      <c r="AN251" s="1769"/>
      <c r="AO251" s="696"/>
      <c r="AP251" s="696"/>
      <c r="AQ251" s="696"/>
      <c r="AR251" s="696"/>
    </row>
    <row s="11770" customFormat="1" customHeight="1" ht="11.25">
      <c r="A252" s="1118"/>
      <c r="B252" s="1773"/>
      <c r="C252" s="1773"/>
      <c r="D252" s="481"/>
      <c r="J252" s="6525"/>
      <c r="K252" s="6525"/>
      <c r="L252" s="6525"/>
      <c r="M252" s="6525"/>
      <c r="N252" s="6525"/>
      <c r="O252" s="6525"/>
      <c r="P252" s="6525"/>
      <c r="Q252" s="6525"/>
      <c r="R252" s="6525"/>
      <c r="S252" s="6525"/>
      <c r="T252" s="6525"/>
      <c r="U252" s="6525"/>
      <c r="V252" s="6525"/>
      <c r="X252" s="1292"/>
      <c r="Y252" s="1773"/>
      <c r="Z252" s="1773"/>
      <c r="AA252" s="1292"/>
      <c r="AB252" s="1292"/>
      <c r="AC252" s="1292"/>
      <c r="AD252" s="1292"/>
      <c r="AE252" s="1773"/>
      <c r="AF252" s="1292"/>
      <c r="AG252" s="1292"/>
      <c r="AH252" s="674"/>
      <c r="AI252" s="1292"/>
      <c r="AJ252" s="1292"/>
      <c r="AK252" s="1292"/>
      <c r="AL252" s="1292"/>
      <c r="AM252" s="1292"/>
      <c r="AN252" s="1769"/>
      <c r="AO252" s="696"/>
      <c r="AP252" s="696"/>
      <c r="AQ252" s="696"/>
      <c r="AR252" s="696"/>
    </row>
    <row s="11770" customFormat="1" customHeight="1" ht="11.25">
      <c r="A253" s="1118"/>
      <c r="B253" s="1773"/>
      <c r="C253" s="1773"/>
      <c r="D253" s="481"/>
      <c r="J253" s="6525"/>
      <c r="K253" s="6525"/>
      <c r="L253" s="6525"/>
      <c r="M253" s="6525"/>
      <c r="N253" s="6525"/>
      <c r="O253" s="6525"/>
      <c r="P253" s="6525"/>
      <c r="Q253" s="6525"/>
      <c r="R253" s="6525"/>
      <c r="S253" s="6525"/>
      <c r="T253" s="6525"/>
      <c r="U253" s="6525"/>
      <c r="V253" s="6525"/>
      <c r="X253" s="1292"/>
      <c r="Y253" s="1773"/>
      <c r="Z253" s="1773"/>
      <c r="AA253" s="1292"/>
      <c r="AB253" s="1292"/>
      <c r="AC253" s="1292"/>
      <c r="AD253" s="1292"/>
      <c r="AE253" s="1773"/>
      <c r="AF253" s="1292"/>
      <c r="AG253" s="1292"/>
      <c r="AH253" s="674"/>
      <c r="AI253" s="1292"/>
      <c r="AJ253" s="1292"/>
      <c r="AK253" s="1292"/>
      <c r="AL253" s="1292"/>
      <c r="AM253" s="1292"/>
      <c r="AN253" s="1769"/>
      <c r="AO253" s="696"/>
      <c r="AP253" s="696"/>
      <c r="AQ253" s="696"/>
      <c r="AR253" s="696"/>
    </row>
    <row s="11770" customFormat="1" customHeight="1" ht="11.25">
      <c r="A254" s="1118"/>
      <c r="B254" s="1773"/>
      <c r="C254" s="1773"/>
      <c r="D254" s="481"/>
      <c r="J254" s="6525"/>
      <c r="K254" s="6525"/>
      <c r="L254" s="6525"/>
      <c r="M254" s="6525"/>
      <c r="N254" s="6525"/>
      <c r="O254" s="6525"/>
      <c r="P254" s="6525"/>
      <c r="Q254" s="6525"/>
      <c r="R254" s="6525"/>
      <c r="S254" s="6525"/>
      <c r="T254" s="6525"/>
      <c r="U254" s="6525"/>
      <c r="V254" s="6525"/>
      <c r="X254" s="1292"/>
      <c r="Y254" s="1773"/>
      <c r="Z254" s="1773"/>
      <c r="AA254" s="1292"/>
      <c r="AB254" s="1292"/>
      <c r="AC254" s="1292"/>
      <c r="AD254" s="1292"/>
      <c r="AE254" s="1773"/>
      <c r="AF254" s="1292"/>
      <c r="AG254" s="1292"/>
      <c r="AH254" s="674"/>
      <c r="AI254" s="1292"/>
      <c r="AJ254" s="1292"/>
      <c r="AK254" s="1292"/>
      <c r="AL254" s="1292"/>
      <c r="AM254" s="1292"/>
      <c r="AN254" s="1769"/>
      <c r="AO254" s="696"/>
      <c r="AP254" s="696"/>
      <c r="AQ254" s="696"/>
      <c r="AR254" s="696"/>
    </row>
    <row s="11770" customFormat="1" customHeight="1" ht="11.25">
      <c r="A255" s="1118"/>
      <c r="B255" s="1773"/>
      <c r="C255" s="1773"/>
      <c r="D255" s="481"/>
      <c r="J255" s="6525"/>
      <c r="K255" s="6525"/>
      <c r="L255" s="6525"/>
      <c r="M255" s="6525"/>
      <c r="N255" s="6525"/>
      <c r="O255" s="6525"/>
      <c r="P255" s="6525"/>
      <c r="Q255" s="6525"/>
      <c r="R255" s="6525"/>
      <c r="S255" s="6525"/>
      <c r="T255" s="6525"/>
      <c r="U255" s="6525"/>
      <c r="V255" s="6525"/>
      <c r="X255" s="1292"/>
      <c r="Y255" s="1773"/>
      <c r="Z255" s="1773"/>
      <c r="AA255" s="1292"/>
      <c r="AB255" s="1292"/>
      <c r="AC255" s="1292"/>
      <c r="AD255" s="1292"/>
      <c r="AE255" s="1773"/>
      <c r="AF255" s="1292"/>
      <c r="AG255" s="1292"/>
      <c r="AH255" s="674"/>
      <c r="AI255" s="1292"/>
      <c r="AJ255" s="1292"/>
      <c r="AK255" s="1292"/>
      <c r="AL255" s="1292"/>
      <c r="AM255" s="1292"/>
      <c r="AN255" s="1769"/>
      <c r="AO255" s="696"/>
      <c r="AP255" s="696"/>
      <c r="AQ255" s="696"/>
      <c r="AR255" s="696"/>
    </row>
    <row s="11770" customFormat="1" customHeight="1" ht="11.25">
      <c r="A256" s="1118"/>
      <c r="B256" s="1773"/>
      <c r="C256" s="1773"/>
      <c r="D256" s="481"/>
      <c r="J256" s="6525"/>
      <c r="K256" s="6525"/>
      <c r="L256" s="6525"/>
      <c r="M256" s="6525"/>
      <c r="N256" s="6525"/>
      <c r="O256" s="6525"/>
      <c r="P256" s="6525"/>
      <c r="Q256" s="6525"/>
      <c r="R256" s="6525"/>
      <c r="S256" s="6525"/>
      <c r="T256" s="6525"/>
      <c r="U256" s="6525"/>
      <c r="V256" s="6525"/>
      <c r="X256" s="1292"/>
      <c r="Y256" s="1773"/>
      <c r="Z256" s="1773"/>
      <c r="AA256" s="1292"/>
      <c r="AB256" s="1292"/>
      <c r="AC256" s="1292"/>
      <c r="AD256" s="1292"/>
      <c r="AE256" s="1773"/>
      <c r="AF256" s="1292"/>
      <c r="AG256" s="1292"/>
      <c r="AH256" s="674"/>
      <c r="AI256" s="1292"/>
      <c r="AJ256" s="1292"/>
      <c r="AK256" s="1292"/>
      <c r="AL256" s="1292"/>
      <c r="AM256" s="1292"/>
      <c r="AN256" s="1769"/>
      <c r="AO256" s="696"/>
      <c r="AP256" s="696"/>
      <c r="AQ256" s="696"/>
      <c r="AR256" s="696"/>
    </row>
    <row s="11770" customFormat="1" customHeight="1" ht="11.25">
      <c r="A257" s="1118"/>
      <c r="B257" s="1773"/>
      <c r="C257" s="1773"/>
      <c r="D257" s="481"/>
      <c r="J257" s="6525"/>
      <c r="K257" s="6525"/>
      <c r="L257" s="6525"/>
      <c r="M257" s="6525"/>
      <c r="N257" s="6525"/>
      <c r="O257" s="6525"/>
      <c r="P257" s="6525"/>
      <c r="Q257" s="6525"/>
      <c r="R257" s="6525"/>
      <c r="S257" s="6525"/>
      <c r="T257" s="6525"/>
      <c r="U257" s="6525"/>
      <c r="V257" s="6525"/>
      <c r="X257" s="1292"/>
      <c r="Y257" s="1773"/>
      <c r="Z257" s="1773"/>
      <c r="AA257" s="1292"/>
      <c r="AB257" s="1292"/>
      <c r="AC257" s="1292"/>
      <c r="AD257" s="1292"/>
      <c r="AE257" s="1773"/>
      <c r="AF257" s="1292"/>
      <c r="AG257" s="1292"/>
      <c r="AH257" s="674"/>
      <c r="AI257" s="1292"/>
      <c r="AJ257" s="1292"/>
      <c r="AK257" s="1292"/>
      <c r="AL257" s="1292"/>
      <c r="AM257" s="1292"/>
      <c r="AN257" s="1769"/>
      <c r="AO257" s="696"/>
      <c r="AP257" s="696"/>
      <c r="AQ257" s="696"/>
      <c r="AR257" s="696"/>
    </row>
    <row s="11770" customFormat="1" customHeight="1" ht="11.25">
      <c r="A258" s="1118"/>
      <c r="B258" s="1773"/>
      <c r="C258" s="1773"/>
      <c r="D258" s="481"/>
      <c r="J258" s="6525"/>
      <c r="K258" s="6525"/>
      <c r="L258" s="6525"/>
      <c r="M258" s="6525"/>
      <c r="N258" s="6525"/>
      <c r="O258" s="6525"/>
      <c r="P258" s="6525"/>
      <c r="Q258" s="6525"/>
      <c r="R258" s="6525"/>
      <c r="S258" s="6525"/>
      <c r="T258" s="6525"/>
      <c r="U258" s="6525"/>
      <c r="V258" s="6525"/>
      <c r="X258" s="1292"/>
      <c r="Y258" s="1773"/>
      <c r="Z258" s="1773"/>
      <c r="AA258" s="1292"/>
      <c r="AB258" s="1292"/>
      <c r="AC258" s="1292"/>
      <c r="AD258" s="1292"/>
      <c r="AE258" s="1773"/>
      <c r="AF258" s="1292"/>
      <c r="AG258" s="1292"/>
      <c r="AH258" s="674"/>
      <c r="AI258" s="1292"/>
      <c r="AJ258" s="1292"/>
      <c r="AK258" s="1292"/>
      <c r="AL258" s="1292"/>
      <c r="AM258" s="1292"/>
      <c r="AN258" s="1769"/>
      <c r="AO258" s="696"/>
      <c r="AP258" s="696"/>
      <c r="AQ258" s="696"/>
      <c r="AR258" s="696"/>
    </row>
    <row s="11770" customFormat="1" customHeight="1" ht="11.25">
      <c r="A259" s="1118"/>
      <c r="B259" s="1773"/>
      <c r="C259" s="1773"/>
      <c r="D259" s="481"/>
      <c r="J259" s="6525"/>
      <c r="K259" s="6525"/>
      <c r="L259" s="6525"/>
      <c r="M259" s="6525"/>
      <c r="N259" s="6525"/>
      <c r="O259" s="6525"/>
      <c r="P259" s="6525"/>
      <c r="Q259" s="6525"/>
      <c r="R259" s="6525"/>
      <c r="S259" s="6525"/>
      <c r="T259" s="6525"/>
      <c r="U259" s="6525"/>
      <c r="V259" s="6525"/>
      <c r="X259" s="1292"/>
      <c r="Y259" s="1773"/>
      <c r="Z259" s="1773"/>
      <c r="AA259" s="1292"/>
      <c r="AB259" s="1292"/>
      <c r="AC259" s="1292"/>
      <c r="AD259" s="1292"/>
      <c r="AE259" s="1773"/>
      <c r="AF259" s="1292"/>
      <c r="AG259" s="1292"/>
      <c r="AH259" s="674"/>
      <c r="AI259" s="1292"/>
      <c r="AJ259" s="1292"/>
      <c r="AK259" s="1292"/>
      <c r="AL259" s="1292"/>
      <c r="AM259" s="1292"/>
      <c r="AN259" s="1769"/>
      <c r="AO259" s="696"/>
      <c r="AP259" s="696"/>
      <c r="AQ259" s="696"/>
      <c r="AR259" s="696"/>
    </row>
    <row s="11770" customFormat="1" customHeight="1" ht="11.25">
      <c r="A260" s="1118"/>
      <c r="B260" s="1773"/>
      <c r="C260" s="1773"/>
      <c r="D260" s="481"/>
      <c r="J260" s="6525"/>
      <c r="K260" s="6525"/>
      <c r="L260" s="6525"/>
      <c r="M260" s="6525"/>
      <c r="N260" s="6525"/>
      <c r="O260" s="6525"/>
      <c r="P260" s="6525"/>
      <c r="Q260" s="6525"/>
      <c r="R260" s="6525"/>
      <c r="S260" s="6525"/>
      <c r="T260" s="6525"/>
      <c r="U260" s="6525"/>
      <c r="V260" s="6525"/>
      <c r="X260" s="1292"/>
      <c r="Y260" s="1773"/>
      <c r="Z260" s="1773"/>
      <c r="AA260" s="1292"/>
      <c r="AB260" s="1292"/>
      <c r="AC260" s="1292"/>
      <c r="AD260" s="1292"/>
      <c r="AE260" s="1773"/>
      <c r="AF260" s="1292"/>
      <c r="AG260" s="1292"/>
      <c r="AH260" s="674"/>
      <c r="AI260" s="1292"/>
      <c r="AJ260" s="1292"/>
      <c r="AK260" s="1292"/>
      <c r="AL260" s="1292"/>
      <c r="AM260" s="1292"/>
      <c r="AN260" s="1769"/>
      <c r="AO260" s="696"/>
      <c r="AP260" s="696"/>
      <c r="AQ260" s="696"/>
      <c r="AR260" s="696"/>
    </row>
    <row s="11770" customFormat="1" customHeight="1" ht="11.25">
      <c r="A261" s="1118"/>
      <c r="B261" s="1773"/>
      <c r="C261" s="1773"/>
      <c r="D261" s="481"/>
      <c r="J261" s="6525"/>
      <c r="K261" s="6525"/>
      <c r="L261" s="6525"/>
      <c r="M261" s="6525"/>
      <c r="N261" s="6525"/>
      <c r="O261" s="6525"/>
      <c r="P261" s="6525"/>
      <c r="Q261" s="6525"/>
      <c r="R261" s="6525"/>
      <c r="S261" s="6525"/>
      <c r="T261" s="6525"/>
      <c r="U261" s="6525"/>
      <c r="V261" s="6525"/>
      <c r="X261" s="1292"/>
      <c r="Y261" s="1773"/>
      <c r="Z261" s="1773"/>
      <c r="AA261" s="1292"/>
      <c r="AB261" s="1292"/>
      <c r="AC261" s="1292"/>
      <c r="AD261" s="1292"/>
      <c r="AE261" s="1773"/>
      <c r="AF261" s="1292"/>
      <c r="AG261" s="1292"/>
      <c r="AH261" s="674"/>
      <c r="AI261" s="1292"/>
      <c r="AJ261" s="1292"/>
      <c r="AK261" s="1292"/>
      <c r="AL261" s="1292"/>
      <c r="AM261" s="1292"/>
      <c r="AN261" s="1769"/>
      <c r="AO261" s="696"/>
      <c r="AP261" s="696"/>
      <c r="AQ261" s="696"/>
      <c r="AR261" s="696"/>
    </row>
    <row s="11770" customFormat="1" customHeight="1" ht="11.25">
      <c r="A262" s="1118"/>
      <c r="B262" s="1773"/>
      <c r="C262" s="1773"/>
      <c r="D262" s="481"/>
      <c r="J262" s="6525"/>
      <c r="K262" s="6525"/>
      <c r="L262" s="6525"/>
      <c r="M262" s="6525"/>
      <c r="N262" s="6525"/>
      <c r="O262" s="6525"/>
      <c r="P262" s="6525"/>
      <c r="Q262" s="6525"/>
      <c r="R262" s="6525"/>
      <c r="S262" s="6525"/>
      <c r="T262" s="6525"/>
      <c r="U262" s="6525"/>
      <c r="V262" s="6525"/>
      <c r="X262" s="1292"/>
      <c r="Y262" s="1773"/>
      <c r="Z262" s="1773"/>
      <c r="AA262" s="1292"/>
      <c r="AB262" s="1292"/>
      <c r="AC262" s="1292"/>
      <c r="AD262" s="1292"/>
      <c r="AE262" s="1773"/>
      <c r="AF262" s="1292"/>
      <c r="AG262" s="1292"/>
      <c r="AH262" s="674"/>
      <c r="AI262" s="1292"/>
      <c r="AJ262" s="1292"/>
      <c r="AK262" s="1292"/>
      <c r="AL262" s="1292"/>
      <c r="AM262" s="1292"/>
      <c r="AN262" s="1769"/>
      <c r="AO262" s="696"/>
      <c r="AP262" s="696"/>
      <c r="AQ262" s="696"/>
      <c r="AR262" s="696"/>
    </row>
    <row s="11770" customFormat="1" customHeight="1" ht="11.25">
      <c r="A263" s="1118"/>
      <c r="B263" s="1773"/>
      <c r="C263" s="1773"/>
      <c r="D263" s="481"/>
      <c r="J263" s="6525"/>
      <c r="K263" s="6525"/>
      <c r="L263" s="6525"/>
      <c r="M263" s="6525"/>
      <c r="N263" s="6525"/>
      <c r="O263" s="6525"/>
      <c r="P263" s="6525"/>
      <c r="Q263" s="6525"/>
      <c r="R263" s="6525"/>
      <c r="S263" s="6525"/>
      <c r="T263" s="6525"/>
      <c r="U263" s="6525"/>
      <c r="V263" s="6525"/>
      <c r="X263" s="1292"/>
      <c r="Y263" s="1773"/>
      <c r="Z263" s="1773"/>
      <c r="AA263" s="1292"/>
      <c r="AB263" s="1292"/>
      <c r="AC263" s="1292"/>
      <c r="AD263" s="1292"/>
      <c r="AE263" s="1773"/>
      <c r="AF263" s="1292"/>
      <c r="AG263" s="1292"/>
      <c r="AH263" s="674"/>
      <c r="AI263" s="1292"/>
      <c r="AJ263" s="1292"/>
      <c r="AK263" s="1292"/>
      <c r="AL263" s="1292"/>
      <c r="AM263" s="1292"/>
      <c r="AN263" s="1769"/>
      <c r="AO263" s="696"/>
      <c r="AP263" s="696"/>
      <c r="AQ263" s="696"/>
      <c r="AR263" s="696"/>
    </row>
    <row s="11770" customFormat="1" customHeight="1" ht="11.25">
      <c r="A264" s="1118"/>
      <c r="B264" s="1773"/>
      <c r="C264" s="1773"/>
      <c r="D264" s="481"/>
      <c r="J264" s="6525"/>
      <c r="K264" s="6525"/>
      <c r="L264" s="6525"/>
      <c r="M264" s="6525"/>
      <c r="N264" s="6525"/>
      <c r="O264" s="6525"/>
      <c r="P264" s="6525"/>
      <c r="Q264" s="6525"/>
      <c r="R264" s="6525"/>
      <c r="S264" s="6525"/>
      <c r="T264" s="6525"/>
      <c r="U264" s="6525"/>
      <c r="V264" s="6525"/>
      <c r="X264" s="1292"/>
      <c r="Y264" s="1773"/>
      <c r="Z264" s="1773"/>
      <c r="AA264" s="1292"/>
      <c r="AB264" s="1292"/>
      <c r="AC264" s="1292"/>
      <c r="AD264" s="1292"/>
      <c r="AE264" s="1773"/>
      <c r="AF264" s="1292"/>
      <c r="AG264" s="1292"/>
      <c r="AH264" s="674"/>
      <c r="AI264" s="1292"/>
      <c r="AJ264" s="1292"/>
      <c r="AK264" s="1292"/>
      <c r="AL264" s="1292"/>
      <c r="AM264" s="1292"/>
      <c r="AN264" s="1769"/>
      <c r="AO264" s="696"/>
      <c r="AP264" s="696"/>
      <c r="AQ264" s="696"/>
      <c r="AR264" s="696"/>
    </row>
    <row s="11770" customFormat="1" customHeight="1" ht="11.25">
      <c r="A265" s="1118"/>
      <c r="B265" s="1773"/>
      <c r="C265" s="1773"/>
      <c r="D265" s="481"/>
      <c r="J265" s="6525"/>
      <c r="K265" s="6525"/>
      <c r="L265" s="6525"/>
      <c r="M265" s="6525"/>
      <c r="N265" s="6525"/>
      <c r="O265" s="6525"/>
      <c r="P265" s="6525"/>
      <c r="Q265" s="6525"/>
      <c r="R265" s="6525"/>
      <c r="S265" s="6525"/>
      <c r="T265" s="6525"/>
      <c r="U265" s="6525"/>
      <c r="V265" s="6525"/>
      <c r="X265" s="1292"/>
      <c r="Y265" s="1773"/>
      <c r="Z265" s="1773"/>
      <c r="AA265" s="1292"/>
      <c r="AB265" s="1292"/>
      <c r="AC265" s="1292"/>
      <c r="AD265" s="1292"/>
      <c r="AE265" s="1773"/>
      <c r="AF265" s="1292"/>
      <c r="AG265" s="1292"/>
      <c r="AH265" s="674"/>
      <c r="AI265" s="1292"/>
      <c r="AJ265" s="1292"/>
      <c r="AK265" s="1292"/>
      <c r="AL265" s="1292"/>
      <c r="AM265" s="1292"/>
      <c r="AN265" s="1769"/>
      <c r="AO265" s="696"/>
      <c r="AP265" s="696"/>
      <c r="AQ265" s="696"/>
      <c r="AR265" s="696"/>
    </row>
    <row s="11770" customFormat="1" customHeight="1" ht="11.25">
      <c r="A266" s="1118"/>
      <c r="B266" s="1773"/>
      <c r="C266" s="1773"/>
      <c r="D266" s="481"/>
      <c r="J266" s="6525"/>
      <c r="K266" s="6525"/>
      <c r="L266" s="6525"/>
      <c r="M266" s="6525"/>
      <c r="N266" s="6525"/>
      <c r="O266" s="6525"/>
      <c r="P266" s="6525"/>
      <c r="Q266" s="6525"/>
      <c r="R266" s="6525"/>
      <c r="S266" s="6525"/>
      <c r="T266" s="6525"/>
      <c r="U266" s="6525"/>
      <c r="V266" s="6525"/>
      <c r="X266" s="1292"/>
      <c r="Y266" s="1773"/>
      <c r="Z266" s="1773"/>
      <c r="AA266" s="1292"/>
      <c r="AB266" s="1292"/>
      <c r="AC266" s="1292"/>
      <c r="AD266" s="1292"/>
      <c r="AE266" s="1773"/>
      <c r="AF266" s="1292"/>
      <c r="AG266" s="1292"/>
      <c r="AH266" s="674"/>
      <c r="AI266" s="1292"/>
      <c r="AJ266" s="1292"/>
      <c r="AK266" s="1292"/>
      <c r="AL266" s="1292"/>
      <c r="AM266" s="1292"/>
      <c r="AN266" s="1769"/>
      <c r="AO266" s="696"/>
      <c r="AP266" s="696"/>
      <c r="AQ266" s="696"/>
      <c r="AR266" s="696"/>
    </row>
    <row s="11770" customFormat="1" customHeight="1" ht="11.25">
      <c r="A267" s="1118"/>
      <c r="B267" s="1773"/>
      <c r="C267" s="1773"/>
      <c r="D267" s="481"/>
      <c r="J267" s="6525"/>
      <c r="K267" s="6525"/>
      <c r="L267" s="6525"/>
      <c r="M267" s="6525"/>
      <c r="N267" s="6525"/>
      <c r="O267" s="6525"/>
      <c r="P267" s="6525"/>
      <c r="Q267" s="6525"/>
      <c r="R267" s="6525"/>
      <c r="S267" s="6525"/>
      <c r="T267" s="6525"/>
      <c r="U267" s="6525"/>
      <c r="V267" s="6525"/>
      <c r="X267" s="1292"/>
      <c r="Y267" s="1773"/>
      <c r="Z267" s="1773"/>
      <c r="AA267" s="1292"/>
      <c r="AB267" s="1292"/>
      <c r="AC267" s="1292"/>
      <c r="AD267" s="1292"/>
      <c r="AE267" s="1773"/>
      <c r="AF267" s="1292"/>
      <c r="AG267" s="1292"/>
      <c r="AH267" s="674"/>
      <c r="AI267" s="1292"/>
      <c r="AJ267" s="1292"/>
      <c r="AK267" s="1292"/>
      <c r="AL267" s="1292"/>
      <c r="AM267" s="1292"/>
      <c r="AN267" s="1769"/>
      <c r="AO267" s="696"/>
      <c r="AP267" s="696"/>
      <c r="AQ267" s="696"/>
      <c r="AR267" s="696"/>
    </row>
    <row s="11770" customFormat="1" customHeight="1" ht="11.25">
      <c r="A268" s="1118"/>
      <c r="B268" s="1773"/>
      <c r="C268" s="1773"/>
      <c r="D268" s="481"/>
      <c r="J268" s="6525"/>
      <c r="K268" s="6525"/>
      <c r="L268" s="6525"/>
      <c r="M268" s="6525"/>
      <c r="N268" s="6525"/>
      <c r="O268" s="6525"/>
      <c r="P268" s="6525"/>
      <c r="Q268" s="6525"/>
      <c r="R268" s="6525"/>
      <c r="S268" s="6525"/>
      <c r="T268" s="6525"/>
      <c r="U268" s="6525"/>
      <c r="V268" s="6525"/>
      <c r="X268" s="1292"/>
      <c r="Y268" s="1773"/>
      <c r="Z268" s="1773"/>
      <c r="AA268" s="1292"/>
      <c r="AB268" s="1292"/>
      <c r="AC268" s="1292"/>
      <c r="AD268" s="1292"/>
      <c r="AE268" s="1773"/>
      <c r="AF268" s="1292"/>
      <c r="AG268" s="1292"/>
      <c r="AH268" s="674"/>
      <c r="AI268" s="1292"/>
      <c r="AJ268" s="1292"/>
      <c r="AK268" s="1292"/>
      <c r="AL268" s="1292"/>
      <c r="AM268" s="1292"/>
      <c r="AN268" s="1769"/>
      <c r="AO268" s="696"/>
      <c r="AP268" s="696"/>
      <c r="AQ268" s="696"/>
      <c r="AR268" s="696"/>
    </row>
    <row s="11770" customFormat="1" customHeight="1" ht="11.25">
      <c r="A269" s="1118"/>
      <c r="B269" s="1773"/>
      <c r="C269" s="1773"/>
      <c r="D269" s="481"/>
      <c r="J269" s="6525"/>
      <c r="K269" s="6525"/>
      <c r="L269" s="6525"/>
      <c r="M269" s="6525"/>
      <c r="N269" s="6525"/>
      <c r="O269" s="6525"/>
      <c r="P269" s="6525"/>
      <c r="Q269" s="6525"/>
      <c r="R269" s="6525"/>
      <c r="S269" s="6525"/>
      <c r="T269" s="6525"/>
      <c r="U269" s="6525"/>
      <c r="V269" s="6525"/>
      <c r="X269" s="1292"/>
      <c r="Y269" s="1773"/>
      <c r="Z269" s="1773"/>
      <c r="AA269" s="1292"/>
      <c r="AB269" s="1292"/>
      <c r="AC269" s="1292"/>
      <c r="AD269" s="1292"/>
      <c r="AE269" s="1773"/>
      <c r="AF269" s="1292"/>
      <c r="AG269" s="1292"/>
      <c r="AH269" s="674"/>
      <c r="AI269" s="1292"/>
      <c r="AJ269" s="1292"/>
      <c r="AK269" s="1292"/>
      <c r="AL269" s="1292"/>
      <c r="AM269" s="1292"/>
      <c r="AN269" s="1769"/>
      <c r="AO269" s="696"/>
      <c r="AP269" s="696"/>
      <c r="AQ269" s="696"/>
      <c r="AR269" s="696"/>
    </row>
    <row s="11770" customFormat="1" customHeight="1" ht="11.25">
      <c r="A270" s="1118"/>
      <c r="B270" s="1773"/>
      <c r="C270" s="1773"/>
      <c r="D270" s="481"/>
      <c r="J270" s="6525"/>
      <c r="K270" s="6525"/>
      <c r="L270" s="6525"/>
      <c r="M270" s="6525"/>
      <c r="N270" s="6525"/>
      <c r="O270" s="6525"/>
      <c r="P270" s="6525"/>
      <c r="Q270" s="6525"/>
      <c r="R270" s="6525"/>
      <c r="S270" s="6525"/>
      <c r="T270" s="6525"/>
      <c r="U270" s="6525"/>
      <c r="V270" s="6525"/>
      <c r="X270" s="1292"/>
      <c r="Y270" s="1773"/>
      <c r="Z270" s="1773"/>
      <c r="AA270" s="1292"/>
      <c r="AB270" s="1292"/>
      <c r="AC270" s="1292"/>
      <c r="AD270" s="1292"/>
      <c r="AE270" s="1773"/>
      <c r="AF270" s="1292"/>
      <c r="AG270" s="1292"/>
      <c r="AH270" s="674"/>
      <c r="AI270" s="1292"/>
      <c r="AJ270" s="1292"/>
      <c r="AK270" s="1292"/>
      <c r="AL270" s="1292"/>
      <c r="AM270" s="1292"/>
      <c r="AN270" s="1769"/>
      <c r="AO270" s="696"/>
      <c r="AP270" s="696"/>
      <c r="AQ270" s="696"/>
      <c r="AR270" s="696"/>
    </row>
    <row s="11770" customFormat="1" customHeight="1" ht="11.25">
      <c r="A271" s="1118"/>
      <c r="B271" s="1773"/>
      <c r="C271" s="1773"/>
      <c r="D271" s="481"/>
      <c r="J271" s="6525"/>
      <c r="K271" s="6525"/>
      <c r="L271" s="6525"/>
      <c r="M271" s="6525"/>
      <c r="N271" s="6525"/>
      <c r="O271" s="6525"/>
      <c r="P271" s="6525"/>
      <c r="Q271" s="6525"/>
      <c r="R271" s="6525"/>
      <c r="S271" s="6525"/>
      <c r="T271" s="6525"/>
      <c r="U271" s="6525"/>
      <c r="V271" s="6525"/>
      <c r="X271" s="1292"/>
      <c r="Y271" s="1773"/>
      <c r="Z271" s="1773"/>
      <c r="AA271" s="1292"/>
      <c r="AB271" s="1292"/>
      <c r="AC271" s="1292"/>
      <c r="AD271" s="1292"/>
      <c r="AE271" s="1773"/>
      <c r="AF271" s="1292"/>
      <c r="AG271" s="1292"/>
      <c r="AH271" s="674"/>
      <c r="AI271" s="1292"/>
      <c r="AJ271" s="1292"/>
      <c r="AK271" s="1292"/>
      <c r="AL271" s="1292"/>
      <c r="AM271" s="1292"/>
      <c r="AN271" s="1769"/>
      <c r="AO271" s="696"/>
      <c r="AP271" s="696"/>
      <c r="AQ271" s="696"/>
      <c r="AR271" s="696"/>
    </row>
    <row s="11770" customFormat="1" customHeight="1" ht="11.25">
      <c r="A272" s="1118"/>
      <c r="B272" s="1773"/>
      <c r="C272" s="1773"/>
      <c r="D272" s="481"/>
      <c r="J272" s="6525"/>
      <c r="K272" s="6525"/>
      <c r="L272" s="6525"/>
      <c r="M272" s="6525"/>
      <c r="N272" s="6525"/>
      <c r="O272" s="6525"/>
      <c r="P272" s="6525"/>
      <c r="Q272" s="6525"/>
      <c r="R272" s="6525"/>
      <c r="S272" s="6525"/>
      <c r="T272" s="6525"/>
      <c r="U272" s="6525"/>
      <c r="V272" s="6525"/>
      <c r="X272" s="1292"/>
      <c r="Y272" s="1773"/>
      <c r="Z272" s="1773"/>
      <c r="AA272" s="1292"/>
      <c r="AB272" s="1292"/>
      <c r="AC272" s="1292"/>
      <c r="AD272" s="1292"/>
      <c r="AE272" s="1773"/>
      <c r="AF272" s="1292"/>
      <c r="AG272" s="1292"/>
      <c r="AH272" s="674"/>
      <c r="AI272" s="1292"/>
      <c r="AJ272" s="1292"/>
      <c r="AK272" s="1292"/>
      <c r="AL272" s="1292"/>
      <c r="AM272" s="1292"/>
      <c r="AN272" s="1769"/>
      <c r="AO272" s="696"/>
      <c r="AP272" s="696"/>
      <c r="AQ272" s="696"/>
      <c r="AR272" s="696"/>
    </row>
    <row s="11770" customFormat="1" customHeight="1" ht="11.25">
      <c r="A273" s="1118"/>
      <c r="B273" s="1773"/>
      <c r="C273" s="1773"/>
      <c r="D273" s="481"/>
      <c r="J273" s="6525"/>
      <c r="K273" s="6525"/>
      <c r="L273" s="6525"/>
      <c r="M273" s="6525"/>
      <c r="N273" s="6525"/>
      <c r="O273" s="6525"/>
      <c r="P273" s="6525"/>
      <c r="Q273" s="6525"/>
      <c r="R273" s="6525"/>
      <c r="S273" s="6525"/>
      <c r="T273" s="6525"/>
      <c r="U273" s="6525"/>
      <c r="V273" s="6525"/>
      <c r="X273" s="1292"/>
      <c r="Y273" s="1773"/>
      <c r="Z273" s="1773"/>
      <c r="AA273" s="1292"/>
      <c r="AB273" s="1292"/>
      <c r="AC273" s="1292"/>
      <c r="AD273" s="1292"/>
      <c r="AE273" s="1773"/>
      <c r="AF273" s="1292"/>
      <c r="AG273" s="1292"/>
      <c r="AH273" s="674"/>
      <c r="AI273" s="1292"/>
      <c r="AJ273" s="1292"/>
      <c r="AK273" s="1292"/>
      <c r="AL273" s="1292"/>
      <c r="AM273" s="1292"/>
      <c r="AN273" s="1769"/>
      <c r="AO273" s="696"/>
      <c r="AP273" s="696"/>
      <c r="AQ273" s="696"/>
      <c r="AR273" s="696"/>
    </row>
    <row s="11770" customFormat="1" customHeight="1" ht="11.25">
      <c r="A274" s="1118"/>
      <c r="B274" s="1773"/>
      <c r="C274" s="1773"/>
      <c r="D274" s="481"/>
      <c r="J274" s="6525"/>
      <c r="K274" s="6525"/>
      <c r="L274" s="6525"/>
      <c r="M274" s="6525"/>
      <c r="N274" s="6525"/>
      <c r="O274" s="6525"/>
      <c r="P274" s="6525"/>
      <c r="Q274" s="6525"/>
      <c r="R274" s="6525"/>
      <c r="S274" s="6525"/>
      <c r="T274" s="6525"/>
      <c r="U274" s="6525"/>
      <c r="V274" s="6525"/>
      <c r="X274" s="1292"/>
      <c r="Y274" s="1773"/>
      <c r="Z274" s="1773"/>
      <c r="AA274" s="1292"/>
      <c r="AB274" s="1292"/>
      <c r="AC274" s="1292"/>
      <c r="AD274" s="1292"/>
      <c r="AE274" s="1773"/>
      <c r="AF274" s="1292"/>
      <c r="AG274" s="1292"/>
      <c r="AH274" s="674"/>
      <c r="AI274" s="1292"/>
      <c r="AJ274" s="1292"/>
      <c r="AK274" s="1292"/>
      <c r="AL274" s="1292"/>
      <c r="AM274" s="1292"/>
      <c r="AN274" s="1769"/>
      <c r="AO274" s="696"/>
      <c r="AP274" s="696"/>
      <c r="AQ274" s="696"/>
      <c r="AR274" s="696"/>
    </row>
    <row s="11770" customFormat="1" customHeight="1" ht="11.25">
      <c r="A275" s="1118"/>
      <c r="B275" s="1773"/>
      <c r="C275" s="1773"/>
      <c r="D275" s="481"/>
      <c r="J275" s="6525"/>
      <c r="K275" s="6525"/>
      <c r="L275" s="6525"/>
      <c r="M275" s="6525"/>
      <c r="N275" s="6525"/>
      <c r="O275" s="6525"/>
      <c r="P275" s="6525"/>
      <c r="Q275" s="6525"/>
      <c r="R275" s="6525"/>
      <c r="S275" s="6525"/>
      <c r="T275" s="6525"/>
      <c r="U275" s="6525"/>
      <c r="V275" s="6525"/>
      <c r="X275" s="1292"/>
      <c r="Y275" s="1773"/>
      <c r="Z275" s="1773"/>
      <c r="AA275" s="1292"/>
      <c r="AB275" s="1292"/>
      <c r="AC275" s="1292"/>
      <c r="AD275" s="1292"/>
      <c r="AE275" s="1773"/>
      <c r="AF275" s="1292"/>
      <c r="AG275" s="1292"/>
      <c r="AH275" s="674"/>
      <c r="AI275" s="1292"/>
      <c r="AJ275" s="1292"/>
      <c r="AK275" s="1292"/>
      <c r="AL275" s="1292"/>
      <c r="AM275" s="1292"/>
      <c r="AN275" s="1769"/>
      <c r="AO275" s="696"/>
      <c r="AP275" s="696"/>
      <c r="AQ275" s="696"/>
      <c r="AR275" s="696"/>
    </row>
    <row s="11770" customFormat="1" customHeight="1" ht="11.25">
      <c r="A276" s="1118"/>
      <c r="B276" s="1773"/>
      <c r="C276" s="1773"/>
      <c r="D276" s="481"/>
      <c r="J276" s="6525"/>
      <c r="K276" s="6525"/>
      <c r="L276" s="6525"/>
      <c r="M276" s="6525"/>
      <c r="N276" s="6525"/>
      <c r="O276" s="6525"/>
      <c r="P276" s="6525"/>
      <c r="Q276" s="6525"/>
      <c r="R276" s="6525"/>
      <c r="S276" s="6525"/>
      <c r="T276" s="6525"/>
      <c r="U276" s="6525"/>
      <c r="V276" s="6525"/>
      <c r="X276" s="1292"/>
      <c r="Y276" s="1773"/>
      <c r="Z276" s="1773"/>
      <c r="AA276" s="1292"/>
      <c r="AB276" s="1292"/>
      <c r="AC276" s="1292"/>
      <c r="AD276" s="1292"/>
      <c r="AE276" s="1773"/>
      <c r="AF276" s="1292"/>
      <c r="AG276" s="1292"/>
      <c r="AH276" s="674"/>
      <c r="AI276" s="1292"/>
      <c r="AJ276" s="1292"/>
      <c r="AK276" s="1292"/>
      <c r="AL276" s="1292"/>
      <c r="AM276" s="1292"/>
      <c r="AN276" s="1769"/>
      <c r="AO276" s="696"/>
      <c r="AP276" s="696"/>
      <c r="AQ276" s="696"/>
      <c r="AR276" s="696"/>
    </row>
    <row s="11770" customFormat="1" customHeight="1" ht="11.25">
      <c r="A277" s="1118"/>
      <c r="B277" s="1773"/>
      <c r="C277" s="1773"/>
      <c r="D277" s="481"/>
      <c r="J277" s="6525"/>
      <c r="K277" s="6525"/>
      <c r="L277" s="6525"/>
      <c r="M277" s="6525"/>
      <c r="N277" s="6525"/>
      <c r="O277" s="6525"/>
      <c r="P277" s="6525"/>
      <c r="Q277" s="6525"/>
      <c r="R277" s="6525"/>
      <c r="S277" s="6525"/>
      <c r="T277" s="6525"/>
      <c r="U277" s="6525"/>
      <c r="V277" s="6525"/>
      <c r="X277" s="1292"/>
      <c r="Y277" s="1773"/>
      <c r="Z277" s="1773"/>
      <c r="AA277" s="1292"/>
      <c r="AB277" s="1292"/>
      <c r="AC277" s="1292"/>
      <c r="AD277" s="1292"/>
      <c r="AE277" s="1773"/>
      <c r="AF277" s="1292"/>
      <c r="AG277" s="1292"/>
      <c r="AH277" s="674"/>
      <c r="AI277" s="1292"/>
      <c r="AJ277" s="1292"/>
      <c r="AK277" s="1292"/>
      <c r="AL277" s="1292"/>
      <c r="AM277" s="1292"/>
      <c r="AN277" s="1769"/>
      <c r="AO277" s="696"/>
      <c r="AP277" s="696"/>
      <c r="AQ277" s="696"/>
      <c r="AR277" s="696"/>
    </row>
    <row s="11770" customFormat="1" customHeight="1" ht="11.25">
      <c r="A278" s="1118"/>
      <c r="B278" s="1773"/>
      <c r="C278" s="1773"/>
      <c r="D278" s="481"/>
      <c r="J278" s="6525"/>
      <c r="K278" s="6525"/>
      <c r="L278" s="6525"/>
      <c r="M278" s="6525"/>
      <c r="N278" s="6525"/>
      <c r="O278" s="6525"/>
      <c r="P278" s="6525"/>
      <c r="Q278" s="6525"/>
      <c r="R278" s="6525"/>
      <c r="S278" s="6525"/>
      <c r="T278" s="6525"/>
      <c r="U278" s="6525"/>
      <c r="V278" s="6525"/>
      <c r="X278" s="1292"/>
      <c r="Y278" s="1773"/>
      <c r="Z278" s="1773"/>
      <c r="AA278" s="1292"/>
      <c r="AB278" s="1292"/>
      <c r="AC278" s="1292"/>
      <c r="AD278" s="1292"/>
      <c r="AE278" s="1773"/>
      <c r="AF278" s="1292"/>
      <c r="AG278" s="1292"/>
      <c r="AH278" s="674"/>
      <c r="AI278" s="1292"/>
      <c r="AJ278" s="1292"/>
      <c r="AK278" s="1292"/>
      <c r="AL278" s="1292"/>
      <c r="AM278" s="1292"/>
      <c r="AN278" s="1769"/>
      <c r="AO278" s="696"/>
      <c r="AP278" s="696"/>
      <c r="AQ278" s="696"/>
      <c r="AR278" s="696"/>
    </row>
    <row s="11770" customFormat="1" customHeight="1" ht="11.25">
      <c r="A279" s="1118"/>
      <c r="B279" s="1773"/>
      <c r="C279" s="1773"/>
      <c r="D279" s="481"/>
      <c r="J279" s="6525"/>
      <c r="K279" s="6525"/>
      <c r="L279" s="6525"/>
      <c r="M279" s="6525"/>
      <c r="N279" s="6525"/>
      <c r="O279" s="6525"/>
      <c r="P279" s="6525"/>
      <c r="Q279" s="6525"/>
      <c r="R279" s="6525"/>
      <c r="S279" s="6525"/>
      <c r="T279" s="6525"/>
      <c r="U279" s="6525"/>
      <c r="V279" s="6525"/>
      <c r="X279" s="1292"/>
      <c r="Y279" s="1773"/>
      <c r="Z279" s="1773"/>
      <c r="AA279" s="1292"/>
      <c r="AB279" s="1292"/>
      <c r="AC279" s="1292"/>
      <c r="AD279" s="1292"/>
      <c r="AE279" s="1773"/>
      <c r="AF279" s="1292"/>
      <c r="AG279" s="1292"/>
      <c r="AH279" s="674"/>
      <c r="AI279" s="1292"/>
      <c r="AJ279" s="1292"/>
      <c r="AK279" s="1292"/>
      <c r="AL279" s="1292"/>
      <c r="AM279" s="1292"/>
      <c r="AN279" s="1769"/>
      <c r="AO279" s="696"/>
      <c r="AP279" s="696"/>
      <c r="AQ279" s="696"/>
      <c r="AR279" s="696"/>
    </row>
    <row s="11770" customFormat="1" customHeight="1" ht="11.25">
      <c r="A280" s="1118"/>
      <c r="B280" s="1773"/>
      <c r="C280" s="1773"/>
      <c r="D280" s="481"/>
      <c r="J280" s="6525"/>
      <c r="K280" s="6525"/>
      <c r="L280" s="6525"/>
      <c r="M280" s="6525"/>
      <c r="N280" s="6525"/>
      <c r="O280" s="6525"/>
      <c r="P280" s="6525"/>
      <c r="Q280" s="6525"/>
      <c r="R280" s="6525"/>
      <c r="S280" s="6525"/>
      <c r="T280" s="6525"/>
      <c r="U280" s="6525"/>
      <c r="V280" s="6525"/>
      <c r="X280" s="1292"/>
      <c r="Y280" s="1773"/>
      <c r="Z280" s="1773"/>
      <c r="AA280" s="1292"/>
      <c r="AB280" s="1292"/>
      <c r="AC280" s="1292"/>
      <c r="AD280" s="1292"/>
      <c r="AE280" s="1773"/>
      <c r="AF280" s="1292"/>
      <c r="AG280" s="1292"/>
      <c r="AH280" s="674"/>
      <c r="AI280" s="1292"/>
      <c r="AJ280" s="1292"/>
      <c r="AK280" s="1292"/>
      <c r="AL280" s="1292"/>
      <c r="AM280" s="1292"/>
      <c r="AN280" s="1769"/>
      <c r="AO280" s="696"/>
      <c r="AP280" s="696"/>
      <c r="AQ280" s="696"/>
      <c r="AR280" s="696"/>
    </row>
    <row s="11770" customFormat="1" customHeight="1" ht="11.25">
      <c r="A281" s="1118"/>
      <c r="B281" s="1773"/>
      <c r="C281" s="1773"/>
      <c r="D281" s="481"/>
      <c r="J281" s="6525"/>
      <c r="K281" s="6525"/>
      <c r="L281" s="6525"/>
      <c r="M281" s="6525"/>
      <c r="N281" s="6525"/>
      <c r="O281" s="6525"/>
      <c r="P281" s="6525"/>
      <c r="Q281" s="6525"/>
      <c r="R281" s="6525"/>
      <c r="S281" s="6525"/>
      <c r="T281" s="6525"/>
      <c r="U281" s="6525"/>
      <c r="V281" s="6525"/>
      <c r="X281" s="1292"/>
      <c r="Y281" s="1773"/>
      <c r="Z281" s="1773"/>
      <c r="AA281" s="1292"/>
      <c r="AB281" s="1292"/>
      <c r="AC281" s="1292"/>
      <c r="AD281" s="1292"/>
      <c r="AE281" s="1773"/>
      <c r="AF281" s="1292"/>
      <c r="AG281" s="1292"/>
      <c r="AH281" s="674"/>
      <c r="AI281" s="1292"/>
      <c r="AJ281" s="1292"/>
      <c r="AK281" s="1292"/>
      <c r="AL281" s="1292"/>
      <c r="AM281" s="1292"/>
      <c r="AN281" s="1769"/>
      <c r="AO281" s="696"/>
      <c r="AP281" s="696"/>
      <c r="AQ281" s="696"/>
      <c r="AR281" s="696"/>
    </row>
    <row s="11770" customFormat="1" customHeight="1" ht="11.25">
      <c r="A282" s="1118"/>
      <c r="B282" s="1773"/>
      <c r="C282" s="1773"/>
      <c r="D282" s="481"/>
      <c r="J282" s="6525"/>
      <c r="K282" s="6525"/>
      <c r="L282" s="6525"/>
      <c r="M282" s="6525"/>
      <c r="N282" s="6525"/>
      <c r="O282" s="6525"/>
      <c r="P282" s="6525"/>
      <c r="Q282" s="6525"/>
      <c r="R282" s="6525"/>
      <c r="S282" s="6525"/>
      <c r="T282" s="6525"/>
      <c r="U282" s="6525"/>
      <c r="V282" s="6525"/>
      <c r="X282" s="1292"/>
      <c r="Y282" s="1773"/>
      <c r="Z282" s="1773"/>
      <c r="AA282" s="1292"/>
      <c r="AB282" s="1292"/>
      <c r="AC282" s="1292"/>
      <c r="AD282" s="1292"/>
      <c r="AE282" s="1773"/>
      <c r="AF282" s="1292"/>
      <c r="AG282" s="1292"/>
      <c r="AH282" s="674"/>
      <c r="AI282" s="1292"/>
      <c r="AJ282" s="1292"/>
      <c r="AK282" s="1292"/>
      <c r="AL282" s="1292"/>
      <c r="AM282" s="1292"/>
      <c r="AN282" s="1769"/>
      <c r="AO282" s="696"/>
      <c r="AP282" s="696"/>
      <c r="AQ282" s="696"/>
      <c r="AR282" s="696"/>
    </row>
    <row s="11770" customFormat="1" customHeight="1" ht="11.25">
      <c r="A283" s="1118"/>
      <c r="B283" s="1773"/>
      <c r="C283" s="1773"/>
      <c r="D283" s="481"/>
      <c r="J283" s="6525"/>
      <c r="K283" s="6525"/>
      <c r="L283" s="6525"/>
      <c r="M283" s="6525"/>
      <c r="N283" s="6525"/>
      <c r="O283" s="6525"/>
      <c r="P283" s="6525"/>
      <c r="Q283" s="6525"/>
      <c r="R283" s="6525"/>
      <c r="S283" s="6525"/>
      <c r="T283" s="6525"/>
      <c r="U283" s="6525"/>
      <c r="V283" s="6525"/>
      <c r="X283" s="1292"/>
      <c r="Y283" s="1773"/>
      <c r="Z283" s="1773"/>
      <c r="AA283" s="1292"/>
      <c r="AB283" s="1292"/>
      <c r="AC283" s="1292"/>
      <c r="AD283" s="1292"/>
      <c r="AE283" s="1773"/>
      <c r="AF283" s="1292"/>
      <c r="AG283" s="1292"/>
      <c r="AH283" s="674"/>
      <c r="AI283" s="1292"/>
      <c r="AJ283" s="1292"/>
      <c r="AK283" s="1292"/>
      <c r="AL283" s="1292"/>
      <c r="AM283" s="1292"/>
      <c r="AN283" s="1769"/>
      <c r="AO283" s="696"/>
      <c r="AP283" s="696"/>
      <c r="AQ283" s="696"/>
      <c r="AR283" s="696"/>
    </row>
    <row s="11770" customFormat="1" customHeight="1" ht="11.25">
      <c r="A284" s="1118"/>
      <c r="B284" s="1773"/>
      <c r="C284" s="1773"/>
      <c r="D284" s="481"/>
      <c r="J284" s="6525"/>
      <c r="K284" s="6525"/>
      <c r="L284" s="6525"/>
      <c r="M284" s="6525"/>
      <c r="N284" s="6525"/>
      <c r="O284" s="6525"/>
      <c r="P284" s="6525"/>
      <c r="Q284" s="6525"/>
      <c r="R284" s="6525"/>
      <c r="S284" s="6525"/>
      <c r="T284" s="6525"/>
      <c r="U284" s="6525"/>
      <c r="V284" s="6525"/>
      <c r="X284" s="1292"/>
      <c r="Y284" s="1773"/>
      <c r="Z284" s="1773"/>
      <c r="AA284" s="1292"/>
      <c r="AB284" s="1292"/>
      <c r="AC284" s="1292"/>
      <c r="AD284" s="1292"/>
      <c r="AE284" s="1773"/>
      <c r="AF284" s="1292"/>
      <c r="AG284" s="1292"/>
      <c r="AH284" s="674"/>
      <c r="AI284" s="1292"/>
      <c r="AJ284" s="1292"/>
      <c r="AK284" s="1292"/>
      <c r="AL284" s="1292"/>
      <c r="AM284" s="1292"/>
      <c r="AN284" s="1769"/>
      <c r="AO284" s="696"/>
      <c r="AP284" s="696"/>
      <c r="AQ284" s="696"/>
      <c r="AR284" s="696"/>
    </row>
    <row s="11770" customFormat="1" customHeight="1" ht="11.25">
      <c r="A285" s="1118"/>
      <c r="B285" s="1773"/>
      <c r="C285" s="1773"/>
      <c r="D285" s="481"/>
      <c r="J285" s="6525"/>
      <c r="K285" s="6525"/>
      <c r="L285" s="6525"/>
      <c r="M285" s="6525"/>
      <c r="N285" s="6525"/>
      <c r="O285" s="6525"/>
      <c r="P285" s="6525"/>
      <c r="Q285" s="6525"/>
      <c r="R285" s="6525"/>
      <c r="S285" s="6525"/>
      <c r="T285" s="6525"/>
      <c r="U285" s="6525"/>
      <c r="V285" s="6525"/>
      <c r="X285" s="1292"/>
      <c r="Y285" s="1773"/>
      <c r="Z285" s="1773"/>
      <c r="AA285" s="1292"/>
      <c r="AB285" s="1292"/>
      <c r="AC285" s="1292"/>
      <c r="AD285" s="1292"/>
      <c r="AE285" s="1773"/>
      <c r="AF285" s="1292"/>
      <c r="AG285" s="1292"/>
      <c r="AH285" s="674"/>
      <c r="AI285" s="1292"/>
      <c r="AJ285" s="1292"/>
      <c r="AK285" s="1292"/>
      <c r="AL285" s="1292"/>
      <c r="AM285" s="1292"/>
      <c r="AN285" s="1769"/>
      <c r="AO285" s="696"/>
      <c r="AP285" s="696"/>
      <c r="AQ285" s="696"/>
      <c r="AR285" s="696"/>
    </row>
    <row s="11770" customFormat="1" customHeight="1" ht="11.25">
      <c r="A286" s="1118"/>
      <c r="B286" s="1773"/>
      <c r="C286" s="1773"/>
      <c r="D286" s="481"/>
      <c r="J286" s="6525"/>
      <c r="K286" s="6525"/>
      <c r="L286" s="6525"/>
      <c r="M286" s="6525"/>
      <c r="N286" s="6525"/>
      <c r="O286" s="6525"/>
      <c r="P286" s="6525"/>
      <c r="Q286" s="6525"/>
      <c r="R286" s="6525"/>
      <c r="S286" s="6525"/>
      <c r="T286" s="6525"/>
      <c r="U286" s="6525"/>
      <c r="V286" s="6525"/>
      <c r="X286" s="1292"/>
      <c r="Y286" s="1773"/>
      <c r="Z286" s="1773"/>
      <c r="AA286" s="1292"/>
      <c r="AB286" s="1292"/>
      <c r="AC286" s="1292"/>
      <c r="AD286" s="1292"/>
      <c r="AE286" s="1773"/>
      <c r="AF286" s="1292"/>
      <c r="AG286" s="1292"/>
      <c r="AH286" s="674"/>
      <c r="AI286" s="1292"/>
      <c r="AJ286" s="1292"/>
      <c r="AK286" s="1292"/>
      <c r="AL286" s="1292"/>
      <c r="AM286" s="1292"/>
      <c r="AN286" s="1769"/>
      <c r="AO286" s="696"/>
      <c r="AP286" s="696"/>
      <c r="AQ286" s="696"/>
      <c r="AR286" s="696"/>
    </row>
    <row s="11770" customFormat="1" customHeight="1" ht="11.25">
      <c r="A287" s="1118"/>
      <c r="B287" s="1773"/>
      <c r="C287" s="1773"/>
      <c r="D287" s="481"/>
      <c r="J287" s="6525"/>
      <c r="K287" s="6525"/>
      <c r="L287" s="6525"/>
      <c r="M287" s="6525"/>
      <c r="N287" s="6525"/>
      <c r="O287" s="6525"/>
      <c r="P287" s="6525"/>
      <c r="Q287" s="6525"/>
      <c r="R287" s="6525"/>
      <c r="S287" s="6525"/>
      <c r="T287" s="6525"/>
      <c r="U287" s="6525"/>
      <c r="V287" s="6525"/>
      <c r="X287" s="1292"/>
      <c r="Y287" s="1773"/>
      <c r="Z287" s="1773"/>
      <c r="AA287" s="1292"/>
      <c r="AB287" s="1292"/>
      <c r="AC287" s="1292"/>
      <c r="AD287" s="1292"/>
      <c r="AE287" s="1773"/>
      <c r="AF287" s="1292"/>
      <c r="AG287" s="1292"/>
      <c r="AH287" s="674"/>
      <c r="AI287" s="1292"/>
      <c r="AJ287" s="1292"/>
      <c r="AK287" s="1292"/>
      <c r="AL287" s="1292"/>
      <c r="AM287" s="1292"/>
      <c r="AN287" s="1769"/>
      <c r="AO287" s="696"/>
      <c r="AP287" s="696"/>
      <c r="AQ287" s="696"/>
      <c r="AR287" s="696"/>
    </row>
    <row s="11770" customFormat="1" customHeight="1" ht="11.25">
      <c r="A288" s="1118"/>
      <c r="B288" s="1773"/>
      <c r="C288" s="1773"/>
      <c r="D288" s="481"/>
      <c r="J288" s="6525"/>
      <c r="K288" s="6525"/>
      <c r="L288" s="6525"/>
      <c r="M288" s="6525"/>
      <c r="N288" s="6525"/>
      <c r="O288" s="6525"/>
      <c r="P288" s="6525"/>
      <c r="Q288" s="6525"/>
      <c r="R288" s="6525"/>
      <c r="S288" s="6525"/>
      <c r="T288" s="6525"/>
      <c r="U288" s="6525"/>
      <c r="V288" s="6525"/>
      <c r="X288" s="1292"/>
      <c r="Y288" s="1773"/>
      <c r="Z288" s="1773"/>
      <c r="AA288" s="1292"/>
      <c r="AB288" s="1292"/>
      <c r="AC288" s="1292"/>
      <c r="AD288" s="1292"/>
      <c r="AE288" s="1773"/>
      <c r="AF288" s="1292"/>
      <c r="AG288" s="1292"/>
      <c r="AH288" s="674"/>
      <c r="AI288" s="1292"/>
      <c r="AJ288" s="1292"/>
      <c r="AK288" s="1292"/>
      <c r="AL288" s="1292"/>
      <c r="AM288" s="1292"/>
      <c r="AN288" s="1769"/>
      <c r="AO288" s="696"/>
      <c r="AP288" s="696"/>
      <c r="AQ288" s="696"/>
      <c r="AR288" s="696"/>
    </row>
    <row customHeight="1" ht="11.25">
      <c r="J289" s="6300"/>
      <c r="K289" s="6300"/>
      <c r="L289" s="6300"/>
      <c r="M289" s="6300"/>
      <c r="N289" s="6300"/>
      <c r="O289" s="6300"/>
      <c r="P289" s="6300"/>
      <c r="Q289" s="6300"/>
      <c r="R289" s="6300"/>
      <c r="S289" s="6300"/>
      <c r="T289" s="6300"/>
      <c r="U289" s="6300"/>
      <c r="V289" s="6300"/>
    </row>
    <row customHeight="1" ht="11.25">
      <c r="J290" s="6300"/>
      <c r="K290" s="6300"/>
      <c r="L290" s="6300"/>
      <c r="M290" s="6300"/>
      <c r="N290" s="6300"/>
      <c r="O290" s="6300"/>
      <c r="P290" s="6300"/>
      <c r="Q290" s="6300"/>
      <c r="R290" s="6300"/>
      <c r="S290" s="6300"/>
      <c r="T290" s="6300"/>
      <c r="U290" s="6300"/>
      <c r="V290" s="6300"/>
    </row>
    <row customHeight="1" ht="11.25">
      <c r="J291" s="6300"/>
      <c r="K291" s="6300"/>
      <c r="L291" s="6300"/>
      <c r="M291" s="6300"/>
      <c r="N291" s="6300"/>
      <c r="O291" s="6300"/>
      <c r="P291" s="6300"/>
      <c r="Q291" s="6300"/>
      <c r="R291" s="6300"/>
      <c r="S291" s="6300"/>
      <c r="T291" s="6300"/>
      <c r="U291" s="6300"/>
      <c r="V291" s="6300"/>
    </row>
    <row customHeight="1" ht="11.25">
      <c r="A292" s="1121"/>
      <c r="B292" s="1768"/>
      <c r="D292" s="1768"/>
      <c r="J292" s="6300"/>
      <c r="K292" s="6300"/>
      <c r="L292" s="6300"/>
      <c r="M292" s="6300"/>
      <c r="N292" s="6300"/>
      <c r="O292" s="6300"/>
      <c r="P292" s="6300"/>
      <c r="Q292" s="6300"/>
      <c r="R292" s="6300"/>
      <c r="S292" s="6300"/>
      <c r="T292" s="6300"/>
      <c r="U292" s="6300"/>
      <c r="V292" s="6300"/>
      <c r="X292" s="1768"/>
      <c r="AA292" s="1768"/>
      <c r="AB292" s="1768"/>
      <c r="AC292" s="1768"/>
      <c r="AD292" s="1768"/>
      <c r="AF292" s="1768"/>
      <c r="AG292" s="1768"/>
      <c r="AH292" s="1768"/>
      <c r="AI292" s="1768"/>
      <c r="AJ292" s="1768"/>
      <c r="AK292" s="1768"/>
      <c r="AL292" s="1768"/>
      <c r="AM292" s="1768"/>
      <c r="AN292" s="1768"/>
      <c r="AO292" s="1768"/>
      <c r="AP292" s="1768"/>
      <c r="AQ292" s="1768"/>
      <c r="AR292" s="1768"/>
    </row>
    <row customHeight="1" ht="11.25">
      <c r="A293" s="1121"/>
      <c r="B293" s="1768"/>
      <c r="D293" s="1768"/>
      <c r="J293" s="6300"/>
      <c r="K293" s="6300"/>
      <c r="L293" s="6300"/>
      <c r="M293" s="6300"/>
      <c r="N293" s="6300"/>
      <c r="O293" s="6300"/>
      <c r="P293" s="6300"/>
      <c r="Q293" s="6300"/>
      <c r="R293" s="6300"/>
      <c r="S293" s="6300"/>
      <c r="T293" s="6300"/>
      <c r="U293" s="6300"/>
      <c r="V293" s="6300"/>
      <c r="X293" s="1768"/>
      <c r="AA293" s="1768"/>
      <c r="AB293" s="1768"/>
      <c r="AC293" s="1768"/>
      <c r="AD293" s="1768"/>
      <c r="AF293" s="1768"/>
      <c r="AG293" s="1768"/>
      <c r="AH293" s="1768"/>
      <c r="AI293" s="1768"/>
      <c r="AJ293" s="1768"/>
      <c r="AK293" s="1768"/>
      <c r="AL293" s="1768"/>
      <c r="AM293" s="1768"/>
      <c r="AN293" s="1768"/>
      <c r="AO293" s="1768"/>
      <c r="AP293" s="1768"/>
      <c r="AQ293" s="1768"/>
      <c r="AR293" s="1768"/>
    </row>
    <row customHeight="1" ht="11.25">
      <c r="A294" s="1121"/>
      <c r="B294" s="1768"/>
      <c r="D294" s="1768"/>
      <c r="J294" s="6300"/>
      <c r="K294" s="6300"/>
      <c r="L294" s="6300"/>
      <c r="M294" s="6300"/>
      <c r="N294" s="6300"/>
      <c r="O294" s="6300"/>
      <c r="P294" s="6300"/>
      <c r="Q294" s="6300"/>
      <c r="R294" s="6300"/>
      <c r="S294" s="6300"/>
      <c r="T294" s="6300"/>
      <c r="U294" s="6300"/>
      <c r="V294" s="6300"/>
      <c r="X294" s="1768"/>
      <c r="AA294" s="1768"/>
      <c r="AB294" s="1768"/>
      <c r="AC294" s="1768"/>
      <c r="AD294" s="1768"/>
      <c r="AF294" s="1768"/>
      <c r="AG294" s="1768"/>
      <c r="AH294" s="1768"/>
      <c r="AI294" s="1768"/>
      <c r="AJ294" s="1768"/>
      <c r="AK294" s="1768"/>
      <c r="AL294" s="1768"/>
      <c r="AM294" s="1768"/>
      <c r="AN294" s="1768"/>
      <c r="AO294" s="1768"/>
      <c r="AP294" s="1768"/>
      <c r="AQ294" s="1768"/>
      <c r="AR294" s="1768"/>
    </row>
    <row customHeight="1" ht="11.25">
      <c r="A295" s="1121"/>
      <c r="B295" s="1768"/>
      <c r="D295" s="1768"/>
      <c r="J295" s="6300"/>
      <c r="K295" s="6300"/>
      <c r="L295" s="6300"/>
      <c r="M295" s="6300"/>
      <c r="N295" s="6300"/>
      <c r="O295" s="6300"/>
      <c r="P295" s="6300"/>
      <c r="Q295" s="6300"/>
      <c r="R295" s="6300"/>
      <c r="S295" s="6300"/>
      <c r="T295" s="6300"/>
      <c r="U295" s="6300"/>
      <c r="V295" s="6300"/>
      <c r="X295" s="1768"/>
      <c r="AA295" s="1768"/>
      <c r="AB295" s="1768"/>
      <c r="AC295" s="1768"/>
      <c r="AD295" s="1768"/>
      <c r="AF295" s="1768"/>
      <c r="AG295" s="1768"/>
      <c r="AH295" s="1768"/>
      <c r="AI295" s="1768"/>
      <c r="AJ295" s="1768"/>
      <c r="AK295" s="1768"/>
      <c r="AL295" s="1768"/>
      <c r="AM295" s="1768"/>
      <c r="AN295" s="1768"/>
      <c r="AO295" s="1768"/>
      <c r="AP295" s="1768"/>
      <c r="AQ295" s="1768"/>
      <c r="AR295" s="1768"/>
    </row>
    <row customHeight="1" ht="11.25">
      <c r="A296" s="1121"/>
      <c r="B296" s="1768"/>
      <c r="D296" s="1768"/>
      <c r="J296" s="6300"/>
      <c r="K296" s="6300"/>
      <c r="L296" s="6300"/>
      <c r="M296" s="6300"/>
      <c r="N296" s="6300"/>
      <c r="O296" s="6300"/>
      <c r="P296" s="6300"/>
      <c r="Q296" s="6300"/>
      <c r="R296" s="6300"/>
      <c r="S296" s="6300"/>
      <c r="T296" s="6300"/>
      <c r="U296" s="6300"/>
      <c r="V296" s="6300"/>
      <c r="X296" s="1768"/>
      <c r="AA296" s="1768"/>
      <c r="AB296" s="1768"/>
      <c r="AC296" s="1768"/>
      <c r="AD296" s="1768"/>
      <c r="AF296" s="1768"/>
      <c r="AG296" s="1768"/>
      <c r="AH296" s="1768"/>
      <c r="AI296" s="1768"/>
      <c r="AJ296" s="1768"/>
      <c r="AK296" s="1768"/>
      <c r="AL296" s="1768"/>
      <c r="AM296" s="1768"/>
      <c r="AN296" s="1768"/>
      <c r="AO296" s="1768"/>
      <c r="AP296" s="1768"/>
      <c r="AQ296" s="1768"/>
      <c r="AR296" s="1768"/>
    </row>
    <row customHeight="1" ht="11.25">
      <c r="A297" s="1121"/>
      <c r="B297" s="1768"/>
      <c r="D297" s="1768"/>
      <c r="J297" s="6300"/>
      <c r="K297" s="6300"/>
      <c r="L297" s="6300"/>
      <c r="M297" s="6300"/>
      <c r="N297" s="6300"/>
      <c r="O297" s="6300"/>
      <c r="P297" s="6300"/>
      <c r="Q297" s="6300"/>
      <c r="R297" s="6300"/>
      <c r="S297" s="6300"/>
      <c r="T297" s="6300"/>
      <c r="U297" s="6300"/>
      <c r="V297" s="6300"/>
      <c r="X297" s="1768"/>
      <c r="AA297" s="1768"/>
      <c r="AB297" s="1768"/>
      <c r="AC297" s="1768"/>
      <c r="AD297" s="1768"/>
      <c r="AF297" s="1768"/>
      <c r="AG297" s="1768"/>
      <c r="AH297" s="1768"/>
      <c r="AI297" s="1768"/>
      <c r="AJ297" s="1768"/>
      <c r="AK297" s="1768"/>
      <c r="AL297" s="1768"/>
      <c r="AM297" s="1768"/>
      <c r="AN297" s="1768"/>
      <c r="AO297" s="1768"/>
      <c r="AP297" s="1768"/>
      <c r="AQ297" s="1768"/>
      <c r="AR297" s="1768"/>
    </row>
    <row customHeight="1" ht="11.25">
      <c r="A298" s="1121"/>
      <c r="B298" s="1768"/>
      <c r="D298" s="1768"/>
      <c r="J298" s="6300"/>
      <c r="K298" s="6300"/>
      <c r="L298" s="6300"/>
      <c r="M298" s="6300"/>
      <c r="N298" s="6300"/>
      <c r="O298" s="6300"/>
      <c r="P298" s="6300"/>
      <c r="Q298" s="6300"/>
      <c r="R298" s="6300"/>
      <c r="S298" s="6300"/>
      <c r="T298" s="6300"/>
      <c r="U298" s="6300"/>
      <c r="V298" s="6300"/>
      <c r="X298" s="1768"/>
      <c r="AA298" s="1768"/>
      <c r="AB298" s="1768"/>
      <c r="AC298" s="1768"/>
      <c r="AD298" s="1768"/>
      <c r="AF298" s="1768"/>
      <c r="AG298" s="1768"/>
      <c r="AH298" s="1768"/>
      <c r="AI298" s="1768"/>
      <c r="AJ298" s="1768"/>
      <c r="AK298" s="1768"/>
      <c r="AL298" s="1768"/>
      <c r="AM298" s="1768"/>
      <c r="AN298" s="1768"/>
      <c r="AO298" s="1768"/>
      <c r="AP298" s="1768"/>
      <c r="AQ298" s="1768"/>
      <c r="AR298" s="1768"/>
    </row>
    <row customHeight="1" ht="11.25">
      <c r="A299" s="1121"/>
      <c r="B299" s="1768"/>
      <c r="D299" s="1768"/>
      <c r="J299" s="6300"/>
      <c r="K299" s="6300"/>
      <c r="L299" s="6300"/>
      <c r="M299" s="6300"/>
      <c r="N299" s="6300"/>
      <c r="O299" s="6300"/>
      <c r="P299" s="6300"/>
      <c r="Q299" s="6300"/>
      <c r="R299" s="6300"/>
      <c r="S299" s="6300"/>
      <c r="T299" s="6300"/>
      <c r="U299" s="6300"/>
      <c r="V299" s="6300"/>
      <c r="X299" s="1768"/>
      <c r="AA299" s="1768"/>
      <c r="AB299" s="1768"/>
      <c r="AC299" s="1768"/>
      <c r="AD299" s="1768"/>
      <c r="AF299" s="1768"/>
      <c r="AG299" s="1768"/>
      <c r="AH299" s="1768"/>
      <c r="AI299" s="1768"/>
      <c r="AJ299" s="1768"/>
      <c r="AK299" s="1768"/>
      <c r="AL299" s="1768"/>
      <c r="AM299" s="1768"/>
      <c r="AN299" s="1768"/>
      <c r="AO299" s="1768"/>
      <c r="AP299" s="1768"/>
      <c r="AQ299" s="1768"/>
      <c r="AR299" s="1768"/>
    </row>
    <row customHeight="1" ht="11.25">
      <c r="A300" s="1121"/>
      <c r="B300" s="1768"/>
      <c r="D300" s="1768"/>
      <c r="J300" s="6300"/>
      <c r="K300" s="6300"/>
      <c r="L300" s="6300"/>
      <c r="M300" s="6300"/>
      <c r="N300" s="6300"/>
      <c r="O300" s="6300"/>
      <c r="P300" s="6300"/>
      <c r="Q300" s="6300"/>
      <c r="R300" s="6300"/>
      <c r="S300" s="6300"/>
      <c r="T300" s="6300"/>
      <c r="U300" s="6300"/>
      <c r="V300" s="6300"/>
      <c r="X300" s="1768"/>
      <c r="AA300" s="1768"/>
      <c r="AB300" s="1768"/>
      <c r="AC300" s="1768"/>
      <c r="AD300" s="1768"/>
      <c r="AF300" s="1768"/>
      <c r="AG300" s="1768"/>
      <c r="AH300" s="1768"/>
      <c r="AI300" s="1768"/>
      <c r="AJ300" s="1768"/>
      <c r="AK300" s="1768"/>
      <c r="AL300" s="1768"/>
      <c r="AM300" s="1768"/>
      <c r="AN300" s="1768"/>
      <c r="AO300" s="1768"/>
      <c r="AP300" s="1768"/>
      <c r="AQ300" s="1768"/>
      <c r="AR300" s="1768"/>
    </row>
    <row customHeight="1" ht="11.25">
      <c r="A301" s="1121"/>
      <c r="B301" s="1768"/>
      <c r="D301" s="1768"/>
      <c r="J301" s="6300"/>
      <c r="K301" s="6300"/>
      <c r="L301" s="6300"/>
      <c r="M301" s="6300"/>
      <c r="N301" s="6300"/>
      <c r="O301" s="6300"/>
      <c r="P301" s="6300"/>
      <c r="Q301" s="6300"/>
      <c r="R301" s="6300"/>
      <c r="S301" s="6300"/>
      <c r="T301" s="6300"/>
      <c r="U301" s="6300"/>
      <c r="V301" s="6300"/>
      <c r="X301" s="1768"/>
      <c r="AA301" s="1768"/>
      <c r="AB301" s="1768"/>
      <c r="AC301" s="1768"/>
      <c r="AD301" s="1768"/>
      <c r="AF301" s="1768"/>
      <c r="AG301" s="1768"/>
      <c r="AH301" s="1768"/>
      <c r="AI301" s="1768"/>
      <c r="AJ301" s="1768"/>
      <c r="AK301" s="1768"/>
      <c r="AL301" s="1768"/>
      <c r="AM301" s="1768"/>
      <c r="AN301" s="1768"/>
      <c r="AO301" s="1768"/>
      <c r="AP301" s="1768"/>
      <c r="AQ301" s="1768"/>
      <c r="AR301" s="1768"/>
    </row>
    <row customHeight="1" ht="11.25">
      <c r="A302" s="1121"/>
      <c r="B302" s="1768"/>
      <c r="D302" s="1768"/>
      <c r="J302" s="6300"/>
      <c r="K302" s="6300"/>
      <c r="L302" s="6300"/>
      <c r="M302" s="6300"/>
      <c r="N302" s="6300"/>
      <c r="O302" s="6300"/>
      <c r="P302" s="6300"/>
      <c r="Q302" s="6300"/>
      <c r="R302" s="6300"/>
      <c r="S302" s="6300"/>
      <c r="T302" s="6300"/>
      <c r="U302" s="6300"/>
      <c r="V302" s="6300"/>
      <c r="X302" s="1768"/>
      <c r="AA302" s="1768"/>
      <c r="AB302" s="1768"/>
      <c r="AC302" s="1768"/>
      <c r="AD302" s="1768"/>
      <c r="AF302" s="1768"/>
      <c r="AG302" s="1768"/>
      <c r="AH302" s="1768"/>
      <c r="AI302" s="1768"/>
      <c r="AJ302" s="1768"/>
      <c r="AK302" s="1768"/>
      <c r="AL302" s="1768"/>
      <c r="AM302" s="1768"/>
      <c r="AN302" s="1768"/>
      <c r="AO302" s="1768"/>
      <c r="AP302" s="1768"/>
      <c r="AQ302" s="1768"/>
      <c r="AR302" s="1768"/>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W25:W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V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V70">
      <formula1>900</formula1>
    </dataValidation>
    <dataValidation type="textLength" operator="lessThanOrEqual" allowBlank="1" showInputMessage="1" showErrorMessage="1" errorTitle="Ошибка" error="Допускается ввод не более 900 символов!" sqref="G4 H34:V34 H39:V39">
      <formula1>900</formula1>
    </dataValidation>
    <dataValidation type="decimal" allowBlank="1" showErrorMessage="1" errorTitle="Ошибка" error="Допускается ввод только неотрицательных чисел!" sqref="H67:V67 H69:V69 H91:V94 H127:V127 H30:V30 H32:V33 H35:V38 H40:V65 H82:V86 H17:V17 H9:V13 H15:V15 H96:V119 H74:V74 H88:V89 H4:V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V81 H128:V130">
      <formula1>900</formula1>
    </dataValidation>
    <dataValidation type="decimal" allowBlank="1" showErrorMessage="1" errorTitle="Ошибка" error="Допускается ввод только действительных чисел!" sqref="H72:V73">
      <formula1>-9.99999999999999E+23</formula1>
      <formula2>9.99999999999999E+23</formula2>
    </dataValidation>
    <dataValidation type="decimal" allowBlank="1" showErrorMessage="1" errorTitle="Ошибка" error="Допускается ввод только действительных чисел!" sqref="H123:V123 H120:V120 H126:V126 H75:V80">
      <formula1>-9.99999999999999E+37</formula1>
      <formula2>9.99999999999999E+37</formula2>
    </dataValidation>
    <dataValidation type="decimal" allowBlank="1" showErrorMessage="1" errorTitle="Ошибка" error="Введите значение от 0 до 100%" sqref="H90:V90 H95:V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V68 H66:V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A965F-4A89-3F97-AC6B-3C1C44A0CAD8}" mc:Ignorable="x14ac xr xr2 xr3">
  <sheetPr>
    <tabColor theme="9" tint="-0.25"/>
  </sheetPr>
  <dimension ref="A1:CE145"/>
  <sheetViews>
    <sheetView topLeftCell="C4" showGridLines="0" zoomScale="90" workbookViewId="0">
      <selection activeCell="A131" sqref="A131:CE139"/>
    </sheetView>
  </sheetViews>
  <sheetFormatPr defaultColWidth="9.140625" customHeight="1" defaultRowHeight="11.25"/>
  <cols>
    <col min="1" max="1" style="12326" width="14.7109375" hidden="1" customWidth="1"/>
    <col min="2" max="2" style="11503" width="17.00390625" hidden="1" customWidth="1"/>
    <col min="3" max="3" style="11506" width="3.7109375" customWidth="1"/>
    <col min="4" max="4" style="11506" width="1.8515625" hidden="1" customWidth="1"/>
    <col min="5" max="6" style="11506" width="7.7109375" customWidth="1"/>
    <col min="7" max="7" style="11506" width="29.7109375" customWidth="1"/>
    <col min="8" max="8" style="11506" width="3.7109375" customWidth="1"/>
    <col min="9" max="9" style="11506" width="5.421875" customWidth="1"/>
    <col min="10" max="10" style="11506" width="24.57421875" customWidth="1"/>
    <col min="11" max="11" style="11506" width="24.421875" customWidth="1"/>
    <col min="12" max="12" style="11506" width="3.7109375" customWidth="1"/>
    <col min="13" max="13" style="11506" width="6.28125" customWidth="1"/>
    <col min="14" max="14" style="11506" width="25.8515625" customWidth="1"/>
    <col min="15" max="18" style="11506" width="18.7109375" customWidth="1"/>
    <col min="19" max="19" style="11506" width="93.421875" customWidth="1"/>
    <col min="20" max="20" style="11506" width="10.57421875" customWidth="1"/>
    <col min="21" max="21" style="12327" width="10.57421875" customWidth="1"/>
    <col min="22" max="22" style="12327" width="11.7109375" customWidth="1"/>
    <col min="23" max="23" style="12328" width="10.57421875" customWidth="1"/>
    <col min="24" max="27" style="11503" width="10.57421875" customWidth="1"/>
    <col min="28" max="83" style="11506"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11. Информация о расходах на капитальный и текущий ремонт основных средств</v>
      </c>
      <c r="F5" s="2276"/>
      <c r="G5" s="2276"/>
      <c r="H5" s="2276"/>
      <c r="I5" s="2276"/>
      <c r="J5" s="2276"/>
      <c r="K5" s="2276"/>
      <c r="L5" s="743"/>
      <c r="M5" s="743"/>
    </row>
    <row s="11055" customFormat="1" customHeight="1" ht="16.5">
      <c r="A6" s="740"/>
      <c r="B6" s="889"/>
      <c r="C6" s="639"/>
      <c r="D6" s="1189"/>
      <c r="E6" s="2214" t="str">
        <f>IF(org=0,"Не определено",org)</f>
        <v>АО "ДГК"</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1482"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378</v>
      </c>
      <c r="F9" s="2142"/>
      <c r="G9" s="2142"/>
      <c r="H9" s="2142"/>
      <c r="I9" s="2142"/>
      <c r="J9" s="2142"/>
      <c r="K9" s="2142"/>
      <c r="L9" s="2142"/>
      <c r="M9" s="2142"/>
      <c r="N9" s="2142"/>
      <c r="O9" s="2142"/>
      <c r="P9" s="2142"/>
      <c r="Q9" s="2142"/>
      <c r="R9" s="2143"/>
      <c r="S9" s="2167" t="s">
        <v>379</v>
      </c>
      <c r="T9" s="464"/>
    </row>
    <row customHeight="1" ht="33.75">
      <c r="D10" s="681" t="s">
        <v>85</v>
      </c>
      <c r="E10" s="2167" t="s">
        <v>85</v>
      </c>
      <c r="F10" s="2167"/>
      <c r="G10" s="651" t="s">
        <v>380</v>
      </c>
      <c r="H10" s="2167" t="s">
        <v>85</v>
      </c>
      <c r="I10" s="2167"/>
      <c r="J10" s="651" t="s">
        <v>685</v>
      </c>
      <c r="K10" s="651" t="s">
        <v>686</v>
      </c>
      <c r="L10" s="2167" t="s">
        <v>85</v>
      </c>
      <c r="M10" s="2167"/>
      <c r="N10" s="651" t="s">
        <v>687</v>
      </c>
      <c r="O10" s="651" t="s">
        <v>688</v>
      </c>
      <c r="P10" s="651" t="s">
        <v>689</v>
      </c>
      <c r="Q10" s="651" t="s">
        <v>690</v>
      </c>
      <c r="R10" s="651" t="s">
        <v>691</v>
      </c>
      <c r="S10" s="2167"/>
      <c r="T10" s="464"/>
    </row>
    <row s="11721" customFormat="1" customHeight="1" ht="15" hidden="1">
      <c r="A11" s="1183"/>
      <c r="D11" s="1156" t="s">
        <v>165</v>
      </c>
      <c r="E11" s="1156"/>
      <c r="F11" s="1156" t="s">
        <v>100</v>
      </c>
      <c r="G11" s="1156" t="s">
        <v>87</v>
      </c>
      <c r="H11" s="1156"/>
      <c r="I11" s="1156" t="s">
        <v>88</v>
      </c>
      <c r="J11" s="1156" t="s">
        <v>119</v>
      </c>
      <c r="K11" s="1156" t="s">
        <v>89</v>
      </c>
      <c r="L11" s="1156"/>
      <c r="M11" s="1156" t="s">
        <v>90</v>
      </c>
      <c r="N11" s="1156" t="s">
        <v>140</v>
      </c>
      <c r="O11" s="1156" t="s">
        <v>151</v>
      </c>
      <c r="P11" s="1156" t="s">
        <v>229</v>
      </c>
      <c r="Q11" s="1156" t="s">
        <v>230</v>
      </c>
      <c r="R11" s="1156" t="s">
        <v>231</v>
      </c>
      <c r="S11" s="1156" t="s">
        <v>232</v>
      </c>
      <c r="U11" s="741"/>
      <c r="V11" s="741"/>
      <c r="W11" s="741"/>
    </row>
    <row s="12259" customFormat="1" customHeight="1" ht="0.75">
      <c r="A12" s="745"/>
      <c r="B12" s="492"/>
      <c r="D12" s="678"/>
      <c r="E12" s="476"/>
      <c r="F12" s="476"/>
      <c r="Q12" s="746"/>
      <c r="R12" s="747"/>
      <c r="T12" s="748"/>
      <c r="U12" s="749"/>
      <c r="V12" s="749"/>
      <c r="W12" s="750"/>
      <c r="X12" s="492"/>
      <c r="Y12" s="492"/>
      <c r="Z12" s="492"/>
      <c r="AA12" s="492"/>
    </row>
    <row s="11482" customFormat="1" customHeight="1" ht="0.75">
      <c r="A13" s="751"/>
      <c r="B13" s="696"/>
      <c r="D13" s="678" t="s">
        <v>456</v>
      </c>
      <c r="E13" s="690"/>
      <c r="F13" s="690"/>
      <c r="G13" s="690"/>
      <c r="H13" s="690"/>
      <c r="I13" s="690"/>
      <c r="J13" s="690"/>
      <c r="K13" s="690"/>
      <c r="L13" s="690"/>
      <c r="M13" s="690"/>
      <c r="N13" s="690"/>
      <c r="O13" s="690"/>
      <c r="P13" s="690"/>
      <c r="Q13" s="690"/>
      <c r="R13" s="690"/>
      <c r="T13" s="464"/>
      <c r="U13" s="741"/>
      <c r="V13" s="741"/>
      <c r="W13" s="752"/>
      <c r="X13" s="696"/>
      <c r="Y13" s="696"/>
      <c r="Z13" s="696"/>
      <c r="AA13" s="696"/>
    </row>
    <row s="11355" customFormat="1" customHeight="1" ht="15" hidden="1">
      <c r="A14" s="753" t="s">
        <v>171</v>
      </c>
      <c r="B14" s="754"/>
      <c r="C14" s="754"/>
      <c r="D14" s="2409" t="s">
        <v>165</v>
      </c>
      <c r="E14" s="2406" t="s">
        <v>161</v>
      </c>
      <c r="F14" s="2407"/>
      <c r="G14" s="2408"/>
      <c r="H14" s="2412" t="str">
        <f>IF(A14="","",INDEX(DIFFERENTIATION_UNMERGE_VD,MATCH(A14,DIFFERENTIATION_ID_DIFF,0)))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692</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1355" customFormat="1" customHeight="1" ht="15" hidden="1">
      <c r="A15" s="753"/>
      <c r="B15" s="754"/>
      <c r="C15" s="754"/>
      <c r="D15" s="2410"/>
      <c r="E15" s="2406" t="s">
        <v>647</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1355" customFormat="1" customHeight="1" ht="15" hidden="1">
      <c r="A16" s="753"/>
      <c r="B16" s="754"/>
      <c r="C16" s="754"/>
      <c r="D16" s="2410"/>
      <c r="E16" s="2406" t="s">
        <v>648</v>
      </c>
      <c r="F16" s="2407"/>
      <c r="G16" s="2408"/>
      <c r="H16" s="2412" t="str">
        <f>IF(A14="","",INDEX(DIFFERENTIATION_UNMERGE_SYSTEM,MATCH(A14,DIFFERENTIATION_ID_DIFF,0)))</f>
        <v>Амурская ТЭЦ-1 (г. Амурск)</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1355" customFormat="1" customHeight="1" ht="22.5" hidden="1">
      <c r="A17" s="763"/>
      <c r="B17" s="547"/>
      <c r="C17" s="542"/>
      <c r="D17" s="2410"/>
      <c r="E17" s="2405" t="s">
        <v>693</v>
      </c>
      <c r="F17" s="2405"/>
      <c r="G17" s="2405"/>
      <c r="H17" s="2405"/>
      <c r="I17" s="2405"/>
      <c r="J17" s="2405"/>
      <c r="K17" s="2405"/>
      <c r="L17" s="2405"/>
      <c r="M17" s="2405"/>
      <c r="N17" s="2405"/>
      <c r="O17" s="2405"/>
      <c r="P17" s="2405"/>
      <c r="Q17" s="688">
        <f>SUMIF(T18:T19,"i",Q18:Q19)</f>
        <v>0</v>
      </c>
      <c r="R17" s="1148"/>
      <c r="S17" s="1027" t="s">
        <v>694</v>
      </c>
      <c r="T17" s="847" t="s">
        <v>695</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1355"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1355"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1355" customFormat="1" customHeight="1" ht="22.5" hidden="1">
      <c r="A20" s="763"/>
      <c r="B20" s="547"/>
      <c r="C20" s="542"/>
      <c r="D20" s="2410"/>
      <c r="E20" s="2405" t="s">
        <v>696</v>
      </c>
      <c r="F20" s="2405"/>
      <c r="G20" s="2405"/>
      <c r="H20" s="2405"/>
      <c r="I20" s="2405"/>
      <c r="J20" s="2405"/>
      <c r="K20" s="2405"/>
      <c r="L20" s="2405"/>
      <c r="M20" s="2405"/>
      <c r="N20" s="2405"/>
      <c r="O20" s="2405"/>
      <c r="P20" s="2405"/>
      <c r="Q20" s="688">
        <f>SUMIF(T21:T22,"i",Q21:Q22)</f>
        <v>0</v>
      </c>
      <c r="R20" s="1148"/>
      <c r="S20" s="839" t="s">
        <v>697</v>
      </c>
      <c r="T20" s="847" t="s">
        <v>695</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1355"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1355"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5" hidden="1">
      <c r="A23" s="753" t="s">
        <v>176</v>
      </c>
      <c r="B23" s="754"/>
      <c r="C23" s="754" t="s">
        <v>18</v>
      </c>
      <c r="D23" s="2601" t="s">
        <v>230</v>
      </c>
      <c r="E23" s="2406" t="s">
        <v>161</v>
      </c>
      <c r="F23" s="2407"/>
      <c r="G23" s="2408"/>
      <c r="H23" s="2412" t="str">
        <f>IF(A23="","",INDEX(DIFFERENTIATION_UNMERGE_VD,MATCH(A23,DIFFERENTIATION_ID_DIFF,0)))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412"/>
      <c r="J23" s="2412"/>
      <c r="K23" s="2412"/>
      <c r="L23" s="2412"/>
      <c r="M23" s="2412"/>
      <c r="N23" s="2412"/>
      <c r="O23" s="2412"/>
      <c r="P23" s="2412"/>
      <c r="Q23" s="2412"/>
      <c r="R23" s="2412"/>
      <c r="S23" s="849"/>
      <c r="T23" s="846"/>
      <c r="U23" s="755"/>
      <c r="V23" s="755"/>
      <c r="W23" s="756"/>
      <c r="X23" s="756"/>
      <c r="Y23" s="756"/>
      <c r="Z23" s="756"/>
      <c r="AA23" s="757"/>
      <c r="AB23" s="758"/>
      <c r="AC23" s="2404"/>
      <c r="AD23" s="759"/>
      <c r="AE23" s="760" t="s">
        <v>18</v>
      </c>
      <c r="AF23" s="760"/>
      <c r="AG23" s="761" t="s">
        <v>692</v>
      </c>
      <c r="AH23" s="762">
        <v>3</v>
      </c>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6"/>
      <c r="BW23" s="756"/>
      <c r="BX23" s="756"/>
      <c r="BY23" s="756"/>
      <c r="BZ23" s="756"/>
      <c r="CA23" s="756"/>
      <c r="CB23" s="756"/>
      <c r="CC23" s="756"/>
      <c r="CD23" s="756"/>
      <c r="CE23" s="756"/>
    </row>
    <row customHeight="1" ht="15" hidden="1">
      <c r="A24" s="753"/>
      <c r="B24" s="754"/>
      <c r="C24" s="754"/>
      <c r="D24" s="2602"/>
      <c r="E24" s="2406" t="s">
        <v>647</v>
      </c>
      <c r="F24" s="2407"/>
      <c r="G24" s="2408"/>
      <c r="H24" s="2412" t="str">
        <f>IF(A23="","",INDEX(DIFFERENTIATION_UNMERGE_AREA,MATCH(A23,DIFFERENTIATION_ID_DIFF,0)))</f>
        <v>Территория 2</v>
      </c>
      <c r="I24" s="2412"/>
      <c r="J24" s="2412"/>
      <c r="K24" s="2412"/>
      <c r="L24" s="2412"/>
      <c r="M24" s="2412"/>
      <c r="N24" s="2412"/>
      <c r="O24" s="2412"/>
      <c r="P24" s="2412"/>
      <c r="Q24" s="2412"/>
      <c r="R24" s="2412"/>
      <c r="S24" s="849"/>
      <c r="T24" s="846"/>
      <c r="U24" s="755"/>
      <c r="V24" s="755"/>
      <c r="W24" s="756"/>
      <c r="X24" s="756"/>
      <c r="Y24" s="756"/>
      <c r="Z24" s="756"/>
      <c r="AA24" s="757"/>
      <c r="AB24" s="758"/>
      <c r="AC24" s="2404"/>
      <c r="AD24" s="759"/>
      <c r="AE24" s="760"/>
      <c r="AF24" s="760"/>
      <c r="AG24" s="761"/>
      <c r="AH24" s="762"/>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6"/>
      <c r="BW24" s="756"/>
      <c r="BX24" s="756"/>
      <c r="BY24" s="756"/>
      <c r="BZ24" s="756"/>
      <c r="CA24" s="756"/>
      <c r="CB24" s="756"/>
      <c r="CC24" s="756"/>
      <c r="CD24" s="756"/>
      <c r="CE24" s="756"/>
    </row>
    <row customHeight="1" ht="15" hidden="1">
      <c r="A25" s="753"/>
      <c r="B25" s="754"/>
      <c r="C25" s="754"/>
      <c r="D25" s="2602"/>
      <c r="E25" s="2406" t="s">
        <v>648</v>
      </c>
      <c r="F25" s="2407"/>
      <c r="G25" s="2408"/>
      <c r="H25" s="2412" t="str">
        <f>IF(A23="","",INDEX(DIFFERENTIATION_UNMERGE_SYSTEM,MATCH(A23,DIFFERENTIATION_ID_DIFF,0)))</f>
        <v>Николаевская ТЭЦ (г. Николаевск)</v>
      </c>
      <c r="I25" s="2412"/>
      <c r="J25" s="2412"/>
      <c r="K25" s="2412"/>
      <c r="L25" s="2412"/>
      <c r="M25" s="2412"/>
      <c r="N25" s="2412"/>
      <c r="O25" s="2412"/>
      <c r="P25" s="2412"/>
      <c r="Q25" s="2412"/>
      <c r="R25" s="2412"/>
      <c r="S25" s="849"/>
      <c r="T25" s="846"/>
      <c r="U25" s="755"/>
      <c r="V25" s="755"/>
      <c r="W25" s="756"/>
      <c r="X25" s="756"/>
      <c r="Y25" s="756"/>
      <c r="Z25" s="756"/>
      <c r="AA25" s="757"/>
      <c r="AB25" s="758"/>
      <c r="AC25" s="2404"/>
      <c r="AD25" s="759"/>
      <c r="AE25" s="760"/>
      <c r="AF25" s="760"/>
      <c r="AG25" s="761"/>
      <c r="AH25" s="762"/>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6"/>
      <c r="BW25" s="756"/>
      <c r="BX25" s="756"/>
      <c r="BY25" s="756"/>
      <c r="BZ25" s="756"/>
      <c r="CA25" s="756"/>
      <c r="CB25" s="756"/>
      <c r="CC25" s="756"/>
      <c r="CD25" s="756"/>
      <c r="CE25" s="756"/>
    </row>
    <row customHeight="1" ht="24.75" hidden="1">
      <c r="A26" s="1944"/>
      <c r="B26" s="1292"/>
      <c r="C26" s="542"/>
      <c r="D26" s="2602"/>
      <c r="E26" s="2405" t="s">
        <v>693</v>
      </c>
      <c r="F26" s="2405"/>
      <c r="G26" s="2405"/>
      <c r="H26" s="2405"/>
      <c r="I26" s="2405"/>
      <c r="J26" s="2405"/>
      <c r="K26" s="2405"/>
      <c r="L26" s="2405"/>
      <c r="M26" s="2405"/>
      <c r="N26" s="2405"/>
      <c r="O26" s="2405"/>
      <c r="P26" s="2405"/>
      <c r="Q26" s="688">
        <f>SUMIF(T27:T28,"i",Q27:Q28)</f>
        <v>0</v>
      </c>
      <c r="R26" s="1148"/>
      <c r="S26" s="1936" t="s">
        <v>694</v>
      </c>
      <c r="T26" s="847" t="s">
        <v>695</v>
      </c>
      <c r="U26" s="2403">
        <v>1</v>
      </c>
      <c r="V26" s="2403" t="s">
        <v>658</v>
      </c>
      <c r="W26" s="1292"/>
      <c r="X26" s="1292"/>
      <c r="Y26" s="1292"/>
      <c r="Z26" s="1292"/>
      <c r="AA26" s="1773"/>
      <c r="AB26" s="1292"/>
      <c r="AC26" s="2404"/>
      <c r="AD26" s="759"/>
      <c r="AE26" s="1292"/>
      <c r="AF26" s="1292"/>
      <c r="AG26" s="1773"/>
      <c r="AH26" s="1773"/>
      <c r="AI26" s="1773"/>
      <c r="AJ26" s="1773"/>
      <c r="AK26" s="1773"/>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1773"/>
      <c r="BQ26" s="1773"/>
      <c r="BR26" s="1773"/>
      <c r="BS26" s="1773"/>
      <c r="BT26" s="1773"/>
      <c r="BU26" s="1773"/>
      <c r="BV26" s="1292"/>
      <c r="BW26" s="1292"/>
      <c r="BX26" s="1292"/>
      <c r="BY26" s="1292"/>
      <c r="BZ26" s="1292"/>
      <c r="CA26" s="1292"/>
      <c r="CB26" s="1292"/>
      <c r="CC26" s="1292"/>
      <c r="CD26" s="1292"/>
      <c r="CE26" s="1292"/>
    </row>
    <row customHeight="1" ht="11.25" hidden="1">
      <c r="A27" s="1931"/>
      <c r="B27" s="1773"/>
      <c r="C27" s="1773"/>
      <c r="D27" s="2602"/>
      <c r="E27" s="765"/>
      <c r="F27" s="765">
        <v>0</v>
      </c>
      <c r="G27" s="765"/>
      <c r="H27" s="765"/>
      <c r="I27" s="765"/>
      <c r="J27" s="765"/>
      <c r="K27" s="765"/>
      <c r="L27" s="765"/>
      <c r="M27" s="765"/>
      <c r="N27" s="765"/>
      <c r="O27" s="765"/>
      <c r="P27" s="765"/>
      <c r="Q27" s="765"/>
      <c r="R27" s="765"/>
      <c r="S27" s="766"/>
      <c r="T27" s="848"/>
      <c r="U27" s="2403"/>
      <c r="V27" s="2403"/>
      <c r="W27" s="1773"/>
      <c r="X27" s="1773"/>
      <c r="Y27" s="1773"/>
      <c r="Z27" s="1773"/>
      <c r="AA27" s="1773"/>
      <c r="AB27" s="1292"/>
      <c r="AC27" s="2404"/>
      <c r="AD27" s="759"/>
      <c r="AE27" s="1292"/>
      <c r="AF27" s="1292"/>
      <c r="AG27" s="1773"/>
      <c r="AH27" s="1773"/>
      <c r="AI27" s="1773"/>
      <c r="AJ27" s="1773"/>
      <c r="AK27" s="1773"/>
      <c r="AL27" s="1773"/>
      <c r="AM27" s="1773"/>
      <c r="AN27" s="1773"/>
      <c r="AO27" s="1773"/>
      <c r="AP27" s="1773"/>
      <c r="AQ27" s="1773"/>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1773"/>
      <c r="BQ27" s="1773"/>
      <c r="BR27" s="1773"/>
      <c r="BS27" s="1773"/>
      <c r="BT27" s="1773"/>
      <c r="BU27" s="1773"/>
      <c r="BV27" s="1773"/>
      <c r="BW27" s="1773"/>
      <c r="BX27" s="1773"/>
      <c r="BY27" s="1773"/>
      <c r="BZ27" s="1773"/>
      <c r="CA27" s="1773"/>
      <c r="CB27" s="1773"/>
      <c r="CC27" s="1773"/>
      <c r="CD27" s="1773"/>
      <c r="CE27" s="1773"/>
    </row>
    <row customHeight="1" ht="11.25" hidden="1">
      <c r="A28" s="1944"/>
      <c r="B28" s="1292"/>
      <c r="C28" s="542"/>
      <c r="D28" s="2602"/>
      <c r="E28" s="779" t="s">
        <v>18</v>
      </c>
      <c r="F28" s="1300" t="s">
        <v>18</v>
      </c>
      <c r="G28" s="1300" t="s">
        <v>698</v>
      </c>
      <c r="H28" s="781" t="s">
        <v>18</v>
      </c>
      <c r="I28" s="781"/>
      <c r="J28" s="781"/>
      <c r="K28" s="781"/>
      <c r="L28" s="781"/>
      <c r="M28" s="781"/>
      <c r="N28" s="781"/>
      <c r="O28" s="781"/>
      <c r="P28" s="781"/>
      <c r="Q28" s="781"/>
      <c r="R28" s="782"/>
      <c r="S28" s="783"/>
      <c r="T28" s="848"/>
      <c r="U28" s="2403"/>
      <c r="V28" s="2403"/>
      <c r="W28" s="1292"/>
      <c r="X28" s="1292"/>
      <c r="Y28" s="1292"/>
      <c r="Z28" s="1292"/>
      <c r="AA28" s="1773"/>
      <c r="AB28" s="1292"/>
      <c r="AC28" s="2404"/>
      <c r="AD28" s="759"/>
      <c r="AE28" s="1292"/>
      <c r="AF28" s="1292"/>
      <c r="AG28" s="1773"/>
      <c r="AH28" s="1773"/>
      <c r="AI28" s="1773"/>
      <c r="AJ28" s="1773"/>
      <c r="AK28" s="1773"/>
      <c r="AL28" s="1773"/>
      <c r="AM28" s="1773"/>
      <c r="AN28" s="1773"/>
      <c r="AO28" s="1773"/>
      <c r="AP28" s="1773"/>
      <c r="AQ28" s="1773"/>
      <c r="AR28" s="1773"/>
      <c r="AS28" s="1773"/>
      <c r="AT28" s="1773"/>
      <c r="AU28" s="1773"/>
      <c r="AV28" s="1773"/>
      <c r="AW28" s="1773"/>
      <c r="AX28" s="1773"/>
      <c r="AY28" s="1773"/>
      <c r="AZ28" s="1773"/>
      <c r="BA28" s="1773"/>
      <c r="BB28" s="1773"/>
      <c r="BC28" s="1773"/>
      <c r="BD28" s="1773"/>
      <c r="BE28" s="1773"/>
      <c r="BF28" s="1773"/>
      <c r="BG28" s="1773"/>
      <c r="BH28" s="1773"/>
      <c r="BI28" s="1773"/>
      <c r="BJ28" s="1773"/>
      <c r="BK28" s="1773"/>
      <c r="BL28" s="1773"/>
      <c r="BM28" s="1773"/>
      <c r="BN28" s="1773"/>
      <c r="BO28" s="1773"/>
      <c r="BP28" s="1773"/>
      <c r="BQ28" s="1773"/>
      <c r="BR28" s="1773"/>
      <c r="BS28" s="1773"/>
      <c r="BT28" s="1773"/>
      <c r="BU28" s="1773"/>
      <c r="BV28" s="1292"/>
      <c r="BW28" s="1292"/>
      <c r="BX28" s="1292"/>
      <c r="BY28" s="1292"/>
      <c r="BZ28" s="1292"/>
      <c r="CA28" s="1292"/>
      <c r="CB28" s="1292"/>
      <c r="CC28" s="1292"/>
      <c r="CD28" s="1292"/>
      <c r="CE28" s="1292"/>
    </row>
    <row customHeight="1" ht="5.25" hidden="1">
      <c r="A29" s="1931"/>
      <c r="B29" s="1773"/>
      <c r="C29" s="1773"/>
      <c r="D29" s="2602"/>
      <c r="E29" s="1170"/>
      <c r="F29" s="1170"/>
      <c r="G29" s="1170"/>
      <c r="H29" s="1170"/>
      <c r="I29" s="1170"/>
      <c r="J29" s="1170"/>
      <c r="K29" s="1170"/>
      <c r="L29" s="1170"/>
      <c r="M29" s="1170"/>
      <c r="N29" s="1170"/>
      <c r="O29" s="1170"/>
      <c r="P29" s="1170"/>
      <c r="Q29" s="1171"/>
      <c r="R29" s="1172"/>
      <c r="S29" s="1173"/>
      <c r="T29" s="847" t="s">
        <v>695</v>
      </c>
      <c r="U29" s="2403">
        <v>1</v>
      </c>
      <c r="V29" s="2403" t="s">
        <v>658</v>
      </c>
      <c r="W29" s="1773"/>
      <c r="X29" s="1773"/>
      <c r="Y29" s="1773"/>
      <c r="Z29" s="1773"/>
      <c r="AA29" s="1773"/>
      <c r="AB29" s="1773"/>
      <c r="AC29" s="1168"/>
      <c r="AD29" s="1169"/>
      <c r="AE29" s="1773"/>
      <c r="AF29" s="1773"/>
      <c r="AG29" s="1773"/>
      <c r="AH29" s="1773"/>
      <c r="AI29" s="1773"/>
      <c r="AJ29" s="1773"/>
      <c r="AK29" s="1773"/>
      <c r="AL29" s="1773"/>
      <c r="AM29" s="1773"/>
      <c r="AN29" s="1773"/>
      <c r="AO29" s="1773"/>
      <c r="AP29" s="1773"/>
      <c r="AQ29" s="1773"/>
      <c r="AR29" s="1773"/>
      <c r="AS29" s="1773"/>
      <c r="AT29" s="1773"/>
      <c r="AU29" s="1773"/>
      <c r="AV29" s="1773"/>
      <c r="AW29" s="1773"/>
      <c r="AX29" s="1773"/>
      <c r="AY29" s="1773"/>
      <c r="AZ29" s="1773"/>
      <c r="BA29" s="1773"/>
      <c r="BB29" s="1773"/>
      <c r="BC29" s="1773"/>
      <c r="BD29" s="1773"/>
      <c r="BE29" s="1773"/>
      <c r="BF29" s="1773"/>
      <c r="BG29" s="1773"/>
      <c r="BH29" s="1773"/>
      <c r="BI29" s="1773"/>
      <c r="BJ29" s="1773"/>
      <c r="BK29" s="1773"/>
      <c r="BL29" s="1773"/>
      <c r="BM29" s="1773"/>
      <c r="BN29" s="1773"/>
      <c r="BO29" s="1773"/>
      <c r="BP29" s="1773"/>
      <c r="BQ29" s="1773"/>
      <c r="BR29" s="1773"/>
      <c r="BS29" s="1773"/>
      <c r="BT29" s="1773"/>
      <c r="BU29" s="1773"/>
      <c r="BV29" s="1773"/>
      <c r="BW29" s="1773"/>
      <c r="BX29" s="1773"/>
      <c r="BY29" s="1773"/>
      <c r="BZ29" s="1773"/>
      <c r="CA29" s="1773"/>
      <c r="CB29" s="1773"/>
      <c r="CC29" s="1773"/>
      <c r="CD29" s="1773"/>
      <c r="CE29" s="1773"/>
    </row>
    <row customHeight="1" ht="5.25" hidden="1">
      <c r="A30" s="1931"/>
      <c r="B30" s="1773"/>
      <c r="C30" s="1773"/>
      <c r="D30" s="2602"/>
      <c r="E30" s="765"/>
      <c r="F30" s="765"/>
      <c r="G30" s="765"/>
      <c r="H30" s="765"/>
      <c r="I30" s="765"/>
      <c r="J30" s="765"/>
      <c r="K30" s="765"/>
      <c r="L30" s="765"/>
      <c r="M30" s="765"/>
      <c r="N30" s="765"/>
      <c r="O30" s="765"/>
      <c r="P30" s="765"/>
      <c r="Q30" s="765"/>
      <c r="R30" s="765"/>
      <c r="S30" s="766"/>
      <c r="T30" s="848"/>
      <c r="U30" s="2403"/>
      <c r="V30" s="2403"/>
      <c r="W30" s="1773"/>
      <c r="X30" s="1773"/>
      <c r="Y30" s="1773"/>
      <c r="Z30" s="1773"/>
      <c r="AA30" s="1773"/>
      <c r="AB30" s="1773"/>
      <c r="AC30" s="1168"/>
      <c r="AD30" s="1169"/>
      <c r="AE30" s="1773"/>
      <c r="AF30" s="1773"/>
      <c r="AG30" s="1773"/>
      <c r="AH30" s="1773"/>
      <c r="AI30" s="1773"/>
      <c r="AJ30" s="1773"/>
      <c r="AK30" s="1773"/>
      <c r="AL30" s="1773"/>
      <c r="AM30" s="1773"/>
      <c r="AN30" s="1773"/>
      <c r="AO30" s="1773"/>
      <c r="AP30" s="1773"/>
      <c r="AQ30" s="1773"/>
      <c r="AR30" s="1773"/>
      <c r="AS30" s="1773"/>
      <c r="AT30" s="1773"/>
      <c r="AU30" s="1773"/>
      <c r="AV30" s="1773"/>
      <c r="AW30" s="1773"/>
      <c r="AX30" s="1773"/>
      <c r="AY30" s="1773"/>
      <c r="AZ30" s="1773"/>
      <c r="BA30" s="1773"/>
      <c r="BB30" s="1773"/>
      <c r="BC30" s="1773"/>
      <c r="BD30" s="1773"/>
      <c r="BE30" s="1773"/>
      <c r="BF30" s="1773"/>
      <c r="BG30" s="1773"/>
      <c r="BH30" s="1773"/>
      <c r="BI30" s="1773"/>
      <c r="BJ30" s="1773"/>
      <c r="BK30" s="1773"/>
      <c r="BL30" s="1773"/>
      <c r="BM30" s="1773"/>
      <c r="BN30" s="1773"/>
      <c r="BO30" s="1773"/>
      <c r="BP30" s="1773"/>
      <c r="BQ30" s="1773"/>
      <c r="BR30" s="1773"/>
      <c r="BS30" s="1773"/>
      <c r="BT30" s="1773"/>
      <c r="BU30" s="1773"/>
      <c r="BV30" s="1773"/>
      <c r="BW30" s="1773"/>
      <c r="BX30" s="1773"/>
      <c r="BY30" s="1773"/>
      <c r="BZ30" s="1773"/>
      <c r="CA30" s="1773"/>
      <c r="CB30" s="1773"/>
      <c r="CC30" s="1773"/>
      <c r="CD30" s="1773"/>
      <c r="CE30" s="1773"/>
    </row>
    <row customHeight="1" ht="5.25" hidden="1">
      <c r="A31" s="1931"/>
      <c r="B31" s="1773"/>
      <c r="C31" s="1773"/>
      <c r="D31" s="2603"/>
      <c r="E31" s="1174"/>
      <c r="F31" s="1175"/>
      <c r="G31" s="1175"/>
      <c r="H31" s="1176"/>
      <c r="I31" s="1176"/>
      <c r="J31" s="1176"/>
      <c r="K31" s="1176"/>
      <c r="L31" s="1176"/>
      <c r="M31" s="1176"/>
      <c r="N31" s="1176"/>
      <c r="O31" s="1176"/>
      <c r="P31" s="1176"/>
      <c r="Q31" s="1176"/>
      <c r="R31" s="1077"/>
      <c r="S31" s="1177"/>
      <c r="T31" s="848"/>
      <c r="U31" s="2403"/>
      <c r="V31" s="2403"/>
      <c r="W31" s="1773"/>
      <c r="X31" s="1773"/>
      <c r="Y31" s="1773"/>
      <c r="Z31" s="1773"/>
      <c r="AA31" s="1773"/>
      <c r="AB31" s="1773"/>
      <c r="AC31" s="1168"/>
      <c r="AD31" s="1169"/>
      <c r="AE31" s="1773"/>
      <c r="AF31" s="1773"/>
      <c r="AG31" s="1773"/>
      <c r="AH31" s="1773"/>
      <c r="AI31" s="1773"/>
      <c r="AJ31" s="1773"/>
      <c r="AK31" s="1773"/>
      <c r="AL31" s="1773"/>
      <c r="AM31" s="1773"/>
      <c r="AN31" s="1773"/>
      <c r="AO31" s="1773"/>
      <c r="AP31" s="1773"/>
      <c r="AQ31" s="1773"/>
      <c r="AR31" s="1773"/>
      <c r="AS31" s="1773"/>
      <c r="AT31" s="1773"/>
      <c r="AU31" s="1773"/>
      <c r="AV31" s="1773"/>
      <c r="AW31" s="1773"/>
      <c r="AX31" s="1773"/>
      <c r="AY31" s="1773"/>
      <c r="AZ31" s="1773"/>
      <c r="BA31" s="1773"/>
      <c r="BB31" s="1773"/>
      <c r="BC31" s="1773"/>
      <c r="BD31" s="1773"/>
      <c r="BE31" s="1773"/>
      <c r="BF31" s="1773"/>
      <c r="BG31" s="1773"/>
      <c r="BH31" s="1773"/>
      <c r="BI31" s="1773"/>
      <c r="BJ31" s="1773"/>
      <c r="BK31" s="1773"/>
      <c r="BL31" s="1773"/>
      <c r="BM31" s="1773"/>
      <c r="BN31" s="1773"/>
      <c r="BO31" s="1773"/>
      <c r="BP31" s="1773"/>
      <c r="BQ31" s="1773"/>
      <c r="BR31" s="1773"/>
      <c r="BS31" s="1773"/>
      <c r="BT31" s="1773"/>
      <c r="BU31" s="1773"/>
      <c r="BV31" s="1773"/>
      <c r="BW31" s="1773"/>
      <c r="BX31" s="1773"/>
      <c r="BY31" s="1773"/>
      <c r="BZ31" s="1773"/>
      <c r="CA31" s="1773"/>
      <c r="CB31" s="1773"/>
      <c r="CC31" s="1773"/>
      <c r="CD31" s="1773"/>
      <c r="CE31" s="1773"/>
    </row>
    <row customHeight="1" ht="15" hidden="1">
      <c r="A32" s="753" t="s">
        <v>178</v>
      </c>
      <c r="B32" s="754"/>
      <c r="C32" s="754" t="s">
        <v>18</v>
      </c>
      <c r="D32" s="2601" t="s">
        <v>699</v>
      </c>
      <c r="E32" s="2406" t="s">
        <v>161</v>
      </c>
      <c r="F32" s="2407"/>
      <c r="G32" s="2408"/>
      <c r="H32" s="2412" t="str">
        <f>IF(A32="","",INDEX(DIFFERENTIATION_UNMERGE_VD,MATCH(A32,DIFFERENTIATION_ID_DIFF,0)))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412"/>
      <c r="J32" s="2412"/>
      <c r="K32" s="2412"/>
      <c r="L32" s="2412"/>
      <c r="M32" s="2412"/>
      <c r="N32" s="2412"/>
      <c r="O32" s="2412"/>
      <c r="P32" s="2412"/>
      <c r="Q32" s="2412"/>
      <c r="R32" s="2412"/>
      <c r="S32" s="849"/>
      <c r="T32" s="846"/>
      <c r="U32" s="755"/>
      <c r="V32" s="755"/>
      <c r="W32" s="756"/>
      <c r="X32" s="756"/>
      <c r="Y32" s="756"/>
      <c r="Z32" s="756"/>
      <c r="AA32" s="757"/>
      <c r="AB32" s="758"/>
      <c r="AC32" s="2404"/>
      <c r="AD32" s="759"/>
      <c r="AE32" s="760" t="s">
        <v>18</v>
      </c>
      <c r="AF32" s="760"/>
      <c r="AG32" s="761" t="s">
        <v>692</v>
      </c>
      <c r="AH32" s="762">
        <v>3</v>
      </c>
      <c r="AI32" s="755"/>
      <c r="AJ32" s="755"/>
      <c r="AK32" s="755"/>
      <c r="AL32" s="755"/>
      <c r="AM32" s="755"/>
      <c r="AN32" s="755"/>
      <c r="AO32" s="755"/>
      <c r="AP32" s="755"/>
      <c r="AQ32" s="755"/>
      <c r="AR32" s="755"/>
      <c r="AS32" s="755"/>
      <c r="AT32" s="755"/>
      <c r="AU32" s="755"/>
      <c r="AV32" s="755"/>
      <c r="AW32" s="755"/>
      <c r="AX32" s="755"/>
      <c r="AY32" s="755"/>
      <c r="AZ32" s="755"/>
      <c r="BA32" s="755"/>
      <c r="BB32" s="755"/>
      <c r="BC32" s="755"/>
      <c r="BD32" s="755"/>
      <c r="BE32" s="755"/>
      <c r="BF32" s="755"/>
      <c r="BG32" s="755"/>
      <c r="BH32" s="755"/>
      <c r="BI32" s="755"/>
      <c r="BJ32" s="755"/>
      <c r="BK32" s="755"/>
      <c r="BL32" s="755"/>
      <c r="BM32" s="755"/>
      <c r="BN32" s="755"/>
      <c r="BO32" s="755"/>
      <c r="BP32" s="755"/>
      <c r="BQ32" s="755"/>
      <c r="BR32" s="755"/>
      <c r="BS32" s="755"/>
      <c r="BT32" s="755"/>
      <c r="BU32" s="755"/>
      <c r="BV32" s="756"/>
      <c r="BW32" s="756"/>
      <c r="BX32" s="756"/>
      <c r="BY32" s="756"/>
      <c r="BZ32" s="756"/>
      <c r="CA32" s="756"/>
      <c r="CB32" s="756"/>
      <c r="CC32" s="756"/>
      <c r="CD32" s="756"/>
      <c r="CE32" s="756"/>
    </row>
    <row customHeight="1" ht="15" hidden="1">
      <c r="A33" s="753"/>
      <c r="B33" s="754"/>
      <c r="C33" s="754"/>
      <c r="D33" s="2602"/>
      <c r="E33" s="2406" t="s">
        <v>647</v>
      </c>
      <c r="F33" s="2407"/>
      <c r="G33" s="2408"/>
      <c r="H33" s="2412" t="str">
        <f>IF(A32="","",INDEX(DIFFERENTIATION_UNMERGE_AREA,MATCH(A32,DIFFERENTIATION_ID_DIFF,0)))</f>
        <v>Территория 3</v>
      </c>
      <c r="I33" s="2412"/>
      <c r="J33" s="2412"/>
      <c r="K33" s="2412"/>
      <c r="L33" s="2412"/>
      <c r="M33" s="2412"/>
      <c r="N33" s="2412"/>
      <c r="O33" s="2412"/>
      <c r="P33" s="2412"/>
      <c r="Q33" s="2412"/>
      <c r="R33" s="2412"/>
      <c r="S33" s="849"/>
      <c r="T33" s="846"/>
      <c r="U33" s="755"/>
      <c r="V33" s="755"/>
      <c r="W33" s="756"/>
      <c r="X33" s="756"/>
      <c r="Y33" s="756"/>
      <c r="Z33" s="756"/>
      <c r="AA33" s="757"/>
      <c r="AB33" s="758"/>
      <c r="AC33" s="2404"/>
      <c r="AD33" s="759"/>
      <c r="AE33" s="760"/>
      <c r="AF33" s="760"/>
      <c r="AG33" s="761"/>
      <c r="AH33" s="762"/>
      <c r="AI33" s="755"/>
      <c r="AJ33" s="755"/>
      <c r="AK33" s="755"/>
      <c r="AL33" s="755"/>
      <c r="AM33" s="755"/>
      <c r="AN33" s="755"/>
      <c r="AO33" s="755"/>
      <c r="AP33" s="755"/>
      <c r="AQ33" s="755"/>
      <c r="AR33" s="755"/>
      <c r="AS33" s="755"/>
      <c r="AT33" s="755"/>
      <c r="AU33" s="755"/>
      <c r="AV33" s="755"/>
      <c r="AW33" s="755"/>
      <c r="AX33" s="755"/>
      <c r="AY33" s="755"/>
      <c r="AZ33" s="755"/>
      <c r="BA33" s="755"/>
      <c r="BB33" s="755"/>
      <c r="BC33" s="755"/>
      <c r="BD33" s="755"/>
      <c r="BE33" s="755"/>
      <c r="BF33" s="755"/>
      <c r="BG33" s="755"/>
      <c r="BH33" s="755"/>
      <c r="BI33" s="755"/>
      <c r="BJ33" s="755"/>
      <c r="BK33" s="755"/>
      <c r="BL33" s="755"/>
      <c r="BM33" s="755"/>
      <c r="BN33" s="755"/>
      <c r="BO33" s="755"/>
      <c r="BP33" s="755"/>
      <c r="BQ33" s="755"/>
      <c r="BR33" s="755"/>
      <c r="BS33" s="755"/>
      <c r="BT33" s="755"/>
      <c r="BU33" s="755"/>
      <c r="BV33" s="756"/>
      <c r="BW33" s="756"/>
      <c r="BX33" s="756"/>
      <c r="BY33" s="756"/>
      <c r="BZ33" s="756"/>
      <c r="CA33" s="756"/>
      <c r="CB33" s="756"/>
      <c r="CC33" s="756"/>
      <c r="CD33" s="756"/>
      <c r="CE33" s="756"/>
    </row>
    <row customHeight="1" ht="15" hidden="1">
      <c r="A34" s="753"/>
      <c r="B34" s="754"/>
      <c r="C34" s="754"/>
      <c r="D34" s="2602"/>
      <c r="E34" s="2406" t="s">
        <v>648</v>
      </c>
      <c r="F34" s="2407"/>
      <c r="G34" s="2408"/>
      <c r="H34" s="2412" t="str">
        <f>IF(A32="","",INDEX(DIFFERENTIATION_UNMERGE_SYSTEM,MATCH(A32,DIFFERENTIATION_ID_DIFF,0)))</f>
        <v>Комсомольская ТЭЦ-1 (г. Комсомольск)</v>
      </c>
      <c r="I34" s="2412"/>
      <c r="J34" s="2412"/>
      <c r="K34" s="2412"/>
      <c r="L34" s="2412"/>
      <c r="M34" s="2412"/>
      <c r="N34" s="2412"/>
      <c r="O34" s="2412"/>
      <c r="P34" s="2412"/>
      <c r="Q34" s="2412"/>
      <c r="R34" s="2412"/>
      <c r="S34" s="849"/>
      <c r="T34" s="846"/>
      <c r="U34" s="755"/>
      <c r="V34" s="755"/>
      <c r="W34" s="756"/>
      <c r="X34" s="756"/>
      <c r="Y34" s="756"/>
      <c r="Z34" s="756"/>
      <c r="AA34" s="757"/>
      <c r="AB34" s="758"/>
      <c r="AC34" s="2404"/>
      <c r="AD34" s="759"/>
      <c r="AE34" s="760"/>
      <c r="AF34" s="760"/>
      <c r="AG34" s="761"/>
      <c r="AH34" s="762"/>
      <c r="AI34" s="755"/>
      <c r="AJ34" s="755"/>
      <c r="AK34" s="755"/>
      <c r="AL34" s="755"/>
      <c r="AM34" s="755"/>
      <c r="AN34" s="755"/>
      <c r="AO34" s="755"/>
      <c r="AP34" s="755"/>
      <c r="AQ34" s="755"/>
      <c r="AR34" s="755"/>
      <c r="AS34" s="755"/>
      <c r="AT34" s="755"/>
      <c r="AU34" s="755"/>
      <c r="AV34" s="755"/>
      <c r="AW34" s="755"/>
      <c r="AX34" s="755"/>
      <c r="AY34" s="755"/>
      <c r="AZ34" s="755"/>
      <c r="BA34" s="755"/>
      <c r="BB34" s="755"/>
      <c r="BC34" s="755"/>
      <c r="BD34" s="755"/>
      <c r="BE34" s="755"/>
      <c r="BF34" s="755"/>
      <c r="BG34" s="755"/>
      <c r="BH34" s="755"/>
      <c r="BI34" s="755"/>
      <c r="BJ34" s="755"/>
      <c r="BK34" s="755"/>
      <c r="BL34" s="755"/>
      <c r="BM34" s="755"/>
      <c r="BN34" s="755"/>
      <c r="BO34" s="755"/>
      <c r="BP34" s="755"/>
      <c r="BQ34" s="755"/>
      <c r="BR34" s="755"/>
      <c r="BS34" s="755"/>
      <c r="BT34" s="755"/>
      <c r="BU34" s="755"/>
      <c r="BV34" s="756"/>
      <c r="BW34" s="756"/>
      <c r="BX34" s="756"/>
      <c r="BY34" s="756"/>
      <c r="BZ34" s="756"/>
      <c r="CA34" s="756"/>
      <c r="CB34" s="756"/>
      <c r="CC34" s="756"/>
      <c r="CD34" s="756"/>
      <c r="CE34" s="756"/>
    </row>
    <row customHeight="1" ht="24.75" hidden="1">
      <c r="A35" s="1944"/>
      <c r="B35" s="1292"/>
      <c r="C35" s="542"/>
      <c r="D35" s="2602"/>
      <c r="E35" s="2405" t="s">
        <v>693</v>
      </c>
      <c r="F35" s="2405"/>
      <c r="G35" s="2405"/>
      <c r="H35" s="2405"/>
      <c r="I35" s="2405"/>
      <c r="J35" s="2405"/>
      <c r="K35" s="2405"/>
      <c r="L35" s="2405"/>
      <c r="M35" s="2405"/>
      <c r="N35" s="2405"/>
      <c r="O35" s="2405"/>
      <c r="P35" s="2405"/>
      <c r="Q35" s="688">
        <f>SUMIF(T36:T37,"i",Q36:Q37)</f>
        <v>0</v>
      </c>
      <c r="R35" s="1148"/>
      <c r="S35" s="1936" t="s">
        <v>694</v>
      </c>
      <c r="T35" s="847" t="s">
        <v>695</v>
      </c>
      <c r="U35" s="2403">
        <v>1</v>
      </c>
      <c r="V35" s="2403" t="s">
        <v>658</v>
      </c>
      <c r="W35" s="1292"/>
      <c r="X35" s="1292"/>
      <c r="Y35" s="1292"/>
      <c r="Z35" s="1292"/>
      <c r="AA35" s="1773"/>
      <c r="AB35" s="1292"/>
      <c r="AC35" s="2404"/>
      <c r="AD35" s="759"/>
      <c r="AE35" s="1292"/>
      <c r="AF35" s="1292"/>
      <c r="AG35" s="1773"/>
      <c r="AH35" s="1773"/>
      <c r="AI35" s="1773"/>
      <c r="AJ35" s="1773"/>
      <c r="AK35" s="1773"/>
      <c r="AL35" s="1773"/>
      <c r="AM35" s="1773"/>
      <c r="AN35" s="1773"/>
      <c r="AO35" s="1773"/>
      <c r="AP35" s="1773"/>
      <c r="AQ35" s="1773"/>
      <c r="AR35" s="1773"/>
      <c r="AS35" s="1773"/>
      <c r="AT35" s="1773"/>
      <c r="AU35" s="1773"/>
      <c r="AV35" s="1773"/>
      <c r="AW35" s="1773"/>
      <c r="AX35" s="1773"/>
      <c r="AY35" s="1773"/>
      <c r="AZ35" s="1773"/>
      <c r="BA35" s="1773"/>
      <c r="BB35" s="1773"/>
      <c r="BC35" s="1773"/>
      <c r="BD35" s="1773"/>
      <c r="BE35" s="1773"/>
      <c r="BF35" s="1773"/>
      <c r="BG35" s="1773"/>
      <c r="BH35" s="1773"/>
      <c r="BI35" s="1773"/>
      <c r="BJ35" s="1773"/>
      <c r="BK35" s="1773"/>
      <c r="BL35" s="1773"/>
      <c r="BM35" s="1773"/>
      <c r="BN35" s="1773"/>
      <c r="BO35" s="1773"/>
      <c r="BP35" s="1773"/>
      <c r="BQ35" s="1773"/>
      <c r="BR35" s="1773"/>
      <c r="BS35" s="1773"/>
      <c r="BT35" s="1773"/>
      <c r="BU35" s="1773"/>
      <c r="BV35" s="1292"/>
      <c r="BW35" s="1292"/>
      <c r="BX35" s="1292"/>
      <c r="BY35" s="1292"/>
      <c r="BZ35" s="1292"/>
      <c r="CA35" s="1292"/>
      <c r="CB35" s="1292"/>
      <c r="CC35" s="1292"/>
      <c r="CD35" s="1292"/>
      <c r="CE35" s="1292"/>
    </row>
    <row customHeight="1" ht="11.25" hidden="1">
      <c r="A36" s="1931"/>
      <c r="B36" s="1773"/>
      <c r="C36" s="1773"/>
      <c r="D36" s="2602"/>
      <c r="E36" s="765"/>
      <c r="F36" s="765">
        <v>0</v>
      </c>
      <c r="G36" s="765"/>
      <c r="H36" s="765"/>
      <c r="I36" s="765"/>
      <c r="J36" s="765"/>
      <c r="K36" s="765"/>
      <c r="L36" s="765"/>
      <c r="M36" s="765"/>
      <c r="N36" s="765"/>
      <c r="O36" s="765"/>
      <c r="P36" s="765"/>
      <c r="Q36" s="765"/>
      <c r="R36" s="765"/>
      <c r="S36" s="766"/>
      <c r="T36" s="848"/>
      <c r="U36" s="2403"/>
      <c r="V36" s="2403"/>
      <c r="W36" s="1773"/>
      <c r="X36" s="1773"/>
      <c r="Y36" s="1773"/>
      <c r="Z36" s="1773"/>
      <c r="AA36" s="1773"/>
      <c r="AB36" s="1292"/>
      <c r="AC36" s="2404"/>
      <c r="AD36" s="759"/>
      <c r="AE36" s="1292"/>
      <c r="AF36" s="1292"/>
      <c r="AG36" s="1773"/>
      <c r="AH36" s="1773"/>
      <c r="AI36" s="1773"/>
      <c r="AJ36" s="1773"/>
      <c r="AK36" s="1773"/>
      <c r="AL36" s="1773"/>
      <c r="AM36" s="1773"/>
      <c r="AN36" s="1773"/>
      <c r="AO36" s="1773"/>
      <c r="AP36" s="1773"/>
      <c r="AQ36" s="1773"/>
      <c r="AR36" s="1773"/>
      <c r="AS36" s="1773"/>
      <c r="AT36" s="1773"/>
      <c r="AU36" s="1773"/>
      <c r="AV36" s="1773"/>
      <c r="AW36" s="1773"/>
      <c r="AX36" s="1773"/>
      <c r="AY36" s="1773"/>
      <c r="AZ36" s="1773"/>
      <c r="BA36" s="1773"/>
      <c r="BB36" s="1773"/>
      <c r="BC36" s="1773"/>
      <c r="BD36" s="1773"/>
      <c r="BE36" s="1773"/>
      <c r="BF36" s="1773"/>
      <c r="BG36" s="1773"/>
      <c r="BH36" s="1773"/>
      <c r="BI36" s="1773"/>
      <c r="BJ36" s="1773"/>
      <c r="BK36" s="1773"/>
      <c r="BL36" s="1773"/>
      <c r="BM36" s="1773"/>
      <c r="BN36" s="1773"/>
      <c r="BO36" s="1773"/>
      <c r="BP36" s="1773"/>
      <c r="BQ36" s="1773"/>
      <c r="BR36" s="1773"/>
      <c r="BS36" s="1773"/>
      <c r="BT36" s="1773"/>
      <c r="BU36" s="1773"/>
      <c r="BV36" s="1773"/>
      <c r="BW36" s="1773"/>
      <c r="BX36" s="1773"/>
      <c r="BY36" s="1773"/>
      <c r="BZ36" s="1773"/>
      <c r="CA36" s="1773"/>
      <c r="CB36" s="1773"/>
      <c r="CC36" s="1773"/>
      <c r="CD36" s="1773"/>
      <c r="CE36" s="1773"/>
    </row>
    <row customHeight="1" ht="11.25" hidden="1">
      <c r="A37" s="1944"/>
      <c r="B37" s="1292"/>
      <c r="C37" s="542"/>
      <c r="D37" s="2602"/>
      <c r="E37" s="779" t="s">
        <v>18</v>
      </c>
      <c r="F37" s="1300" t="s">
        <v>18</v>
      </c>
      <c r="G37" s="1300" t="s">
        <v>698</v>
      </c>
      <c r="H37" s="781" t="s">
        <v>18</v>
      </c>
      <c r="I37" s="781"/>
      <c r="J37" s="781"/>
      <c r="K37" s="781"/>
      <c r="L37" s="781"/>
      <c r="M37" s="781"/>
      <c r="N37" s="781"/>
      <c r="O37" s="781"/>
      <c r="P37" s="781"/>
      <c r="Q37" s="781"/>
      <c r="R37" s="782"/>
      <c r="S37" s="783"/>
      <c r="T37" s="848"/>
      <c r="U37" s="2403"/>
      <c r="V37" s="2403"/>
      <c r="W37" s="1292"/>
      <c r="X37" s="1292"/>
      <c r="Y37" s="1292"/>
      <c r="Z37" s="1292"/>
      <c r="AA37" s="1773"/>
      <c r="AB37" s="1292"/>
      <c r="AC37" s="2404"/>
      <c r="AD37" s="759"/>
      <c r="AE37" s="1292"/>
      <c r="AF37" s="1292"/>
      <c r="AG37" s="1773"/>
      <c r="AH37" s="1773"/>
      <c r="AI37" s="1773"/>
      <c r="AJ37" s="1773"/>
      <c r="AK37" s="1773"/>
      <c r="AL37" s="1773"/>
      <c r="AM37" s="1773"/>
      <c r="AN37" s="1773"/>
      <c r="AO37" s="1773"/>
      <c r="AP37" s="1773"/>
      <c r="AQ37" s="1773"/>
      <c r="AR37" s="1773"/>
      <c r="AS37" s="1773"/>
      <c r="AT37" s="1773"/>
      <c r="AU37" s="1773"/>
      <c r="AV37" s="1773"/>
      <c r="AW37" s="1773"/>
      <c r="AX37" s="1773"/>
      <c r="AY37" s="1773"/>
      <c r="AZ37" s="1773"/>
      <c r="BA37" s="1773"/>
      <c r="BB37" s="1773"/>
      <c r="BC37" s="1773"/>
      <c r="BD37" s="1773"/>
      <c r="BE37" s="1773"/>
      <c r="BF37" s="1773"/>
      <c r="BG37" s="1773"/>
      <c r="BH37" s="1773"/>
      <c r="BI37" s="1773"/>
      <c r="BJ37" s="1773"/>
      <c r="BK37" s="1773"/>
      <c r="BL37" s="1773"/>
      <c r="BM37" s="1773"/>
      <c r="BN37" s="1773"/>
      <c r="BO37" s="1773"/>
      <c r="BP37" s="1773"/>
      <c r="BQ37" s="1773"/>
      <c r="BR37" s="1773"/>
      <c r="BS37" s="1773"/>
      <c r="BT37" s="1773"/>
      <c r="BU37" s="1773"/>
      <c r="BV37" s="1292"/>
      <c r="BW37" s="1292"/>
      <c r="BX37" s="1292"/>
      <c r="BY37" s="1292"/>
      <c r="BZ37" s="1292"/>
      <c r="CA37" s="1292"/>
      <c r="CB37" s="1292"/>
      <c r="CC37" s="1292"/>
      <c r="CD37" s="1292"/>
      <c r="CE37" s="1292"/>
    </row>
    <row customHeight="1" ht="5.25" hidden="1">
      <c r="A38" s="1931"/>
      <c r="B38" s="1773"/>
      <c r="C38" s="1773"/>
      <c r="D38" s="2602"/>
      <c r="E38" s="1170"/>
      <c r="F38" s="1170"/>
      <c r="G38" s="1170"/>
      <c r="H38" s="1170"/>
      <c r="I38" s="1170"/>
      <c r="J38" s="1170"/>
      <c r="K38" s="1170"/>
      <c r="L38" s="1170"/>
      <c r="M38" s="1170"/>
      <c r="N38" s="1170"/>
      <c r="O38" s="1170"/>
      <c r="P38" s="1170"/>
      <c r="Q38" s="1171"/>
      <c r="R38" s="1172"/>
      <c r="S38" s="1173"/>
      <c r="T38" s="847" t="s">
        <v>695</v>
      </c>
      <c r="U38" s="2403">
        <v>1</v>
      </c>
      <c r="V38" s="2403" t="s">
        <v>658</v>
      </c>
      <c r="W38" s="1773"/>
      <c r="X38" s="1773"/>
      <c r="Y38" s="1773"/>
      <c r="Z38" s="1773"/>
      <c r="AA38" s="1773"/>
      <c r="AB38" s="1773"/>
      <c r="AC38" s="1168"/>
      <c r="AD38" s="1169"/>
      <c r="AE38" s="1773"/>
      <c r="AF38" s="1773"/>
      <c r="AG38" s="1773"/>
      <c r="AH38" s="1773"/>
      <c r="AI38" s="1773"/>
      <c r="AJ38" s="1773"/>
      <c r="AK38" s="1773"/>
      <c r="AL38" s="1773"/>
      <c r="AM38" s="1773"/>
      <c r="AN38" s="1773"/>
      <c r="AO38" s="1773"/>
      <c r="AP38" s="1773"/>
      <c r="AQ38" s="1773"/>
      <c r="AR38" s="1773"/>
      <c r="AS38" s="1773"/>
      <c r="AT38" s="1773"/>
      <c r="AU38" s="1773"/>
      <c r="AV38" s="1773"/>
      <c r="AW38" s="1773"/>
      <c r="AX38" s="1773"/>
      <c r="AY38" s="1773"/>
      <c r="AZ38" s="1773"/>
      <c r="BA38" s="1773"/>
      <c r="BB38" s="1773"/>
      <c r="BC38" s="1773"/>
      <c r="BD38" s="1773"/>
      <c r="BE38" s="1773"/>
      <c r="BF38" s="1773"/>
      <c r="BG38" s="1773"/>
      <c r="BH38" s="1773"/>
      <c r="BI38" s="1773"/>
      <c r="BJ38" s="1773"/>
      <c r="BK38" s="1773"/>
      <c r="BL38" s="1773"/>
      <c r="BM38" s="1773"/>
      <c r="BN38" s="1773"/>
      <c r="BO38" s="1773"/>
      <c r="BP38" s="1773"/>
      <c r="BQ38" s="1773"/>
      <c r="BR38" s="1773"/>
      <c r="BS38" s="1773"/>
      <c r="BT38" s="1773"/>
      <c r="BU38" s="1773"/>
      <c r="BV38" s="1773"/>
      <c r="BW38" s="1773"/>
      <c r="BX38" s="1773"/>
      <c r="BY38" s="1773"/>
      <c r="BZ38" s="1773"/>
      <c r="CA38" s="1773"/>
      <c r="CB38" s="1773"/>
      <c r="CC38" s="1773"/>
      <c r="CD38" s="1773"/>
      <c r="CE38" s="1773"/>
    </row>
    <row customHeight="1" ht="5.25" hidden="1">
      <c r="A39" s="1931"/>
      <c r="B39" s="1773"/>
      <c r="C39" s="1773"/>
      <c r="D39" s="2602"/>
      <c r="E39" s="765"/>
      <c r="F39" s="765"/>
      <c r="G39" s="765"/>
      <c r="H39" s="765"/>
      <c r="I39" s="765"/>
      <c r="J39" s="765"/>
      <c r="K39" s="765"/>
      <c r="L39" s="765"/>
      <c r="M39" s="765"/>
      <c r="N39" s="765"/>
      <c r="O39" s="765"/>
      <c r="P39" s="765"/>
      <c r="Q39" s="765"/>
      <c r="R39" s="765"/>
      <c r="S39" s="766"/>
      <c r="T39" s="848"/>
      <c r="U39" s="2403"/>
      <c r="V39" s="2403"/>
      <c r="W39" s="1773"/>
      <c r="X39" s="1773"/>
      <c r="Y39" s="1773"/>
      <c r="Z39" s="1773"/>
      <c r="AA39" s="1773"/>
      <c r="AB39" s="1773"/>
      <c r="AC39" s="1168"/>
      <c r="AD39" s="1169"/>
      <c r="AE39" s="1773"/>
      <c r="AF39" s="1773"/>
      <c r="AG39" s="1773"/>
      <c r="AH39" s="1773"/>
      <c r="AI39" s="1773"/>
      <c r="AJ39" s="1773"/>
      <c r="AK39" s="1773"/>
      <c r="AL39" s="1773"/>
      <c r="AM39" s="1773"/>
      <c r="AN39" s="1773"/>
      <c r="AO39" s="1773"/>
      <c r="AP39" s="1773"/>
      <c r="AQ39" s="1773"/>
      <c r="AR39" s="1773"/>
      <c r="AS39" s="1773"/>
      <c r="AT39" s="1773"/>
      <c r="AU39" s="1773"/>
      <c r="AV39" s="1773"/>
      <c r="AW39" s="1773"/>
      <c r="AX39" s="1773"/>
      <c r="AY39" s="1773"/>
      <c r="AZ39" s="1773"/>
      <c r="BA39" s="1773"/>
      <c r="BB39" s="1773"/>
      <c r="BC39" s="1773"/>
      <c r="BD39" s="1773"/>
      <c r="BE39" s="1773"/>
      <c r="BF39" s="1773"/>
      <c r="BG39" s="1773"/>
      <c r="BH39" s="1773"/>
      <c r="BI39" s="1773"/>
      <c r="BJ39" s="1773"/>
      <c r="BK39" s="1773"/>
      <c r="BL39" s="1773"/>
      <c r="BM39" s="1773"/>
      <c r="BN39" s="1773"/>
      <c r="BO39" s="1773"/>
      <c r="BP39" s="1773"/>
      <c r="BQ39" s="1773"/>
      <c r="BR39" s="1773"/>
      <c r="BS39" s="1773"/>
      <c r="BT39" s="1773"/>
      <c r="BU39" s="1773"/>
      <c r="BV39" s="1773"/>
      <c r="BW39" s="1773"/>
      <c r="BX39" s="1773"/>
      <c r="BY39" s="1773"/>
      <c r="BZ39" s="1773"/>
      <c r="CA39" s="1773"/>
      <c r="CB39" s="1773"/>
      <c r="CC39" s="1773"/>
      <c r="CD39" s="1773"/>
      <c r="CE39" s="1773"/>
    </row>
    <row customHeight="1" ht="5.25" hidden="1">
      <c r="A40" s="1931"/>
      <c r="B40" s="1773"/>
      <c r="C40" s="1773"/>
      <c r="D40" s="2603"/>
      <c r="E40" s="1174"/>
      <c r="F40" s="1175"/>
      <c r="G40" s="1175"/>
      <c r="H40" s="1176"/>
      <c r="I40" s="1176"/>
      <c r="J40" s="1176"/>
      <c r="K40" s="1176"/>
      <c r="L40" s="1176"/>
      <c r="M40" s="1176"/>
      <c r="N40" s="1176"/>
      <c r="O40" s="1176"/>
      <c r="P40" s="1176"/>
      <c r="Q40" s="1176"/>
      <c r="R40" s="1077"/>
      <c r="S40" s="1177"/>
      <c r="T40" s="848"/>
      <c r="U40" s="2403"/>
      <c r="V40" s="2403"/>
      <c r="W40" s="1773"/>
      <c r="X40" s="1773"/>
      <c r="Y40" s="1773"/>
      <c r="Z40" s="1773"/>
      <c r="AA40" s="1773"/>
      <c r="AB40" s="1773"/>
      <c r="AC40" s="1168"/>
      <c r="AD40" s="1169"/>
      <c r="AE40" s="1773"/>
      <c r="AF40" s="1773"/>
      <c r="AG40" s="1773"/>
      <c r="AH40" s="1773"/>
      <c r="AI40" s="1773"/>
      <c r="AJ40" s="1773"/>
      <c r="AK40" s="1773"/>
      <c r="AL40" s="1773"/>
      <c r="AM40" s="1773"/>
      <c r="AN40" s="1773"/>
      <c r="AO40" s="1773"/>
      <c r="AP40" s="1773"/>
      <c r="AQ40" s="1773"/>
      <c r="AR40" s="1773"/>
      <c r="AS40" s="1773"/>
      <c r="AT40" s="1773"/>
      <c r="AU40" s="1773"/>
      <c r="AV40" s="1773"/>
      <c r="AW40" s="1773"/>
      <c r="AX40" s="1773"/>
      <c r="AY40" s="1773"/>
      <c r="AZ40" s="1773"/>
      <c r="BA40" s="1773"/>
      <c r="BB40" s="1773"/>
      <c r="BC40" s="1773"/>
      <c r="BD40" s="1773"/>
      <c r="BE40" s="1773"/>
      <c r="BF40" s="1773"/>
      <c r="BG40" s="1773"/>
      <c r="BH40" s="1773"/>
      <c r="BI40" s="1773"/>
      <c r="BJ40" s="1773"/>
      <c r="BK40" s="1773"/>
      <c r="BL40" s="1773"/>
      <c r="BM40" s="1773"/>
      <c r="BN40" s="1773"/>
      <c r="BO40" s="1773"/>
      <c r="BP40" s="1773"/>
      <c r="BQ40" s="1773"/>
      <c r="BR40" s="1773"/>
      <c r="BS40" s="1773"/>
      <c r="BT40" s="1773"/>
      <c r="BU40" s="1773"/>
      <c r="BV40" s="1773"/>
      <c r="BW40" s="1773"/>
      <c r="BX40" s="1773"/>
      <c r="BY40" s="1773"/>
      <c r="BZ40" s="1773"/>
      <c r="CA40" s="1773"/>
      <c r="CB40" s="1773"/>
      <c r="CC40" s="1773"/>
      <c r="CD40" s="1773"/>
      <c r="CE40" s="1773"/>
    </row>
    <row customHeight="1" ht="15" hidden="1">
      <c r="A41" s="753" t="s">
        <v>180</v>
      </c>
      <c r="B41" s="754"/>
      <c r="C41" s="754" t="s">
        <v>18</v>
      </c>
      <c r="D41" s="2601" t="s">
        <v>700</v>
      </c>
      <c r="E41" s="2406" t="s">
        <v>161</v>
      </c>
      <c r="F41" s="2407"/>
      <c r="G41" s="2408"/>
      <c r="H41" s="2412" t="str">
        <f>IF(A41="","",INDEX(DIFFERENTIATION_UNMERGE_VD,MATCH(A41,DIFFERENTIATION_ID_DIFF,0)))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41" s="2412"/>
      <c r="J41" s="2412"/>
      <c r="K41" s="2412"/>
      <c r="L41" s="2412"/>
      <c r="M41" s="2412"/>
      <c r="N41" s="2412"/>
      <c r="O41" s="2412"/>
      <c r="P41" s="2412"/>
      <c r="Q41" s="2412"/>
      <c r="R41" s="2412"/>
      <c r="S41" s="849"/>
      <c r="T41" s="846"/>
      <c r="U41" s="755"/>
      <c r="V41" s="755"/>
      <c r="W41" s="756"/>
      <c r="X41" s="756"/>
      <c r="Y41" s="756"/>
      <c r="Z41" s="756"/>
      <c r="AA41" s="757"/>
      <c r="AB41" s="758"/>
      <c r="AC41" s="2404"/>
      <c r="AD41" s="759"/>
      <c r="AE41" s="760" t="s">
        <v>18</v>
      </c>
      <c r="AF41" s="760"/>
      <c r="AG41" s="761" t="s">
        <v>692</v>
      </c>
      <c r="AH41" s="762">
        <v>3</v>
      </c>
      <c r="AI41" s="755"/>
      <c r="AJ41" s="755"/>
      <c r="AK41" s="755"/>
      <c r="AL41" s="755"/>
      <c r="AM41" s="755"/>
      <c r="AN41" s="755"/>
      <c r="AO41" s="755"/>
      <c r="AP41" s="755"/>
      <c r="AQ41" s="755"/>
      <c r="AR41" s="755"/>
      <c r="AS41" s="755"/>
      <c r="AT41" s="755"/>
      <c r="AU41" s="755"/>
      <c r="AV41" s="755"/>
      <c r="AW41" s="755"/>
      <c r="AX41" s="755"/>
      <c r="AY41" s="755"/>
      <c r="AZ41" s="755"/>
      <c r="BA41" s="755"/>
      <c r="BB41" s="755"/>
      <c r="BC41" s="755"/>
      <c r="BD41" s="755"/>
      <c r="BE41" s="755"/>
      <c r="BF41" s="755"/>
      <c r="BG41" s="755"/>
      <c r="BH41" s="755"/>
      <c r="BI41" s="755"/>
      <c r="BJ41" s="755"/>
      <c r="BK41" s="755"/>
      <c r="BL41" s="755"/>
      <c r="BM41" s="755"/>
      <c r="BN41" s="755"/>
      <c r="BO41" s="755"/>
      <c r="BP41" s="755"/>
      <c r="BQ41" s="755"/>
      <c r="BR41" s="755"/>
      <c r="BS41" s="755"/>
      <c r="BT41" s="755"/>
      <c r="BU41" s="755"/>
      <c r="BV41" s="756"/>
      <c r="BW41" s="756"/>
      <c r="BX41" s="756"/>
      <c r="BY41" s="756"/>
      <c r="BZ41" s="756"/>
      <c r="CA41" s="756"/>
      <c r="CB41" s="756"/>
      <c r="CC41" s="756"/>
      <c r="CD41" s="756"/>
      <c r="CE41" s="756"/>
    </row>
    <row customHeight="1" ht="15" hidden="1">
      <c r="A42" s="753"/>
      <c r="B42" s="754"/>
      <c r="C42" s="754"/>
      <c r="D42" s="2602"/>
      <c r="E42" s="2406" t="s">
        <v>647</v>
      </c>
      <c r="F42" s="2407"/>
      <c r="G42" s="2408"/>
      <c r="H42" s="2412" t="str">
        <f>IF(A41="","",INDEX(DIFFERENTIATION_UNMERGE_AREA,MATCH(A41,DIFFERENTIATION_ID_DIFF,0)))</f>
        <v>Территория 3</v>
      </c>
      <c r="I42" s="2412"/>
      <c r="J42" s="2412"/>
      <c r="K42" s="2412"/>
      <c r="L42" s="2412"/>
      <c r="M42" s="2412"/>
      <c r="N42" s="2412"/>
      <c r="O42" s="2412"/>
      <c r="P42" s="2412"/>
      <c r="Q42" s="2412"/>
      <c r="R42" s="2412"/>
      <c r="S42" s="849"/>
      <c r="T42" s="846"/>
      <c r="U42" s="755"/>
      <c r="V42" s="755"/>
      <c r="W42" s="756"/>
      <c r="X42" s="756"/>
      <c r="Y42" s="756"/>
      <c r="Z42" s="756"/>
      <c r="AA42" s="757"/>
      <c r="AB42" s="758"/>
      <c r="AC42" s="2404"/>
      <c r="AD42" s="759"/>
      <c r="AE42" s="760"/>
      <c r="AF42" s="760"/>
      <c r="AG42" s="761"/>
      <c r="AH42" s="762"/>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6"/>
      <c r="BW42" s="756"/>
      <c r="BX42" s="756"/>
      <c r="BY42" s="756"/>
      <c r="BZ42" s="756"/>
      <c r="CA42" s="756"/>
      <c r="CB42" s="756"/>
      <c r="CC42" s="756"/>
      <c r="CD42" s="756"/>
      <c r="CE42" s="756"/>
    </row>
    <row customHeight="1" ht="15" hidden="1">
      <c r="A43" s="753"/>
      <c r="B43" s="754"/>
      <c r="C43" s="754"/>
      <c r="D43" s="2602"/>
      <c r="E43" s="2406" t="s">
        <v>648</v>
      </c>
      <c r="F43" s="2407"/>
      <c r="G43" s="2408"/>
      <c r="H43" s="2412" t="str">
        <f>IF(A41="","",INDEX(DIFFERENTIATION_UNMERGE_SYSTEM,MATCH(A41,DIFFERENTIATION_ID_DIFF,0)))</f>
        <v>Комсомольская ТЭЦ-2 (г. Комсомольск)</v>
      </c>
      <c r="I43" s="2412"/>
      <c r="J43" s="2412"/>
      <c r="K43" s="2412"/>
      <c r="L43" s="2412"/>
      <c r="M43" s="2412"/>
      <c r="N43" s="2412"/>
      <c r="O43" s="2412"/>
      <c r="P43" s="2412"/>
      <c r="Q43" s="2412"/>
      <c r="R43" s="2412"/>
      <c r="S43" s="849"/>
      <c r="T43" s="846"/>
      <c r="U43" s="755"/>
      <c r="V43" s="755"/>
      <c r="W43" s="756"/>
      <c r="X43" s="756"/>
      <c r="Y43" s="756"/>
      <c r="Z43" s="756"/>
      <c r="AA43" s="757"/>
      <c r="AB43" s="758"/>
      <c r="AC43" s="2404"/>
      <c r="AD43" s="759"/>
      <c r="AE43" s="760"/>
      <c r="AF43" s="760"/>
      <c r="AG43" s="761"/>
      <c r="AH43" s="762"/>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6"/>
      <c r="BW43" s="756"/>
      <c r="BX43" s="756"/>
      <c r="BY43" s="756"/>
      <c r="BZ43" s="756"/>
      <c r="CA43" s="756"/>
      <c r="CB43" s="756"/>
      <c r="CC43" s="756"/>
      <c r="CD43" s="756"/>
      <c r="CE43" s="756"/>
    </row>
    <row customHeight="1" ht="24.75" hidden="1">
      <c r="A44" s="1944"/>
      <c r="B44" s="1292"/>
      <c r="C44" s="542"/>
      <c r="D44" s="2602"/>
      <c r="E44" s="2405" t="s">
        <v>693</v>
      </c>
      <c r="F44" s="2405"/>
      <c r="G44" s="2405"/>
      <c r="H44" s="2405"/>
      <c r="I44" s="2405"/>
      <c r="J44" s="2405"/>
      <c r="K44" s="2405"/>
      <c r="L44" s="2405"/>
      <c r="M44" s="2405"/>
      <c r="N44" s="2405"/>
      <c r="O44" s="2405"/>
      <c r="P44" s="2405"/>
      <c r="Q44" s="688">
        <f>SUMIF(T45:T46,"i",Q45:Q46)</f>
        <v>0</v>
      </c>
      <c r="R44" s="1148"/>
      <c r="S44" s="1936" t="s">
        <v>694</v>
      </c>
      <c r="T44" s="847" t="s">
        <v>695</v>
      </c>
      <c r="U44" s="2403">
        <v>1</v>
      </c>
      <c r="V44" s="2403" t="s">
        <v>658</v>
      </c>
      <c r="W44" s="1292"/>
      <c r="X44" s="1292"/>
      <c r="Y44" s="1292"/>
      <c r="Z44" s="1292"/>
      <c r="AA44" s="1773"/>
      <c r="AB44" s="1292"/>
      <c r="AC44" s="2404"/>
      <c r="AD44" s="759"/>
      <c r="AE44" s="1292"/>
      <c r="AF44" s="1292"/>
      <c r="AG44" s="1773"/>
      <c r="AH44" s="1773"/>
      <c r="AI44" s="1773"/>
      <c r="AJ44" s="1773"/>
      <c r="AK44" s="1773"/>
      <c r="AL44" s="1773"/>
      <c r="AM44" s="1773"/>
      <c r="AN44" s="1773"/>
      <c r="AO44" s="1773"/>
      <c r="AP44" s="1773"/>
      <c r="AQ44" s="1773"/>
      <c r="AR44" s="1773"/>
      <c r="AS44" s="1773"/>
      <c r="AT44" s="1773"/>
      <c r="AU44" s="1773"/>
      <c r="AV44" s="1773"/>
      <c r="AW44" s="1773"/>
      <c r="AX44" s="1773"/>
      <c r="AY44" s="1773"/>
      <c r="AZ44" s="1773"/>
      <c r="BA44" s="1773"/>
      <c r="BB44" s="1773"/>
      <c r="BC44" s="1773"/>
      <c r="BD44" s="1773"/>
      <c r="BE44" s="1773"/>
      <c r="BF44" s="1773"/>
      <c r="BG44" s="1773"/>
      <c r="BH44" s="1773"/>
      <c r="BI44" s="1773"/>
      <c r="BJ44" s="1773"/>
      <c r="BK44" s="1773"/>
      <c r="BL44" s="1773"/>
      <c r="BM44" s="1773"/>
      <c r="BN44" s="1773"/>
      <c r="BO44" s="1773"/>
      <c r="BP44" s="1773"/>
      <c r="BQ44" s="1773"/>
      <c r="BR44" s="1773"/>
      <c r="BS44" s="1773"/>
      <c r="BT44" s="1773"/>
      <c r="BU44" s="1773"/>
      <c r="BV44" s="1292"/>
      <c r="BW44" s="1292"/>
      <c r="BX44" s="1292"/>
      <c r="BY44" s="1292"/>
      <c r="BZ44" s="1292"/>
      <c r="CA44" s="1292"/>
      <c r="CB44" s="1292"/>
      <c r="CC44" s="1292"/>
      <c r="CD44" s="1292"/>
      <c r="CE44" s="1292"/>
    </row>
    <row customHeight="1" ht="11.25" hidden="1">
      <c r="A45" s="1931"/>
      <c r="B45" s="1773"/>
      <c r="C45" s="1773"/>
      <c r="D45" s="2602"/>
      <c r="E45" s="765"/>
      <c r="F45" s="765">
        <v>0</v>
      </c>
      <c r="G45" s="765"/>
      <c r="H45" s="765"/>
      <c r="I45" s="765"/>
      <c r="J45" s="765"/>
      <c r="K45" s="765"/>
      <c r="L45" s="765"/>
      <c r="M45" s="765"/>
      <c r="N45" s="765"/>
      <c r="O45" s="765"/>
      <c r="P45" s="765"/>
      <c r="Q45" s="765"/>
      <c r="R45" s="765"/>
      <c r="S45" s="766"/>
      <c r="T45" s="848"/>
      <c r="U45" s="2403"/>
      <c r="V45" s="2403"/>
      <c r="W45" s="1773"/>
      <c r="X45" s="1773"/>
      <c r="Y45" s="1773"/>
      <c r="Z45" s="1773"/>
      <c r="AA45" s="1773"/>
      <c r="AB45" s="1292"/>
      <c r="AC45" s="2404"/>
      <c r="AD45" s="759"/>
      <c r="AE45" s="1292"/>
      <c r="AF45" s="1292"/>
      <c r="AG45" s="1773"/>
      <c r="AH45" s="1773"/>
      <c r="AI45" s="1773"/>
      <c r="AJ45" s="1773"/>
      <c r="AK45" s="1773"/>
      <c r="AL45" s="1773"/>
      <c r="AM45" s="1773"/>
      <c r="AN45" s="1773"/>
      <c r="AO45" s="1773"/>
      <c r="AP45" s="1773"/>
      <c r="AQ45" s="1773"/>
      <c r="AR45" s="1773"/>
      <c r="AS45" s="1773"/>
      <c r="AT45" s="1773"/>
      <c r="AU45" s="1773"/>
      <c r="AV45" s="1773"/>
      <c r="AW45" s="1773"/>
      <c r="AX45" s="1773"/>
      <c r="AY45" s="1773"/>
      <c r="AZ45" s="1773"/>
      <c r="BA45" s="1773"/>
      <c r="BB45" s="1773"/>
      <c r="BC45" s="1773"/>
      <c r="BD45" s="1773"/>
      <c r="BE45" s="1773"/>
      <c r="BF45" s="1773"/>
      <c r="BG45" s="1773"/>
      <c r="BH45" s="1773"/>
      <c r="BI45" s="1773"/>
      <c r="BJ45" s="1773"/>
      <c r="BK45" s="1773"/>
      <c r="BL45" s="1773"/>
      <c r="BM45" s="1773"/>
      <c r="BN45" s="1773"/>
      <c r="BO45" s="1773"/>
      <c r="BP45" s="1773"/>
      <c r="BQ45" s="1773"/>
      <c r="BR45" s="1773"/>
      <c r="BS45" s="1773"/>
      <c r="BT45" s="1773"/>
      <c r="BU45" s="1773"/>
      <c r="BV45" s="1773"/>
      <c r="BW45" s="1773"/>
      <c r="BX45" s="1773"/>
      <c r="BY45" s="1773"/>
      <c r="BZ45" s="1773"/>
      <c r="CA45" s="1773"/>
      <c r="CB45" s="1773"/>
      <c r="CC45" s="1773"/>
      <c r="CD45" s="1773"/>
      <c r="CE45" s="1773"/>
    </row>
    <row customHeight="1" ht="11.25" hidden="1">
      <c r="A46" s="1944"/>
      <c r="B46" s="1292"/>
      <c r="C46" s="542"/>
      <c r="D46" s="2602"/>
      <c r="E46" s="779" t="s">
        <v>18</v>
      </c>
      <c r="F46" s="1300" t="s">
        <v>18</v>
      </c>
      <c r="G46" s="1300" t="s">
        <v>698</v>
      </c>
      <c r="H46" s="781" t="s">
        <v>18</v>
      </c>
      <c r="I46" s="781"/>
      <c r="J46" s="781"/>
      <c r="K46" s="781"/>
      <c r="L46" s="781"/>
      <c r="M46" s="781"/>
      <c r="N46" s="781"/>
      <c r="O46" s="781"/>
      <c r="P46" s="781"/>
      <c r="Q46" s="781"/>
      <c r="R46" s="782"/>
      <c r="S46" s="783"/>
      <c r="T46" s="848"/>
      <c r="U46" s="2403"/>
      <c r="V46" s="2403"/>
      <c r="W46" s="1292"/>
      <c r="X46" s="1292"/>
      <c r="Y46" s="1292"/>
      <c r="Z46" s="1292"/>
      <c r="AA46" s="1773"/>
      <c r="AB46" s="1292"/>
      <c r="AC46" s="2404"/>
      <c r="AD46" s="759"/>
      <c r="AE46" s="1292"/>
      <c r="AF46" s="1292"/>
      <c r="AG46" s="1773"/>
      <c r="AH46" s="1773"/>
      <c r="AI46" s="1773"/>
      <c r="AJ46" s="1773"/>
      <c r="AK46" s="1773"/>
      <c r="AL46" s="1773"/>
      <c r="AM46" s="1773"/>
      <c r="AN46" s="1773"/>
      <c r="AO46" s="1773"/>
      <c r="AP46" s="1773"/>
      <c r="AQ46" s="1773"/>
      <c r="AR46" s="1773"/>
      <c r="AS46" s="1773"/>
      <c r="AT46" s="1773"/>
      <c r="AU46" s="1773"/>
      <c r="AV46" s="1773"/>
      <c r="AW46" s="1773"/>
      <c r="AX46" s="1773"/>
      <c r="AY46" s="1773"/>
      <c r="AZ46" s="1773"/>
      <c r="BA46" s="1773"/>
      <c r="BB46" s="1773"/>
      <c r="BC46" s="1773"/>
      <c r="BD46" s="1773"/>
      <c r="BE46" s="1773"/>
      <c r="BF46" s="1773"/>
      <c r="BG46" s="1773"/>
      <c r="BH46" s="1773"/>
      <c r="BI46" s="1773"/>
      <c r="BJ46" s="1773"/>
      <c r="BK46" s="1773"/>
      <c r="BL46" s="1773"/>
      <c r="BM46" s="1773"/>
      <c r="BN46" s="1773"/>
      <c r="BO46" s="1773"/>
      <c r="BP46" s="1773"/>
      <c r="BQ46" s="1773"/>
      <c r="BR46" s="1773"/>
      <c r="BS46" s="1773"/>
      <c r="BT46" s="1773"/>
      <c r="BU46" s="1773"/>
      <c r="BV46" s="1292"/>
      <c r="BW46" s="1292"/>
      <c r="BX46" s="1292"/>
      <c r="BY46" s="1292"/>
      <c r="BZ46" s="1292"/>
      <c r="CA46" s="1292"/>
      <c r="CB46" s="1292"/>
      <c r="CC46" s="1292"/>
      <c r="CD46" s="1292"/>
      <c r="CE46" s="1292"/>
    </row>
    <row customHeight="1" ht="5.25" hidden="1">
      <c r="A47" s="1931"/>
      <c r="B47" s="1773"/>
      <c r="C47" s="1773"/>
      <c r="D47" s="2602"/>
      <c r="E47" s="1170"/>
      <c r="F47" s="1170"/>
      <c r="G47" s="1170"/>
      <c r="H47" s="1170"/>
      <c r="I47" s="1170"/>
      <c r="J47" s="1170"/>
      <c r="K47" s="1170"/>
      <c r="L47" s="1170"/>
      <c r="M47" s="1170"/>
      <c r="N47" s="1170"/>
      <c r="O47" s="1170"/>
      <c r="P47" s="1170"/>
      <c r="Q47" s="1171"/>
      <c r="R47" s="1172"/>
      <c r="S47" s="1173"/>
      <c r="T47" s="847" t="s">
        <v>695</v>
      </c>
      <c r="U47" s="2403">
        <v>1</v>
      </c>
      <c r="V47" s="2403" t="s">
        <v>658</v>
      </c>
      <c r="W47" s="1773"/>
      <c r="X47" s="1773"/>
      <c r="Y47" s="1773"/>
      <c r="Z47" s="1773"/>
      <c r="AA47" s="1773"/>
      <c r="AB47" s="1773"/>
      <c r="AC47" s="1168"/>
      <c r="AD47" s="1169"/>
      <c r="AE47" s="1773"/>
      <c r="AF47" s="1773"/>
      <c r="AG47" s="1773"/>
      <c r="AH47" s="1773"/>
      <c r="AI47" s="1773"/>
      <c r="AJ47" s="1773"/>
      <c r="AK47" s="1773"/>
      <c r="AL47" s="1773"/>
      <c r="AM47" s="1773"/>
      <c r="AN47" s="1773"/>
      <c r="AO47" s="1773"/>
      <c r="AP47" s="1773"/>
      <c r="AQ47" s="1773"/>
      <c r="AR47" s="1773"/>
      <c r="AS47" s="1773"/>
      <c r="AT47" s="1773"/>
      <c r="AU47" s="1773"/>
      <c r="AV47" s="1773"/>
      <c r="AW47" s="1773"/>
      <c r="AX47" s="1773"/>
      <c r="AY47" s="1773"/>
      <c r="AZ47" s="1773"/>
      <c r="BA47" s="1773"/>
      <c r="BB47" s="1773"/>
      <c r="BC47" s="1773"/>
      <c r="BD47" s="1773"/>
      <c r="BE47" s="1773"/>
      <c r="BF47" s="1773"/>
      <c r="BG47" s="1773"/>
      <c r="BH47" s="1773"/>
      <c r="BI47" s="1773"/>
      <c r="BJ47" s="1773"/>
      <c r="BK47" s="1773"/>
      <c r="BL47" s="1773"/>
      <c r="BM47" s="1773"/>
      <c r="BN47" s="1773"/>
      <c r="BO47" s="1773"/>
      <c r="BP47" s="1773"/>
      <c r="BQ47" s="1773"/>
      <c r="BR47" s="1773"/>
      <c r="BS47" s="1773"/>
      <c r="BT47" s="1773"/>
      <c r="BU47" s="1773"/>
      <c r="BV47" s="1773"/>
      <c r="BW47" s="1773"/>
      <c r="BX47" s="1773"/>
      <c r="BY47" s="1773"/>
      <c r="BZ47" s="1773"/>
      <c r="CA47" s="1773"/>
      <c r="CB47" s="1773"/>
      <c r="CC47" s="1773"/>
      <c r="CD47" s="1773"/>
      <c r="CE47" s="1773"/>
    </row>
    <row customHeight="1" ht="5.25" hidden="1">
      <c r="A48" s="1931"/>
      <c r="B48" s="1773"/>
      <c r="C48" s="1773"/>
      <c r="D48" s="2602"/>
      <c r="E48" s="765"/>
      <c r="F48" s="765"/>
      <c r="G48" s="765"/>
      <c r="H48" s="765"/>
      <c r="I48" s="765"/>
      <c r="J48" s="765"/>
      <c r="K48" s="765"/>
      <c r="L48" s="765"/>
      <c r="M48" s="765"/>
      <c r="N48" s="765"/>
      <c r="O48" s="765"/>
      <c r="P48" s="765"/>
      <c r="Q48" s="765"/>
      <c r="R48" s="765"/>
      <c r="S48" s="766"/>
      <c r="T48" s="848"/>
      <c r="U48" s="2403"/>
      <c r="V48" s="2403"/>
      <c r="W48" s="1773"/>
      <c r="X48" s="1773"/>
      <c r="Y48" s="1773"/>
      <c r="Z48" s="1773"/>
      <c r="AA48" s="1773"/>
      <c r="AB48" s="1773"/>
      <c r="AC48" s="1168"/>
      <c r="AD48" s="1169"/>
      <c r="AE48" s="1773"/>
      <c r="AF48" s="1773"/>
      <c r="AG48" s="1773"/>
      <c r="AH48" s="1773"/>
      <c r="AI48" s="1773"/>
      <c r="AJ48" s="1773"/>
      <c r="AK48" s="1773"/>
      <c r="AL48" s="1773"/>
      <c r="AM48" s="1773"/>
      <c r="AN48" s="1773"/>
      <c r="AO48" s="1773"/>
      <c r="AP48" s="1773"/>
      <c r="AQ48" s="1773"/>
      <c r="AR48" s="1773"/>
      <c r="AS48" s="1773"/>
      <c r="AT48" s="1773"/>
      <c r="AU48" s="1773"/>
      <c r="AV48" s="1773"/>
      <c r="AW48" s="1773"/>
      <c r="AX48" s="1773"/>
      <c r="AY48" s="1773"/>
      <c r="AZ48" s="1773"/>
      <c r="BA48" s="1773"/>
      <c r="BB48" s="1773"/>
      <c r="BC48" s="1773"/>
      <c r="BD48" s="1773"/>
      <c r="BE48" s="1773"/>
      <c r="BF48" s="1773"/>
      <c r="BG48" s="1773"/>
      <c r="BH48" s="1773"/>
      <c r="BI48" s="1773"/>
      <c r="BJ48" s="1773"/>
      <c r="BK48" s="1773"/>
      <c r="BL48" s="1773"/>
      <c r="BM48" s="1773"/>
      <c r="BN48" s="1773"/>
      <c r="BO48" s="1773"/>
      <c r="BP48" s="1773"/>
      <c r="BQ48" s="1773"/>
      <c r="BR48" s="1773"/>
      <c r="BS48" s="1773"/>
      <c r="BT48" s="1773"/>
      <c r="BU48" s="1773"/>
      <c r="BV48" s="1773"/>
      <c r="BW48" s="1773"/>
      <c r="BX48" s="1773"/>
      <c r="BY48" s="1773"/>
      <c r="BZ48" s="1773"/>
      <c r="CA48" s="1773"/>
      <c r="CB48" s="1773"/>
      <c r="CC48" s="1773"/>
      <c r="CD48" s="1773"/>
      <c r="CE48" s="1773"/>
    </row>
    <row customHeight="1" ht="5.25" hidden="1">
      <c r="A49" s="1931"/>
      <c r="B49" s="1773"/>
      <c r="C49" s="1773"/>
      <c r="D49" s="2603"/>
      <c r="E49" s="1174"/>
      <c r="F49" s="1175"/>
      <c r="G49" s="1175"/>
      <c r="H49" s="1176"/>
      <c r="I49" s="1176"/>
      <c r="J49" s="1176"/>
      <c r="K49" s="1176"/>
      <c r="L49" s="1176"/>
      <c r="M49" s="1176"/>
      <c r="N49" s="1176"/>
      <c r="O49" s="1176"/>
      <c r="P49" s="1176"/>
      <c r="Q49" s="1176"/>
      <c r="R49" s="1077"/>
      <c r="S49" s="1177"/>
      <c r="T49" s="848"/>
      <c r="U49" s="2403"/>
      <c r="V49" s="2403"/>
      <c r="W49" s="1773"/>
      <c r="X49" s="1773"/>
      <c r="Y49" s="1773"/>
      <c r="Z49" s="1773"/>
      <c r="AA49" s="1773"/>
      <c r="AB49" s="1773"/>
      <c r="AC49" s="1168"/>
      <c r="AD49" s="1169"/>
      <c r="AE49" s="1773"/>
      <c r="AF49" s="1773"/>
      <c r="AG49" s="1773"/>
      <c r="AH49" s="1773"/>
      <c r="AI49" s="1773"/>
      <c r="AJ49" s="1773"/>
      <c r="AK49" s="1773"/>
      <c r="AL49" s="1773"/>
      <c r="AM49" s="1773"/>
      <c r="AN49" s="1773"/>
      <c r="AO49" s="1773"/>
      <c r="AP49" s="1773"/>
      <c r="AQ49" s="1773"/>
      <c r="AR49" s="1773"/>
      <c r="AS49" s="1773"/>
      <c r="AT49" s="1773"/>
      <c r="AU49" s="1773"/>
      <c r="AV49" s="1773"/>
      <c r="AW49" s="1773"/>
      <c r="AX49" s="1773"/>
      <c r="AY49" s="1773"/>
      <c r="AZ49" s="1773"/>
      <c r="BA49" s="1773"/>
      <c r="BB49" s="1773"/>
      <c r="BC49" s="1773"/>
      <c r="BD49" s="1773"/>
      <c r="BE49" s="1773"/>
      <c r="BF49" s="1773"/>
      <c r="BG49" s="1773"/>
      <c r="BH49" s="1773"/>
      <c r="BI49" s="1773"/>
      <c r="BJ49" s="1773"/>
      <c r="BK49" s="1773"/>
      <c r="BL49" s="1773"/>
      <c r="BM49" s="1773"/>
      <c r="BN49" s="1773"/>
      <c r="BO49" s="1773"/>
      <c r="BP49" s="1773"/>
      <c r="BQ49" s="1773"/>
      <c r="BR49" s="1773"/>
      <c r="BS49" s="1773"/>
      <c r="BT49" s="1773"/>
      <c r="BU49" s="1773"/>
      <c r="BV49" s="1773"/>
      <c r="BW49" s="1773"/>
      <c r="BX49" s="1773"/>
      <c r="BY49" s="1773"/>
      <c r="BZ49" s="1773"/>
      <c r="CA49" s="1773"/>
      <c r="CB49" s="1773"/>
      <c r="CC49" s="1773"/>
      <c r="CD49" s="1773"/>
      <c r="CE49" s="1773"/>
    </row>
    <row customHeight="1" ht="15" hidden="1">
      <c r="A50" s="753" t="s">
        <v>182</v>
      </c>
      <c r="B50" s="754"/>
      <c r="C50" s="754" t="s">
        <v>18</v>
      </c>
      <c r="D50" s="2601" t="s">
        <v>701</v>
      </c>
      <c r="E50" s="2406" t="s">
        <v>161</v>
      </c>
      <c r="F50" s="2407"/>
      <c r="G50" s="2408"/>
      <c r="H50" s="2412" t="str">
        <f>IF(A50="","",INDEX(DIFFERENTIATION_UNMERGE_VD,MATCH(A50,DIFFERENTIATION_ID_DIFF,0)))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412"/>
      <c r="J50" s="2412"/>
      <c r="K50" s="2412"/>
      <c r="L50" s="2412"/>
      <c r="M50" s="2412"/>
      <c r="N50" s="2412"/>
      <c r="O50" s="2412"/>
      <c r="P50" s="2412"/>
      <c r="Q50" s="2412"/>
      <c r="R50" s="2412"/>
      <c r="S50" s="849"/>
      <c r="T50" s="846"/>
      <c r="U50" s="755"/>
      <c r="V50" s="755"/>
      <c r="W50" s="756"/>
      <c r="X50" s="756"/>
      <c r="Y50" s="756"/>
      <c r="Z50" s="756"/>
      <c r="AA50" s="757"/>
      <c r="AB50" s="758"/>
      <c r="AC50" s="2404"/>
      <c r="AD50" s="759"/>
      <c r="AE50" s="760" t="s">
        <v>18</v>
      </c>
      <c r="AF50" s="760"/>
      <c r="AG50" s="761" t="s">
        <v>692</v>
      </c>
      <c r="AH50" s="762">
        <v>3</v>
      </c>
      <c r="AI50" s="755"/>
      <c r="AJ50" s="755"/>
      <c r="AK50" s="755"/>
      <c r="AL50" s="755"/>
      <c r="AM50" s="755"/>
      <c r="AN50" s="755"/>
      <c r="AO50" s="755"/>
      <c r="AP50" s="755"/>
      <c r="AQ50" s="755"/>
      <c r="AR50" s="755"/>
      <c r="AS50" s="755"/>
      <c r="AT50" s="755"/>
      <c r="AU50" s="755"/>
      <c r="AV50" s="755"/>
      <c r="AW50" s="755"/>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6"/>
      <c r="BW50" s="756"/>
      <c r="BX50" s="756"/>
      <c r="BY50" s="756"/>
      <c r="BZ50" s="756"/>
      <c r="CA50" s="756"/>
      <c r="CB50" s="756"/>
      <c r="CC50" s="756"/>
      <c r="CD50" s="756"/>
      <c r="CE50" s="756"/>
    </row>
    <row customHeight="1" ht="15" hidden="1">
      <c r="A51" s="753"/>
      <c r="B51" s="754"/>
      <c r="C51" s="754"/>
      <c r="D51" s="2602"/>
      <c r="E51" s="2406" t="s">
        <v>647</v>
      </c>
      <c r="F51" s="2407"/>
      <c r="G51" s="2408"/>
      <c r="H51" s="2412" t="str">
        <f>IF(A50="","",INDEX(DIFFERENTIATION_UNMERGE_AREA,MATCH(A50,DIFFERENTIATION_ID_DIFF,0)))</f>
        <v>Территория 3</v>
      </c>
      <c r="I51" s="2412"/>
      <c r="J51" s="2412"/>
      <c r="K51" s="2412"/>
      <c r="L51" s="2412"/>
      <c r="M51" s="2412"/>
      <c r="N51" s="2412"/>
      <c r="O51" s="2412"/>
      <c r="P51" s="2412"/>
      <c r="Q51" s="2412"/>
      <c r="R51" s="2412"/>
      <c r="S51" s="849"/>
      <c r="T51" s="846"/>
      <c r="U51" s="755"/>
      <c r="V51" s="755"/>
      <c r="W51" s="756"/>
      <c r="X51" s="756"/>
      <c r="Y51" s="756"/>
      <c r="Z51" s="756"/>
      <c r="AA51" s="757"/>
      <c r="AB51" s="758"/>
      <c r="AC51" s="2404"/>
      <c r="AD51" s="759"/>
      <c r="AE51" s="760"/>
      <c r="AF51" s="760"/>
      <c r="AG51" s="761"/>
      <c r="AH51" s="762"/>
      <c r="AI51" s="755"/>
      <c r="AJ51" s="755"/>
      <c r="AK51" s="755"/>
      <c r="AL51" s="755"/>
      <c r="AM51" s="755"/>
      <c r="AN51" s="755"/>
      <c r="AO51" s="755"/>
      <c r="AP51" s="755"/>
      <c r="AQ51" s="755"/>
      <c r="AR51" s="755"/>
      <c r="AS51" s="755"/>
      <c r="AT51" s="755"/>
      <c r="AU51" s="755"/>
      <c r="AV51" s="755"/>
      <c r="AW51" s="755"/>
      <c r="AX51" s="755"/>
      <c r="AY51" s="755"/>
      <c r="AZ51" s="755"/>
      <c r="BA51" s="755"/>
      <c r="BB51" s="755"/>
      <c r="BC51" s="755"/>
      <c r="BD51" s="755"/>
      <c r="BE51" s="755"/>
      <c r="BF51" s="755"/>
      <c r="BG51" s="755"/>
      <c r="BH51" s="755"/>
      <c r="BI51" s="755"/>
      <c r="BJ51" s="755"/>
      <c r="BK51" s="755"/>
      <c r="BL51" s="755"/>
      <c r="BM51" s="755"/>
      <c r="BN51" s="755"/>
      <c r="BO51" s="755"/>
      <c r="BP51" s="755"/>
      <c r="BQ51" s="755"/>
      <c r="BR51" s="755"/>
      <c r="BS51" s="755"/>
      <c r="BT51" s="755"/>
      <c r="BU51" s="755"/>
      <c r="BV51" s="756"/>
      <c r="BW51" s="756"/>
      <c r="BX51" s="756"/>
      <c r="BY51" s="756"/>
      <c r="BZ51" s="756"/>
      <c r="CA51" s="756"/>
      <c r="CB51" s="756"/>
      <c r="CC51" s="756"/>
      <c r="CD51" s="756"/>
      <c r="CE51" s="756"/>
    </row>
    <row customHeight="1" ht="15" hidden="1">
      <c r="A52" s="753"/>
      <c r="B52" s="754"/>
      <c r="C52" s="754"/>
      <c r="D52" s="2602"/>
      <c r="E52" s="2406" t="s">
        <v>648</v>
      </c>
      <c r="F52" s="2407"/>
      <c r="G52" s="2408"/>
      <c r="H52" s="2412" t="str">
        <f>IF(A50="","",INDEX(DIFFERENTIATION_UNMERGE_SYSTEM,MATCH(A50,DIFFERENTIATION_ID_DIFF,0)))</f>
        <v>Комсомольская ТЭЦ-3 (г. Комсомольск)</v>
      </c>
      <c r="I52" s="2412"/>
      <c r="J52" s="2412"/>
      <c r="K52" s="2412"/>
      <c r="L52" s="2412"/>
      <c r="M52" s="2412"/>
      <c r="N52" s="2412"/>
      <c r="O52" s="2412"/>
      <c r="P52" s="2412"/>
      <c r="Q52" s="2412"/>
      <c r="R52" s="2412"/>
      <c r="S52" s="849"/>
      <c r="T52" s="846"/>
      <c r="U52" s="755"/>
      <c r="V52" s="755"/>
      <c r="W52" s="756"/>
      <c r="X52" s="756"/>
      <c r="Y52" s="756"/>
      <c r="Z52" s="756"/>
      <c r="AA52" s="757"/>
      <c r="AB52" s="758"/>
      <c r="AC52" s="2404"/>
      <c r="AD52" s="759"/>
      <c r="AE52" s="760"/>
      <c r="AF52" s="760"/>
      <c r="AG52" s="761"/>
      <c r="AH52" s="762"/>
      <c r="AI52" s="755"/>
      <c r="AJ52" s="755"/>
      <c r="AK52" s="755"/>
      <c r="AL52" s="755"/>
      <c r="AM52" s="755"/>
      <c r="AN52" s="755"/>
      <c r="AO52" s="755"/>
      <c r="AP52" s="755"/>
      <c r="AQ52" s="755"/>
      <c r="AR52" s="755"/>
      <c r="AS52" s="755"/>
      <c r="AT52" s="755"/>
      <c r="AU52" s="755"/>
      <c r="AV52" s="755"/>
      <c r="AW52" s="755"/>
      <c r="AX52" s="755"/>
      <c r="AY52" s="755"/>
      <c r="AZ52" s="755"/>
      <c r="BA52" s="755"/>
      <c r="BB52" s="755"/>
      <c r="BC52" s="755"/>
      <c r="BD52" s="755"/>
      <c r="BE52" s="755"/>
      <c r="BF52" s="755"/>
      <c r="BG52" s="755"/>
      <c r="BH52" s="755"/>
      <c r="BI52" s="755"/>
      <c r="BJ52" s="755"/>
      <c r="BK52" s="755"/>
      <c r="BL52" s="755"/>
      <c r="BM52" s="755"/>
      <c r="BN52" s="755"/>
      <c r="BO52" s="755"/>
      <c r="BP52" s="755"/>
      <c r="BQ52" s="755"/>
      <c r="BR52" s="755"/>
      <c r="BS52" s="755"/>
      <c r="BT52" s="755"/>
      <c r="BU52" s="755"/>
      <c r="BV52" s="756"/>
      <c r="BW52" s="756"/>
      <c r="BX52" s="756"/>
      <c r="BY52" s="756"/>
      <c r="BZ52" s="756"/>
      <c r="CA52" s="756"/>
      <c r="CB52" s="756"/>
      <c r="CC52" s="756"/>
      <c r="CD52" s="756"/>
      <c r="CE52" s="756"/>
    </row>
    <row customHeight="1" ht="24.75" hidden="1">
      <c r="A53" s="1944"/>
      <c r="B53" s="1292"/>
      <c r="C53" s="542"/>
      <c r="D53" s="2602"/>
      <c r="E53" s="2405" t="s">
        <v>693</v>
      </c>
      <c r="F53" s="2405"/>
      <c r="G53" s="2405"/>
      <c r="H53" s="2405"/>
      <c r="I53" s="2405"/>
      <c r="J53" s="2405"/>
      <c r="K53" s="2405"/>
      <c r="L53" s="2405"/>
      <c r="M53" s="2405"/>
      <c r="N53" s="2405"/>
      <c r="O53" s="2405"/>
      <c r="P53" s="2405"/>
      <c r="Q53" s="688">
        <f>SUMIF(T54:T55,"i",Q54:Q55)</f>
        <v>0</v>
      </c>
      <c r="R53" s="1148"/>
      <c r="S53" s="1936" t="s">
        <v>694</v>
      </c>
      <c r="T53" s="847" t="s">
        <v>695</v>
      </c>
      <c r="U53" s="2403">
        <v>1</v>
      </c>
      <c r="V53" s="2403" t="s">
        <v>658</v>
      </c>
      <c r="W53" s="1292"/>
      <c r="X53" s="1292"/>
      <c r="Y53" s="1292"/>
      <c r="Z53" s="1292"/>
      <c r="AA53" s="1773"/>
      <c r="AB53" s="1292"/>
      <c r="AC53" s="2404"/>
      <c r="AD53" s="759"/>
      <c r="AE53" s="1292"/>
      <c r="AF53" s="1292"/>
      <c r="AG53" s="1773"/>
      <c r="AH53" s="1773"/>
      <c r="AI53" s="1773"/>
      <c r="AJ53" s="1773"/>
      <c r="AK53" s="1773"/>
      <c r="AL53" s="1773"/>
      <c r="AM53" s="1773"/>
      <c r="AN53" s="1773"/>
      <c r="AO53" s="1773"/>
      <c r="AP53" s="1773"/>
      <c r="AQ53" s="1773"/>
      <c r="AR53" s="1773"/>
      <c r="AS53" s="1773"/>
      <c r="AT53" s="1773"/>
      <c r="AU53" s="1773"/>
      <c r="AV53" s="1773"/>
      <c r="AW53" s="1773"/>
      <c r="AX53" s="1773"/>
      <c r="AY53" s="1773"/>
      <c r="AZ53" s="1773"/>
      <c r="BA53" s="1773"/>
      <c r="BB53" s="1773"/>
      <c r="BC53" s="1773"/>
      <c r="BD53" s="1773"/>
      <c r="BE53" s="1773"/>
      <c r="BF53" s="1773"/>
      <c r="BG53" s="1773"/>
      <c r="BH53" s="1773"/>
      <c r="BI53" s="1773"/>
      <c r="BJ53" s="1773"/>
      <c r="BK53" s="1773"/>
      <c r="BL53" s="1773"/>
      <c r="BM53" s="1773"/>
      <c r="BN53" s="1773"/>
      <c r="BO53" s="1773"/>
      <c r="BP53" s="1773"/>
      <c r="BQ53" s="1773"/>
      <c r="BR53" s="1773"/>
      <c r="BS53" s="1773"/>
      <c r="BT53" s="1773"/>
      <c r="BU53" s="1773"/>
      <c r="BV53" s="1292"/>
      <c r="BW53" s="1292"/>
      <c r="BX53" s="1292"/>
      <c r="BY53" s="1292"/>
      <c r="BZ53" s="1292"/>
      <c r="CA53" s="1292"/>
      <c r="CB53" s="1292"/>
      <c r="CC53" s="1292"/>
      <c r="CD53" s="1292"/>
      <c r="CE53" s="1292"/>
    </row>
    <row customHeight="1" ht="11.25" hidden="1">
      <c r="A54" s="1931"/>
      <c r="B54" s="1773"/>
      <c r="C54" s="1773"/>
      <c r="D54" s="2602"/>
      <c r="E54" s="765"/>
      <c r="F54" s="765">
        <v>0</v>
      </c>
      <c r="G54" s="765"/>
      <c r="H54" s="765"/>
      <c r="I54" s="765"/>
      <c r="J54" s="765"/>
      <c r="K54" s="765"/>
      <c r="L54" s="765"/>
      <c r="M54" s="765"/>
      <c r="N54" s="765"/>
      <c r="O54" s="765"/>
      <c r="P54" s="765"/>
      <c r="Q54" s="765"/>
      <c r="R54" s="765"/>
      <c r="S54" s="766"/>
      <c r="T54" s="848"/>
      <c r="U54" s="2403"/>
      <c r="V54" s="2403"/>
      <c r="W54" s="1773"/>
      <c r="X54" s="1773"/>
      <c r="Y54" s="1773"/>
      <c r="Z54" s="1773"/>
      <c r="AA54" s="1773"/>
      <c r="AB54" s="1292"/>
      <c r="AC54" s="2404"/>
      <c r="AD54" s="759"/>
      <c r="AE54" s="1292"/>
      <c r="AF54" s="1292"/>
      <c r="AG54" s="1773"/>
      <c r="AH54" s="1773"/>
      <c r="AI54" s="1773"/>
      <c r="AJ54" s="1773"/>
      <c r="AK54" s="1773"/>
      <c r="AL54" s="1773"/>
      <c r="AM54" s="1773"/>
      <c r="AN54" s="1773"/>
      <c r="AO54" s="1773"/>
      <c r="AP54" s="1773"/>
      <c r="AQ54" s="1773"/>
      <c r="AR54" s="1773"/>
      <c r="AS54" s="1773"/>
      <c r="AT54" s="1773"/>
      <c r="AU54" s="1773"/>
      <c r="AV54" s="1773"/>
      <c r="AW54" s="1773"/>
      <c r="AX54" s="1773"/>
      <c r="AY54" s="1773"/>
      <c r="AZ54" s="1773"/>
      <c r="BA54" s="1773"/>
      <c r="BB54" s="1773"/>
      <c r="BC54" s="1773"/>
      <c r="BD54" s="1773"/>
      <c r="BE54" s="1773"/>
      <c r="BF54" s="1773"/>
      <c r="BG54" s="1773"/>
      <c r="BH54" s="1773"/>
      <c r="BI54" s="1773"/>
      <c r="BJ54" s="1773"/>
      <c r="BK54" s="1773"/>
      <c r="BL54" s="1773"/>
      <c r="BM54" s="1773"/>
      <c r="BN54" s="1773"/>
      <c r="BO54" s="1773"/>
      <c r="BP54" s="1773"/>
      <c r="BQ54" s="1773"/>
      <c r="BR54" s="1773"/>
      <c r="BS54" s="1773"/>
      <c r="BT54" s="1773"/>
      <c r="BU54" s="1773"/>
      <c r="BV54" s="1773"/>
      <c r="BW54" s="1773"/>
      <c r="BX54" s="1773"/>
      <c r="BY54" s="1773"/>
      <c r="BZ54" s="1773"/>
      <c r="CA54" s="1773"/>
      <c r="CB54" s="1773"/>
      <c r="CC54" s="1773"/>
      <c r="CD54" s="1773"/>
      <c r="CE54" s="1773"/>
    </row>
    <row customHeight="1" ht="11.25" hidden="1">
      <c r="A55" s="1944"/>
      <c r="B55" s="1292"/>
      <c r="C55" s="542"/>
      <c r="D55" s="2602"/>
      <c r="E55" s="779" t="s">
        <v>18</v>
      </c>
      <c r="F55" s="1300" t="s">
        <v>18</v>
      </c>
      <c r="G55" s="1300" t="s">
        <v>698</v>
      </c>
      <c r="H55" s="781" t="s">
        <v>18</v>
      </c>
      <c r="I55" s="781"/>
      <c r="J55" s="781"/>
      <c r="K55" s="781"/>
      <c r="L55" s="781"/>
      <c r="M55" s="781"/>
      <c r="N55" s="781"/>
      <c r="O55" s="781"/>
      <c r="P55" s="781"/>
      <c r="Q55" s="781"/>
      <c r="R55" s="782"/>
      <c r="S55" s="783"/>
      <c r="T55" s="848"/>
      <c r="U55" s="2403"/>
      <c r="V55" s="2403"/>
      <c r="W55" s="1292"/>
      <c r="X55" s="1292"/>
      <c r="Y55" s="1292"/>
      <c r="Z55" s="1292"/>
      <c r="AA55" s="1773"/>
      <c r="AB55" s="1292"/>
      <c r="AC55" s="2404"/>
      <c r="AD55" s="759"/>
      <c r="AE55" s="1292"/>
      <c r="AF55" s="1292"/>
      <c r="AG55" s="1773"/>
      <c r="AH55" s="1773"/>
      <c r="AI55" s="1773"/>
      <c r="AJ55" s="1773"/>
      <c r="AK55" s="1773"/>
      <c r="AL55" s="1773"/>
      <c r="AM55" s="1773"/>
      <c r="AN55" s="1773"/>
      <c r="AO55" s="1773"/>
      <c r="AP55" s="1773"/>
      <c r="AQ55" s="1773"/>
      <c r="AR55" s="1773"/>
      <c r="AS55" s="1773"/>
      <c r="AT55" s="1773"/>
      <c r="AU55" s="1773"/>
      <c r="AV55" s="1773"/>
      <c r="AW55" s="1773"/>
      <c r="AX55" s="1773"/>
      <c r="AY55" s="1773"/>
      <c r="AZ55" s="1773"/>
      <c r="BA55" s="1773"/>
      <c r="BB55" s="1773"/>
      <c r="BC55" s="1773"/>
      <c r="BD55" s="1773"/>
      <c r="BE55" s="1773"/>
      <c r="BF55" s="1773"/>
      <c r="BG55" s="1773"/>
      <c r="BH55" s="1773"/>
      <c r="BI55" s="1773"/>
      <c r="BJ55" s="1773"/>
      <c r="BK55" s="1773"/>
      <c r="BL55" s="1773"/>
      <c r="BM55" s="1773"/>
      <c r="BN55" s="1773"/>
      <c r="BO55" s="1773"/>
      <c r="BP55" s="1773"/>
      <c r="BQ55" s="1773"/>
      <c r="BR55" s="1773"/>
      <c r="BS55" s="1773"/>
      <c r="BT55" s="1773"/>
      <c r="BU55" s="1773"/>
      <c r="BV55" s="1292"/>
      <c r="BW55" s="1292"/>
      <c r="BX55" s="1292"/>
      <c r="BY55" s="1292"/>
      <c r="BZ55" s="1292"/>
      <c r="CA55" s="1292"/>
      <c r="CB55" s="1292"/>
      <c r="CC55" s="1292"/>
      <c r="CD55" s="1292"/>
      <c r="CE55" s="1292"/>
    </row>
    <row customHeight="1" ht="5.25" hidden="1">
      <c r="A56" s="1931"/>
      <c r="B56" s="1773"/>
      <c r="C56" s="1773"/>
      <c r="D56" s="2602"/>
      <c r="E56" s="1170"/>
      <c r="F56" s="1170"/>
      <c r="G56" s="1170"/>
      <c r="H56" s="1170"/>
      <c r="I56" s="1170"/>
      <c r="J56" s="1170"/>
      <c r="K56" s="1170"/>
      <c r="L56" s="1170"/>
      <c r="M56" s="1170"/>
      <c r="N56" s="1170"/>
      <c r="O56" s="1170"/>
      <c r="P56" s="1170"/>
      <c r="Q56" s="1171"/>
      <c r="R56" s="1172"/>
      <c r="S56" s="1173"/>
      <c r="T56" s="847" t="s">
        <v>695</v>
      </c>
      <c r="U56" s="2403">
        <v>1</v>
      </c>
      <c r="V56" s="2403" t="s">
        <v>658</v>
      </c>
      <c r="W56" s="1773"/>
      <c r="X56" s="1773"/>
      <c r="Y56" s="1773"/>
      <c r="Z56" s="1773"/>
      <c r="AA56" s="1773"/>
      <c r="AB56" s="1773"/>
      <c r="AC56" s="1168"/>
      <c r="AD56" s="1169"/>
      <c r="AE56" s="1773"/>
      <c r="AF56" s="1773"/>
      <c r="AG56" s="1773"/>
      <c r="AH56" s="1773"/>
      <c r="AI56" s="1773"/>
      <c r="AJ56" s="1773"/>
      <c r="AK56" s="1773"/>
      <c r="AL56" s="1773"/>
      <c r="AM56" s="1773"/>
      <c r="AN56" s="1773"/>
      <c r="AO56" s="1773"/>
      <c r="AP56" s="1773"/>
      <c r="AQ56" s="1773"/>
      <c r="AR56" s="1773"/>
      <c r="AS56" s="1773"/>
      <c r="AT56" s="1773"/>
      <c r="AU56" s="1773"/>
      <c r="AV56" s="1773"/>
      <c r="AW56" s="1773"/>
      <c r="AX56" s="1773"/>
      <c r="AY56" s="1773"/>
      <c r="AZ56" s="1773"/>
      <c r="BA56" s="1773"/>
      <c r="BB56" s="1773"/>
      <c r="BC56" s="1773"/>
      <c r="BD56" s="1773"/>
      <c r="BE56" s="1773"/>
      <c r="BF56" s="1773"/>
      <c r="BG56" s="1773"/>
      <c r="BH56" s="1773"/>
      <c r="BI56" s="1773"/>
      <c r="BJ56" s="1773"/>
      <c r="BK56" s="1773"/>
      <c r="BL56" s="1773"/>
      <c r="BM56" s="1773"/>
      <c r="BN56" s="1773"/>
      <c r="BO56" s="1773"/>
      <c r="BP56" s="1773"/>
      <c r="BQ56" s="1773"/>
      <c r="BR56" s="1773"/>
      <c r="BS56" s="1773"/>
      <c r="BT56" s="1773"/>
      <c r="BU56" s="1773"/>
      <c r="BV56" s="1773"/>
      <c r="BW56" s="1773"/>
      <c r="BX56" s="1773"/>
      <c r="BY56" s="1773"/>
      <c r="BZ56" s="1773"/>
      <c r="CA56" s="1773"/>
      <c r="CB56" s="1773"/>
      <c r="CC56" s="1773"/>
      <c r="CD56" s="1773"/>
      <c r="CE56" s="1773"/>
    </row>
    <row customHeight="1" ht="5.25" hidden="1">
      <c r="A57" s="1931"/>
      <c r="B57" s="1773"/>
      <c r="C57" s="1773"/>
      <c r="D57" s="2602"/>
      <c r="E57" s="765"/>
      <c r="F57" s="765"/>
      <c r="G57" s="765"/>
      <c r="H57" s="765"/>
      <c r="I57" s="765"/>
      <c r="J57" s="765"/>
      <c r="K57" s="765"/>
      <c r="L57" s="765"/>
      <c r="M57" s="765"/>
      <c r="N57" s="765"/>
      <c r="O57" s="765"/>
      <c r="P57" s="765"/>
      <c r="Q57" s="765"/>
      <c r="R57" s="765"/>
      <c r="S57" s="766"/>
      <c r="T57" s="848"/>
      <c r="U57" s="2403"/>
      <c r="V57" s="2403"/>
      <c r="W57" s="1773"/>
      <c r="X57" s="1773"/>
      <c r="Y57" s="1773"/>
      <c r="Z57" s="1773"/>
      <c r="AA57" s="1773"/>
      <c r="AB57" s="1773"/>
      <c r="AC57" s="1168"/>
      <c r="AD57" s="1169"/>
      <c r="AE57" s="1773"/>
      <c r="AF57" s="1773"/>
      <c r="AG57" s="1773"/>
      <c r="AH57" s="1773"/>
      <c r="AI57" s="1773"/>
      <c r="AJ57" s="1773"/>
      <c r="AK57" s="1773"/>
      <c r="AL57" s="1773"/>
      <c r="AM57" s="1773"/>
      <c r="AN57" s="1773"/>
      <c r="AO57" s="1773"/>
      <c r="AP57" s="1773"/>
      <c r="AQ57" s="1773"/>
      <c r="AR57" s="1773"/>
      <c r="AS57" s="1773"/>
      <c r="AT57" s="1773"/>
      <c r="AU57" s="1773"/>
      <c r="AV57" s="1773"/>
      <c r="AW57" s="1773"/>
      <c r="AX57" s="1773"/>
      <c r="AY57" s="1773"/>
      <c r="AZ57" s="1773"/>
      <c r="BA57" s="1773"/>
      <c r="BB57" s="1773"/>
      <c r="BC57" s="1773"/>
      <c r="BD57" s="1773"/>
      <c r="BE57" s="1773"/>
      <c r="BF57" s="1773"/>
      <c r="BG57" s="1773"/>
      <c r="BH57" s="1773"/>
      <c r="BI57" s="1773"/>
      <c r="BJ57" s="1773"/>
      <c r="BK57" s="1773"/>
      <c r="BL57" s="1773"/>
      <c r="BM57" s="1773"/>
      <c r="BN57" s="1773"/>
      <c r="BO57" s="1773"/>
      <c r="BP57" s="1773"/>
      <c r="BQ57" s="1773"/>
      <c r="BR57" s="1773"/>
      <c r="BS57" s="1773"/>
      <c r="BT57" s="1773"/>
      <c r="BU57" s="1773"/>
      <c r="BV57" s="1773"/>
      <c r="BW57" s="1773"/>
      <c r="BX57" s="1773"/>
      <c r="BY57" s="1773"/>
      <c r="BZ57" s="1773"/>
      <c r="CA57" s="1773"/>
      <c r="CB57" s="1773"/>
      <c r="CC57" s="1773"/>
      <c r="CD57" s="1773"/>
      <c r="CE57" s="1773"/>
    </row>
    <row customHeight="1" ht="5.25" hidden="1">
      <c r="A58" s="1931"/>
      <c r="B58" s="1773"/>
      <c r="C58" s="1773"/>
      <c r="D58" s="2603"/>
      <c r="E58" s="1174"/>
      <c r="F58" s="1175"/>
      <c r="G58" s="1175"/>
      <c r="H58" s="1176"/>
      <c r="I58" s="1176"/>
      <c r="J58" s="1176"/>
      <c r="K58" s="1176"/>
      <c r="L58" s="1176"/>
      <c r="M58" s="1176"/>
      <c r="N58" s="1176"/>
      <c r="O58" s="1176"/>
      <c r="P58" s="1176"/>
      <c r="Q58" s="1176"/>
      <c r="R58" s="1077"/>
      <c r="S58" s="1177"/>
      <c r="T58" s="848"/>
      <c r="U58" s="2403"/>
      <c r="V58" s="2403"/>
      <c r="W58" s="1773"/>
      <c r="X58" s="1773"/>
      <c r="Y58" s="1773"/>
      <c r="Z58" s="1773"/>
      <c r="AA58" s="1773"/>
      <c r="AB58" s="1773"/>
      <c r="AC58" s="1168"/>
      <c r="AD58" s="1169"/>
      <c r="AE58" s="1773"/>
      <c r="AF58" s="1773"/>
      <c r="AG58" s="1773"/>
      <c r="AH58" s="1773"/>
      <c r="AI58" s="1773"/>
      <c r="AJ58" s="1773"/>
      <c r="AK58" s="1773"/>
      <c r="AL58" s="1773"/>
      <c r="AM58" s="1773"/>
      <c r="AN58" s="1773"/>
      <c r="AO58" s="1773"/>
      <c r="AP58" s="1773"/>
      <c r="AQ58" s="1773"/>
      <c r="AR58" s="1773"/>
      <c r="AS58" s="1773"/>
      <c r="AT58" s="1773"/>
      <c r="AU58" s="1773"/>
      <c r="AV58" s="1773"/>
      <c r="AW58" s="1773"/>
      <c r="AX58" s="1773"/>
      <c r="AY58" s="1773"/>
      <c r="AZ58" s="1773"/>
      <c r="BA58" s="1773"/>
      <c r="BB58" s="1773"/>
      <c r="BC58" s="1773"/>
      <c r="BD58" s="1773"/>
      <c r="BE58" s="1773"/>
      <c r="BF58" s="1773"/>
      <c r="BG58" s="1773"/>
      <c r="BH58" s="1773"/>
      <c r="BI58" s="1773"/>
      <c r="BJ58" s="1773"/>
      <c r="BK58" s="1773"/>
      <c r="BL58" s="1773"/>
      <c r="BM58" s="1773"/>
      <c r="BN58" s="1773"/>
      <c r="BO58" s="1773"/>
      <c r="BP58" s="1773"/>
      <c r="BQ58" s="1773"/>
      <c r="BR58" s="1773"/>
      <c r="BS58" s="1773"/>
      <c r="BT58" s="1773"/>
      <c r="BU58" s="1773"/>
      <c r="BV58" s="1773"/>
      <c r="BW58" s="1773"/>
      <c r="BX58" s="1773"/>
      <c r="BY58" s="1773"/>
      <c r="BZ58" s="1773"/>
      <c r="CA58" s="1773"/>
      <c r="CB58" s="1773"/>
      <c r="CC58" s="1773"/>
      <c r="CD58" s="1773"/>
      <c r="CE58" s="1773"/>
    </row>
    <row customHeight="1" ht="15" hidden="1">
      <c r="A59" s="753" t="s">
        <v>184</v>
      </c>
      <c r="B59" s="754"/>
      <c r="C59" s="754" t="s">
        <v>18</v>
      </c>
      <c r="D59" s="2601" t="s">
        <v>702</v>
      </c>
      <c r="E59" s="2406" t="s">
        <v>161</v>
      </c>
      <c r="F59" s="2407"/>
      <c r="G59" s="2408"/>
      <c r="H59" s="2412" t="str">
        <f>IF(A59="","",INDEX(DIFFERENTIATION_UNMERGE_VD,MATCH(A59,DIFFERENTIATION_ID_DIFF,0)))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412"/>
      <c r="J59" s="2412"/>
      <c r="K59" s="2412"/>
      <c r="L59" s="2412"/>
      <c r="M59" s="2412"/>
      <c r="N59" s="2412"/>
      <c r="O59" s="2412"/>
      <c r="P59" s="2412"/>
      <c r="Q59" s="2412"/>
      <c r="R59" s="2412"/>
      <c r="S59" s="849"/>
      <c r="T59" s="846"/>
      <c r="U59" s="755"/>
      <c r="V59" s="755"/>
      <c r="W59" s="756"/>
      <c r="X59" s="756"/>
      <c r="Y59" s="756"/>
      <c r="Z59" s="756"/>
      <c r="AA59" s="757"/>
      <c r="AB59" s="758"/>
      <c r="AC59" s="2404"/>
      <c r="AD59" s="759"/>
      <c r="AE59" s="760" t="s">
        <v>18</v>
      </c>
      <c r="AF59" s="760"/>
      <c r="AG59" s="761" t="s">
        <v>692</v>
      </c>
      <c r="AH59" s="762">
        <v>3</v>
      </c>
      <c r="AI59" s="755"/>
      <c r="AJ59" s="755"/>
      <c r="AK59" s="755"/>
      <c r="AL59" s="755"/>
      <c r="AM59" s="755"/>
      <c r="AN59" s="755"/>
      <c r="AO59" s="755"/>
      <c r="AP59" s="755"/>
      <c r="AQ59" s="755"/>
      <c r="AR59" s="755"/>
      <c r="AS59" s="755"/>
      <c r="AT59" s="755"/>
      <c r="AU59" s="755"/>
      <c r="AV59" s="755"/>
      <c r="AW59" s="755"/>
      <c r="AX59" s="755"/>
      <c r="AY59" s="755"/>
      <c r="AZ59" s="755"/>
      <c r="BA59" s="755"/>
      <c r="BB59" s="755"/>
      <c r="BC59" s="755"/>
      <c r="BD59" s="755"/>
      <c r="BE59" s="755"/>
      <c r="BF59" s="755"/>
      <c r="BG59" s="755"/>
      <c r="BH59" s="755"/>
      <c r="BI59" s="755"/>
      <c r="BJ59" s="755"/>
      <c r="BK59" s="755"/>
      <c r="BL59" s="755"/>
      <c r="BM59" s="755"/>
      <c r="BN59" s="755"/>
      <c r="BO59" s="755"/>
      <c r="BP59" s="755"/>
      <c r="BQ59" s="755"/>
      <c r="BR59" s="755"/>
      <c r="BS59" s="755"/>
      <c r="BT59" s="755"/>
      <c r="BU59" s="755"/>
      <c r="BV59" s="756"/>
      <c r="BW59" s="756"/>
      <c r="BX59" s="756"/>
      <c r="BY59" s="756"/>
      <c r="BZ59" s="756"/>
      <c r="CA59" s="756"/>
      <c r="CB59" s="756"/>
      <c r="CC59" s="756"/>
      <c r="CD59" s="756"/>
      <c r="CE59" s="756"/>
    </row>
    <row customHeight="1" ht="15" hidden="1">
      <c r="A60" s="753"/>
      <c r="B60" s="754"/>
      <c r="C60" s="754"/>
      <c r="D60" s="2602"/>
      <c r="E60" s="2406" t="s">
        <v>647</v>
      </c>
      <c r="F60" s="2407"/>
      <c r="G60" s="2408"/>
      <c r="H60" s="2412" t="str">
        <f>IF(A59="","",INDEX(DIFFERENTIATION_UNMERGE_AREA,MATCH(A59,DIFFERENTIATION_ID_DIFF,0)))</f>
        <v>Территория 3</v>
      </c>
      <c r="I60" s="2412"/>
      <c r="J60" s="2412"/>
      <c r="K60" s="2412"/>
      <c r="L60" s="2412"/>
      <c r="M60" s="2412"/>
      <c r="N60" s="2412"/>
      <c r="O60" s="2412"/>
      <c r="P60" s="2412"/>
      <c r="Q60" s="2412"/>
      <c r="R60" s="2412"/>
      <c r="S60" s="849"/>
      <c r="T60" s="846"/>
      <c r="U60" s="755"/>
      <c r="V60" s="755"/>
      <c r="W60" s="756"/>
      <c r="X60" s="756"/>
      <c r="Y60" s="756"/>
      <c r="Z60" s="756"/>
      <c r="AA60" s="757"/>
      <c r="AB60" s="758"/>
      <c r="AC60" s="2404"/>
      <c r="AD60" s="759"/>
      <c r="AE60" s="760"/>
      <c r="AF60" s="760"/>
      <c r="AG60" s="761"/>
      <c r="AH60" s="762"/>
      <c r="AI60" s="755"/>
      <c r="AJ60" s="755"/>
      <c r="AK60" s="755"/>
      <c r="AL60" s="755"/>
      <c r="AM60" s="755"/>
      <c r="AN60" s="755"/>
      <c r="AO60" s="755"/>
      <c r="AP60" s="755"/>
      <c r="AQ60" s="755"/>
      <c r="AR60" s="755"/>
      <c r="AS60" s="755"/>
      <c r="AT60" s="755"/>
      <c r="AU60" s="755"/>
      <c r="AV60" s="755"/>
      <c r="AW60" s="755"/>
      <c r="AX60" s="755"/>
      <c r="AY60" s="755"/>
      <c r="AZ60" s="755"/>
      <c r="BA60" s="755"/>
      <c r="BB60" s="755"/>
      <c r="BC60" s="755"/>
      <c r="BD60" s="755"/>
      <c r="BE60" s="755"/>
      <c r="BF60" s="755"/>
      <c r="BG60" s="755"/>
      <c r="BH60" s="755"/>
      <c r="BI60" s="755"/>
      <c r="BJ60" s="755"/>
      <c r="BK60" s="755"/>
      <c r="BL60" s="755"/>
      <c r="BM60" s="755"/>
      <c r="BN60" s="755"/>
      <c r="BO60" s="755"/>
      <c r="BP60" s="755"/>
      <c r="BQ60" s="755"/>
      <c r="BR60" s="755"/>
      <c r="BS60" s="755"/>
      <c r="BT60" s="755"/>
      <c r="BU60" s="755"/>
      <c r="BV60" s="756"/>
      <c r="BW60" s="756"/>
      <c r="BX60" s="756"/>
      <c r="BY60" s="756"/>
      <c r="BZ60" s="756"/>
      <c r="CA60" s="756"/>
      <c r="CB60" s="756"/>
      <c r="CC60" s="756"/>
      <c r="CD60" s="756"/>
      <c r="CE60" s="756"/>
    </row>
    <row customHeight="1" ht="15" hidden="1">
      <c r="A61" s="753"/>
      <c r="B61" s="754"/>
      <c r="C61" s="754"/>
      <c r="D61" s="2602"/>
      <c r="E61" s="2406" t="s">
        <v>648</v>
      </c>
      <c r="F61" s="2407"/>
      <c r="G61" s="2408"/>
      <c r="H61" s="2412" t="str">
        <f>IF(A59="","",INDEX(DIFFERENTIATION_UNMERGE_SYSTEM,MATCH(A59,DIFFERENTIATION_ID_DIFF,0)))</f>
        <v>ВК "Дземги" (г. Комсомольск)</v>
      </c>
      <c r="I61" s="2412"/>
      <c r="J61" s="2412"/>
      <c r="K61" s="2412"/>
      <c r="L61" s="2412"/>
      <c r="M61" s="2412"/>
      <c r="N61" s="2412"/>
      <c r="O61" s="2412"/>
      <c r="P61" s="2412"/>
      <c r="Q61" s="2412"/>
      <c r="R61" s="2412"/>
      <c r="S61" s="849"/>
      <c r="T61" s="846"/>
      <c r="U61" s="755"/>
      <c r="V61" s="755"/>
      <c r="W61" s="756"/>
      <c r="X61" s="756"/>
      <c r="Y61" s="756"/>
      <c r="Z61" s="756"/>
      <c r="AA61" s="757"/>
      <c r="AB61" s="758"/>
      <c r="AC61" s="2404"/>
      <c r="AD61" s="759"/>
      <c r="AE61" s="760"/>
      <c r="AF61" s="760"/>
      <c r="AG61" s="761"/>
      <c r="AH61" s="762"/>
      <c r="AI61" s="755"/>
      <c r="AJ61" s="755"/>
      <c r="AK61" s="755"/>
      <c r="AL61" s="755"/>
      <c r="AM61" s="755"/>
      <c r="AN61" s="755"/>
      <c r="AO61" s="755"/>
      <c r="AP61" s="755"/>
      <c r="AQ61" s="755"/>
      <c r="AR61" s="755"/>
      <c r="AS61" s="755"/>
      <c r="AT61" s="755"/>
      <c r="AU61" s="755"/>
      <c r="AV61" s="755"/>
      <c r="AW61" s="755"/>
      <c r="AX61" s="755"/>
      <c r="AY61" s="755"/>
      <c r="AZ61" s="755"/>
      <c r="BA61" s="755"/>
      <c r="BB61" s="755"/>
      <c r="BC61" s="755"/>
      <c r="BD61" s="755"/>
      <c r="BE61" s="755"/>
      <c r="BF61" s="755"/>
      <c r="BG61" s="755"/>
      <c r="BH61" s="755"/>
      <c r="BI61" s="755"/>
      <c r="BJ61" s="755"/>
      <c r="BK61" s="755"/>
      <c r="BL61" s="755"/>
      <c r="BM61" s="755"/>
      <c r="BN61" s="755"/>
      <c r="BO61" s="755"/>
      <c r="BP61" s="755"/>
      <c r="BQ61" s="755"/>
      <c r="BR61" s="755"/>
      <c r="BS61" s="755"/>
      <c r="BT61" s="755"/>
      <c r="BU61" s="755"/>
      <c r="BV61" s="756"/>
      <c r="BW61" s="756"/>
      <c r="BX61" s="756"/>
      <c r="BY61" s="756"/>
      <c r="BZ61" s="756"/>
      <c r="CA61" s="756"/>
      <c r="CB61" s="756"/>
      <c r="CC61" s="756"/>
      <c r="CD61" s="756"/>
      <c r="CE61" s="756"/>
    </row>
    <row customHeight="1" ht="24.75" hidden="1">
      <c r="A62" s="1944"/>
      <c r="B62" s="1292"/>
      <c r="C62" s="542"/>
      <c r="D62" s="2602"/>
      <c r="E62" s="2405" t="s">
        <v>693</v>
      </c>
      <c r="F62" s="2405"/>
      <c r="G62" s="2405"/>
      <c r="H62" s="2405"/>
      <c r="I62" s="2405"/>
      <c r="J62" s="2405"/>
      <c r="K62" s="2405"/>
      <c r="L62" s="2405"/>
      <c r="M62" s="2405"/>
      <c r="N62" s="2405"/>
      <c r="O62" s="2405"/>
      <c r="P62" s="2405"/>
      <c r="Q62" s="688">
        <f>SUMIF(T63:T64,"i",Q63:Q64)</f>
        <v>0</v>
      </c>
      <c r="R62" s="1148"/>
      <c r="S62" s="1936" t="s">
        <v>694</v>
      </c>
      <c r="T62" s="847" t="s">
        <v>695</v>
      </c>
      <c r="U62" s="2403">
        <v>1</v>
      </c>
      <c r="V62" s="2403" t="s">
        <v>658</v>
      </c>
      <c r="W62" s="1292"/>
      <c r="X62" s="1292"/>
      <c r="Y62" s="1292"/>
      <c r="Z62" s="1292"/>
      <c r="AA62" s="1773"/>
      <c r="AB62" s="1292"/>
      <c r="AC62" s="2404"/>
      <c r="AD62" s="759"/>
      <c r="AE62" s="1292"/>
      <c r="AF62" s="1292"/>
      <c r="AG62" s="1773"/>
      <c r="AH62" s="1773"/>
      <c r="AI62" s="1773"/>
      <c r="AJ62" s="1773"/>
      <c r="AK62" s="1773"/>
      <c r="AL62" s="1773"/>
      <c r="AM62" s="1773"/>
      <c r="AN62" s="1773"/>
      <c r="AO62" s="1773"/>
      <c r="AP62" s="1773"/>
      <c r="AQ62" s="1773"/>
      <c r="AR62" s="1773"/>
      <c r="AS62" s="1773"/>
      <c r="AT62" s="1773"/>
      <c r="AU62" s="1773"/>
      <c r="AV62" s="1773"/>
      <c r="AW62" s="1773"/>
      <c r="AX62" s="1773"/>
      <c r="AY62" s="1773"/>
      <c r="AZ62" s="1773"/>
      <c r="BA62" s="1773"/>
      <c r="BB62" s="1773"/>
      <c r="BC62" s="1773"/>
      <c r="BD62" s="1773"/>
      <c r="BE62" s="1773"/>
      <c r="BF62" s="1773"/>
      <c r="BG62" s="1773"/>
      <c r="BH62" s="1773"/>
      <c r="BI62" s="1773"/>
      <c r="BJ62" s="1773"/>
      <c r="BK62" s="1773"/>
      <c r="BL62" s="1773"/>
      <c r="BM62" s="1773"/>
      <c r="BN62" s="1773"/>
      <c r="BO62" s="1773"/>
      <c r="BP62" s="1773"/>
      <c r="BQ62" s="1773"/>
      <c r="BR62" s="1773"/>
      <c r="BS62" s="1773"/>
      <c r="BT62" s="1773"/>
      <c r="BU62" s="1773"/>
      <c r="BV62" s="1292"/>
      <c r="BW62" s="1292"/>
      <c r="BX62" s="1292"/>
      <c r="BY62" s="1292"/>
      <c r="BZ62" s="1292"/>
      <c r="CA62" s="1292"/>
      <c r="CB62" s="1292"/>
      <c r="CC62" s="1292"/>
      <c r="CD62" s="1292"/>
      <c r="CE62" s="1292"/>
    </row>
    <row customHeight="1" ht="11.25" hidden="1">
      <c r="A63" s="1931"/>
      <c r="B63" s="1773"/>
      <c r="C63" s="1773"/>
      <c r="D63" s="2602"/>
      <c r="E63" s="765"/>
      <c r="F63" s="765">
        <v>0</v>
      </c>
      <c r="G63" s="765"/>
      <c r="H63" s="765"/>
      <c r="I63" s="765"/>
      <c r="J63" s="765"/>
      <c r="K63" s="765"/>
      <c r="L63" s="765"/>
      <c r="M63" s="765"/>
      <c r="N63" s="765"/>
      <c r="O63" s="765"/>
      <c r="P63" s="765"/>
      <c r="Q63" s="765"/>
      <c r="R63" s="765"/>
      <c r="S63" s="766"/>
      <c r="T63" s="848"/>
      <c r="U63" s="2403"/>
      <c r="V63" s="2403"/>
      <c r="W63" s="1773"/>
      <c r="X63" s="1773"/>
      <c r="Y63" s="1773"/>
      <c r="Z63" s="1773"/>
      <c r="AA63" s="1773"/>
      <c r="AB63" s="1292"/>
      <c r="AC63" s="2404"/>
      <c r="AD63" s="759"/>
      <c r="AE63" s="1292"/>
      <c r="AF63" s="1292"/>
      <c r="AG63" s="1773"/>
      <c r="AH63" s="1773"/>
      <c r="AI63" s="1773"/>
      <c r="AJ63" s="1773"/>
      <c r="AK63" s="1773"/>
      <c r="AL63" s="1773"/>
      <c r="AM63" s="1773"/>
      <c r="AN63" s="1773"/>
      <c r="AO63" s="1773"/>
      <c r="AP63" s="1773"/>
      <c r="AQ63" s="1773"/>
      <c r="AR63" s="1773"/>
      <c r="AS63" s="1773"/>
      <c r="AT63" s="1773"/>
      <c r="AU63" s="1773"/>
      <c r="AV63" s="1773"/>
      <c r="AW63" s="1773"/>
      <c r="AX63" s="1773"/>
      <c r="AY63" s="1773"/>
      <c r="AZ63" s="1773"/>
      <c r="BA63" s="1773"/>
      <c r="BB63" s="1773"/>
      <c r="BC63" s="1773"/>
      <c r="BD63" s="1773"/>
      <c r="BE63" s="1773"/>
      <c r="BF63" s="1773"/>
      <c r="BG63" s="1773"/>
      <c r="BH63" s="1773"/>
      <c r="BI63" s="1773"/>
      <c r="BJ63" s="1773"/>
      <c r="BK63" s="1773"/>
      <c r="BL63" s="1773"/>
      <c r="BM63" s="1773"/>
      <c r="BN63" s="1773"/>
      <c r="BO63" s="1773"/>
      <c r="BP63" s="1773"/>
      <c r="BQ63" s="1773"/>
      <c r="BR63" s="1773"/>
      <c r="BS63" s="1773"/>
      <c r="BT63" s="1773"/>
      <c r="BU63" s="1773"/>
      <c r="BV63" s="1773"/>
      <c r="BW63" s="1773"/>
      <c r="BX63" s="1773"/>
      <c r="BY63" s="1773"/>
      <c r="BZ63" s="1773"/>
      <c r="CA63" s="1773"/>
      <c r="CB63" s="1773"/>
      <c r="CC63" s="1773"/>
      <c r="CD63" s="1773"/>
      <c r="CE63" s="1773"/>
    </row>
    <row customHeight="1" ht="11.25" hidden="1">
      <c r="A64" s="1944"/>
      <c r="B64" s="1292"/>
      <c r="C64" s="542"/>
      <c r="D64" s="2602"/>
      <c r="E64" s="779" t="s">
        <v>18</v>
      </c>
      <c r="F64" s="1300" t="s">
        <v>18</v>
      </c>
      <c r="G64" s="1300" t="s">
        <v>698</v>
      </c>
      <c r="H64" s="781" t="s">
        <v>18</v>
      </c>
      <c r="I64" s="781"/>
      <c r="J64" s="781"/>
      <c r="K64" s="781"/>
      <c r="L64" s="781"/>
      <c r="M64" s="781"/>
      <c r="N64" s="781"/>
      <c r="O64" s="781"/>
      <c r="P64" s="781"/>
      <c r="Q64" s="781"/>
      <c r="R64" s="782"/>
      <c r="S64" s="783"/>
      <c r="T64" s="848"/>
      <c r="U64" s="2403"/>
      <c r="V64" s="2403"/>
      <c r="W64" s="1292"/>
      <c r="X64" s="1292"/>
      <c r="Y64" s="1292"/>
      <c r="Z64" s="1292"/>
      <c r="AA64" s="1773"/>
      <c r="AB64" s="1292"/>
      <c r="AC64" s="2404"/>
      <c r="AD64" s="759"/>
      <c r="AE64" s="1292"/>
      <c r="AF64" s="1292"/>
      <c r="AG64" s="1773"/>
      <c r="AH64" s="1773"/>
      <c r="AI64" s="1773"/>
      <c r="AJ64" s="1773"/>
      <c r="AK64" s="1773"/>
      <c r="AL64" s="1773"/>
      <c r="AM64" s="1773"/>
      <c r="AN64" s="1773"/>
      <c r="AO64" s="1773"/>
      <c r="AP64" s="1773"/>
      <c r="AQ64" s="1773"/>
      <c r="AR64" s="1773"/>
      <c r="AS64" s="1773"/>
      <c r="AT64" s="1773"/>
      <c r="AU64" s="1773"/>
      <c r="AV64" s="1773"/>
      <c r="AW64" s="1773"/>
      <c r="AX64" s="1773"/>
      <c r="AY64" s="1773"/>
      <c r="AZ64" s="1773"/>
      <c r="BA64" s="1773"/>
      <c r="BB64" s="1773"/>
      <c r="BC64" s="1773"/>
      <c r="BD64" s="1773"/>
      <c r="BE64" s="1773"/>
      <c r="BF64" s="1773"/>
      <c r="BG64" s="1773"/>
      <c r="BH64" s="1773"/>
      <c r="BI64" s="1773"/>
      <c r="BJ64" s="1773"/>
      <c r="BK64" s="1773"/>
      <c r="BL64" s="1773"/>
      <c r="BM64" s="1773"/>
      <c r="BN64" s="1773"/>
      <c r="BO64" s="1773"/>
      <c r="BP64" s="1773"/>
      <c r="BQ64" s="1773"/>
      <c r="BR64" s="1773"/>
      <c r="BS64" s="1773"/>
      <c r="BT64" s="1773"/>
      <c r="BU64" s="1773"/>
      <c r="BV64" s="1292"/>
      <c r="BW64" s="1292"/>
      <c r="BX64" s="1292"/>
      <c r="BY64" s="1292"/>
      <c r="BZ64" s="1292"/>
      <c r="CA64" s="1292"/>
      <c r="CB64" s="1292"/>
      <c r="CC64" s="1292"/>
      <c r="CD64" s="1292"/>
      <c r="CE64" s="1292"/>
    </row>
    <row customHeight="1" ht="5.25" hidden="1">
      <c r="A65" s="1931"/>
      <c r="B65" s="1773"/>
      <c r="C65" s="1773"/>
      <c r="D65" s="2602"/>
      <c r="E65" s="1170"/>
      <c r="F65" s="1170"/>
      <c r="G65" s="1170"/>
      <c r="H65" s="1170"/>
      <c r="I65" s="1170"/>
      <c r="J65" s="1170"/>
      <c r="K65" s="1170"/>
      <c r="L65" s="1170"/>
      <c r="M65" s="1170"/>
      <c r="N65" s="1170"/>
      <c r="O65" s="1170"/>
      <c r="P65" s="1170"/>
      <c r="Q65" s="1171"/>
      <c r="R65" s="1172"/>
      <c r="S65" s="1173"/>
      <c r="T65" s="847" t="s">
        <v>695</v>
      </c>
      <c r="U65" s="2403">
        <v>1</v>
      </c>
      <c r="V65" s="2403" t="s">
        <v>658</v>
      </c>
      <c r="W65" s="1773"/>
      <c r="X65" s="1773"/>
      <c r="Y65" s="1773"/>
      <c r="Z65" s="1773"/>
      <c r="AA65" s="1773"/>
      <c r="AB65" s="1773"/>
      <c r="AC65" s="1168"/>
      <c r="AD65" s="1169"/>
      <c r="AE65" s="1773"/>
      <c r="AF65" s="1773"/>
      <c r="AG65" s="1773"/>
      <c r="AH65" s="1773"/>
      <c r="AI65" s="1773"/>
      <c r="AJ65" s="1773"/>
      <c r="AK65" s="1773"/>
      <c r="AL65" s="1773"/>
      <c r="AM65" s="1773"/>
      <c r="AN65" s="1773"/>
      <c r="AO65" s="1773"/>
      <c r="AP65" s="1773"/>
      <c r="AQ65" s="1773"/>
      <c r="AR65" s="1773"/>
      <c r="AS65" s="1773"/>
      <c r="AT65" s="1773"/>
      <c r="AU65" s="1773"/>
      <c r="AV65" s="1773"/>
      <c r="AW65" s="1773"/>
      <c r="AX65" s="1773"/>
      <c r="AY65" s="1773"/>
      <c r="AZ65" s="1773"/>
      <c r="BA65" s="1773"/>
      <c r="BB65" s="1773"/>
      <c r="BC65" s="1773"/>
      <c r="BD65" s="1773"/>
      <c r="BE65" s="1773"/>
      <c r="BF65" s="1773"/>
      <c r="BG65" s="1773"/>
      <c r="BH65" s="1773"/>
      <c r="BI65" s="1773"/>
      <c r="BJ65" s="1773"/>
      <c r="BK65" s="1773"/>
      <c r="BL65" s="1773"/>
      <c r="BM65" s="1773"/>
      <c r="BN65" s="1773"/>
      <c r="BO65" s="1773"/>
      <c r="BP65" s="1773"/>
      <c r="BQ65" s="1773"/>
      <c r="BR65" s="1773"/>
      <c r="BS65" s="1773"/>
      <c r="BT65" s="1773"/>
      <c r="BU65" s="1773"/>
      <c r="BV65" s="1773"/>
      <c r="BW65" s="1773"/>
      <c r="BX65" s="1773"/>
      <c r="BY65" s="1773"/>
      <c r="BZ65" s="1773"/>
      <c r="CA65" s="1773"/>
      <c r="CB65" s="1773"/>
      <c r="CC65" s="1773"/>
      <c r="CD65" s="1773"/>
      <c r="CE65" s="1773"/>
    </row>
    <row customHeight="1" ht="5.25" hidden="1">
      <c r="A66" s="1931"/>
      <c r="B66" s="1773"/>
      <c r="C66" s="1773"/>
      <c r="D66" s="2602"/>
      <c r="E66" s="765"/>
      <c r="F66" s="765"/>
      <c r="G66" s="765"/>
      <c r="H66" s="765"/>
      <c r="I66" s="765"/>
      <c r="J66" s="765"/>
      <c r="K66" s="765"/>
      <c r="L66" s="765"/>
      <c r="M66" s="765"/>
      <c r="N66" s="765"/>
      <c r="O66" s="765"/>
      <c r="P66" s="765"/>
      <c r="Q66" s="765"/>
      <c r="R66" s="765"/>
      <c r="S66" s="766"/>
      <c r="T66" s="848"/>
      <c r="U66" s="2403"/>
      <c r="V66" s="2403"/>
      <c r="W66" s="1773"/>
      <c r="X66" s="1773"/>
      <c r="Y66" s="1773"/>
      <c r="Z66" s="1773"/>
      <c r="AA66" s="1773"/>
      <c r="AB66" s="1773"/>
      <c r="AC66" s="1168"/>
      <c r="AD66" s="1169"/>
      <c r="AE66" s="1773"/>
      <c r="AF66" s="1773"/>
      <c r="AG66" s="1773"/>
      <c r="AH66" s="1773"/>
      <c r="AI66" s="1773"/>
      <c r="AJ66" s="1773"/>
      <c r="AK66" s="1773"/>
      <c r="AL66" s="1773"/>
      <c r="AM66" s="1773"/>
      <c r="AN66" s="1773"/>
      <c r="AO66" s="1773"/>
      <c r="AP66" s="1773"/>
      <c r="AQ66" s="1773"/>
      <c r="AR66" s="1773"/>
      <c r="AS66" s="1773"/>
      <c r="AT66" s="1773"/>
      <c r="AU66" s="1773"/>
      <c r="AV66" s="1773"/>
      <c r="AW66" s="1773"/>
      <c r="AX66" s="1773"/>
      <c r="AY66" s="1773"/>
      <c r="AZ66" s="1773"/>
      <c r="BA66" s="1773"/>
      <c r="BB66" s="1773"/>
      <c r="BC66" s="1773"/>
      <c r="BD66" s="1773"/>
      <c r="BE66" s="1773"/>
      <c r="BF66" s="1773"/>
      <c r="BG66" s="1773"/>
      <c r="BH66" s="1773"/>
      <c r="BI66" s="1773"/>
      <c r="BJ66" s="1773"/>
      <c r="BK66" s="1773"/>
      <c r="BL66" s="1773"/>
      <c r="BM66" s="1773"/>
      <c r="BN66" s="1773"/>
      <c r="BO66" s="1773"/>
      <c r="BP66" s="1773"/>
      <c r="BQ66" s="1773"/>
      <c r="BR66" s="1773"/>
      <c r="BS66" s="1773"/>
      <c r="BT66" s="1773"/>
      <c r="BU66" s="1773"/>
      <c r="BV66" s="1773"/>
      <c r="BW66" s="1773"/>
      <c r="BX66" s="1773"/>
      <c r="BY66" s="1773"/>
      <c r="BZ66" s="1773"/>
      <c r="CA66" s="1773"/>
      <c r="CB66" s="1773"/>
      <c r="CC66" s="1773"/>
      <c r="CD66" s="1773"/>
      <c r="CE66" s="1773"/>
    </row>
    <row customHeight="1" ht="5.25" hidden="1">
      <c r="A67" s="1931"/>
      <c r="B67" s="1773"/>
      <c r="C67" s="1773"/>
      <c r="D67" s="2603"/>
      <c r="E67" s="1174"/>
      <c r="F67" s="1175"/>
      <c r="G67" s="1175"/>
      <c r="H67" s="1176"/>
      <c r="I67" s="1176"/>
      <c r="J67" s="1176"/>
      <c r="K67" s="1176"/>
      <c r="L67" s="1176"/>
      <c r="M67" s="1176"/>
      <c r="N67" s="1176"/>
      <c r="O67" s="1176"/>
      <c r="P67" s="1176"/>
      <c r="Q67" s="1176"/>
      <c r="R67" s="1077"/>
      <c r="S67" s="1177"/>
      <c r="T67" s="848"/>
      <c r="U67" s="2403"/>
      <c r="V67" s="2403"/>
      <c r="W67" s="1773"/>
      <c r="X67" s="1773"/>
      <c r="Y67" s="1773"/>
      <c r="Z67" s="1773"/>
      <c r="AA67" s="1773"/>
      <c r="AB67" s="1773"/>
      <c r="AC67" s="1168"/>
      <c r="AD67" s="1169"/>
      <c r="AE67" s="1773"/>
      <c r="AF67" s="1773"/>
      <c r="AG67" s="1773"/>
      <c r="AH67" s="1773"/>
      <c r="AI67" s="1773"/>
      <c r="AJ67" s="1773"/>
      <c r="AK67" s="1773"/>
      <c r="AL67" s="1773"/>
      <c r="AM67" s="1773"/>
      <c r="AN67" s="1773"/>
      <c r="AO67" s="1773"/>
      <c r="AP67" s="1773"/>
      <c r="AQ67" s="1773"/>
      <c r="AR67" s="1773"/>
      <c r="AS67" s="1773"/>
      <c r="AT67" s="1773"/>
      <c r="AU67" s="1773"/>
      <c r="AV67" s="1773"/>
      <c r="AW67" s="1773"/>
      <c r="AX67" s="1773"/>
      <c r="AY67" s="1773"/>
      <c r="AZ67" s="1773"/>
      <c r="BA67" s="1773"/>
      <c r="BB67" s="1773"/>
      <c r="BC67" s="1773"/>
      <c r="BD67" s="1773"/>
      <c r="BE67" s="1773"/>
      <c r="BF67" s="1773"/>
      <c r="BG67" s="1773"/>
      <c r="BH67" s="1773"/>
      <c r="BI67" s="1773"/>
      <c r="BJ67" s="1773"/>
      <c r="BK67" s="1773"/>
      <c r="BL67" s="1773"/>
      <c r="BM67" s="1773"/>
      <c r="BN67" s="1773"/>
      <c r="BO67" s="1773"/>
      <c r="BP67" s="1773"/>
      <c r="BQ67" s="1773"/>
      <c r="BR67" s="1773"/>
      <c r="BS67" s="1773"/>
      <c r="BT67" s="1773"/>
      <c r="BU67" s="1773"/>
      <c r="BV67" s="1773"/>
      <c r="BW67" s="1773"/>
      <c r="BX67" s="1773"/>
      <c r="BY67" s="1773"/>
      <c r="BZ67" s="1773"/>
      <c r="CA67" s="1773"/>
      <c r="CB67" s="1773"/>
      <c r="CC67" s="1773"/>
      <c r="CD67" s="1773"/>
      <c r="CE67" s="1773"/>
    </row>
    <row customHeight="1" ht="15" hidden="1">
      <c r="A68" s="753" t="s">
        <v>186</v>
      </c>
      <c r="B68" s="754"/>
      <c r="C68" s="754" t="s">
        <v>18</v>
      </c>
      <c r="D68" s="2601" t="s">
        <v>703</v>
      </c>
      <c r="E68" s="2406" t="s">
        <v>161</v>
      </c>
      <c r="F68" s="2407"/>
      <c r="G68" s="2408"/>
      <c r="H68" s="2412" t="str">
        <f>IF(A68="","",INDEX(DIFFERENTIATION_UNMERGE_VD,MATCH(A68,DIFFERENTIATION_ID_DIFF,0)))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68" s="2412"/>
      <c r="J68" s="2412"/>
      <c r="K68" s="2412"/>
      <c r="L68" s="2412"/>
      <c r="M68" s="2412"/>
      <c r="N68" s="2412"/>
      <c r="O68" s="2412"/>
      <c r="P68" s="2412"/>
      <c r="Q68" s="2412"/>
      <c r="R68" s="2412"/>
      <c r="S68" s="849"/>
      <c r="T68" s="846"/>
      <c r="U68" s="755"/>
      <c r="V68" s="755"/>
      <c r="W68" s="756"/>
      <c r="X68" s="756"/>
      <c r="Y68" s="756"/>
      <c r="Z68" s="756"/>
      <c r="AA68" s="757"/>
      <c r="AB68" s="758"/>
      <c r="AC68" s="2404"/>
      <c r="AD68" s="759"/>
      <c r="AE68" s="760" t="s">
        <v>18</v>
      </c>
      <c r="AF68" s="760"/>
      <c r="AG68" s="761" t="s">
        <v>692</v>
      </c>
      <c r="AH68" s="762">
        <v>3</v>
      </c>
      <c r="AI68" s="755"/>
      <c r="AJ68" s="755"/>
      <c r="AK68" s="755"/>
      <c r="AL68" s="755"/>
      <c r="AM68" s="755"/>
      <c r="AN68" s="755"/>
      <c r="AO68" s="755"/>
      <c r="AP68" s="755"/>
      <c r="AQ68" s="755"/>
      <c r="AR68" s="755"/>
      <c r="AS68" s="755"/>
      <c r="AT68" s="755"/>
      <c r="AU68" s="755"/>
      <c r="AV68" s="755"/>
      <c r="AW68" s="755"/>
      <c r="AX68" s="755"/>
      <c r="AY68" s="755"/>
      <c r="AZ68" s="755"/>
      <c r="BA68" s="755"/>
      <c r="BB68" s="755"/>
      <c r="BC68" s="755"/>
      <c r="BD68" s="755"/>
      <c r="BE68" s="755"/>
      <c r="BF68" s="755"/>
      <c r="BG68" s="755"/>
      <c r="BH68" s="755"/>
      <c r="BI68" s="755"/>
      <c r="BJ68" s="755"/>
      <c r="BK68" s="755"/>
      <c r="BL68" s="755"/>
      <c r="BM68" s="755"/>
      <c r="BN68" s="755"/>
      <c r="BO68" s="755"/>
      <c r="BP68" s="755"/>
      <c r="BQ68" s="755"/>
      <c r="BR68" s="755"/>
      <c r="BS68" s="755"/>
      <c r="BT68" s="755"/>
      <c r="BU68" s="755"/>
      <c r="BV68" s="756"/>
      <c r="BW68" s="756"/>
      <c r="BX68" s="756"/>
      <c r="BY68" s="756"/>
      <c r="BZ68" s="756"/>
      <c r="CA68" s="756"/>
      <c r="CB68" s="756"/>
      <c r="CC68" s="756"/>
      <c r="CD68" s="756"/>
      <c r="CE68" s="756"/>
    </row>
    <row customHeight="1" ht="15" hidden="1">
      <c r="A69" s="753"/>
      <c r="B69" s="754"/>
      <c r="C69" s="754"/>
      <c r="D69" s="2602"/>
      <c r="E69" s="2406" t="s">
        <v>647</v>
      </c>
      <c r="F69" s="2407"/>
      <c r="G69" s="2408"/>
      <c r="H69" s="2412" t="str">
        <f>IF(A68="","",INDEX(DIFFERENTIATION_UNMERGE_AREA,MATCH(A68,DIFFERENTIATION_ID_DIFF,0)))</f>
        <v>Территория 4</v>
      </c>
      <c r="I69" s="2412"/>
      <c r="J69" s="2412"/>
      <c r="K69" s="2412"/>
      <c r="L69" s="2412"/>
      <c r="M69" s="2412"/>
      <c r="N69" s="2412"/>
      <c r="O69" s="2412"/>
      <c r="P69" s="2412"/>
      <c r="Q69" s="2412"/>
      <c r="R69" s="2412"/>
      <c r="S69" s="849"/>
      <c r="T69" s="846"/>
      <c r="U69" s="755"/>
      <c r="V69" s="755"/>
      <c r="W69" s="756"/>
      <c r="X69" s="756"/>
      <c r="Y69" s="756"/>
      <c r="Z69" s="756"/>
      <c r="AA69" s="757"/>
      <c r="AB69" s="758"/>
      <c r="AC69" s="2404"/>
      <c r="AD69" s="759"/>
      <c r="AE69" s="760"/>
      <c r="AF69" s="760"/>
      <c r="AG69" s="761"/>
      <c r="AH69" s="762"/>
      <c r="AI69" s="755"/>
      <c r="AJ69" s="755"/>
      <c r="AK69" s="755"/>
      <c r="AL69" s="755"/>
      <c r="AM69" s="755"/>
      <c r="AN69" s="755"/>
      <c r="AO69" s="755"/>
      <c r="AP69" s="755"/>
      <c r="AQ69" s="755"/>
      <c r="AR69" s="755"/>
      <c r="AS69" s="755"/>
      <c r="AT69" s="755"/>
      <c r="AU69" s="755"/>
      <c r="AV69" s="755"/>
      <c r="AW69" s="755"/>
      <c r="AX69" s="755"/>
      <c r="AY69" s="755"/>
      <c r="AZ69" s="755"/>
      <c r="BA69" s="755"/>
      <c r="BB69" s="755"/>
      <c r="BC69" s="755"/>
      <c r="BD69" s="755"/>
      <c r="BE69" s="755"/>
      <c r="BF69" s="755"/>
      <c r="BG69" s="755"/>
      <c r="BH69" s="755"/>
      <c r="BI69" s="755"/>
      <c r="BJ69" s="755"/>
      <c r="BK69" s="755"/>
      <c r="BL69" s="755"/>
      <c r="BM69" s="755"/>
      <c r="BN69" s="755"/>
      <c r="BO69" s="755"/>
      <c r="BP69" s="755"/>
      <c r="BQ69" s="755"/>
      <c r="BR69" s="755"/>
      <c r="BS69" s="755"/>
      <c r="BT69" s="755"/>
      <c r="BU69" s="755"/>
      <c r="BV69" s="756"/>
      <c r="BW69" s="756"/>
      <c r="BX69" s="756"/>
      <c r="BY69" s="756"/>
      <c r="BZ69" s="756"/>
      <c r="CA69" s="756"/>
      <c r="CB69" s="756"/>
      <c r="CC69" s="756"/>
      <c r="CD69" s="756"/>
      <c r="CE69" s="756"/>
    </row>
    <row customHeight="1" ht="15" hidden="1">
      <c r="A70" s="753"/>
      <c r="B70" s="754"/>
      <c r="C70" s="754"/>
      <c r="D70" s="2602"/>
      <c r="E70" s="2406" t="s">
        <v>648</v>
      </c>
      <c r="F70" s="2407"/>
      <c r="G70" s="2408"/>
      <c r="H70" s="2412" t="str">
        <f>IF(A68="","",INDEX(DIFFERENTIATION_UNMERGE_SYSTEM,MATCH(A68,DIFFERENTIATION_ID_DIFF,0)))</f>
        <v>ТЭЦ в г. Советская Гавань (г. Советская Гавань)</v>
      </c>
      <c r="I70" s="2412"/>
      <c r="J70" s="2412"/>
      <c r="K70" s="2412"/>
      <c r="L70" s="2412"/>
      <c r="M70" s="2412"/>
      <c r="N70" s="2412"/>
      <c r="O70" s="2412"/>
      <c r="P70" s="2412"/>
      <c r="Q70" s="2412"/>
      <c r="R70" s="2412"/>
      <c r="S70" s="849"/>
      <c r="T70" s="846"/>
      <c r="U70" s="755"/>
      <c r="V70" s="755"/>
      <c r="W70" s="756"/>
      <c r="X70" s="756"/>
      <c r="Y70" s="756"/>
      <c r="Z70" s="756"/>
      <c r="AA70" s="757"/>
      <c r="AB70" s="758"/>
      <c r="AC70" s="2404"/>
      <c r="AD70" s="759"/>
      <c r="AE70" s="760"/>
      <c r="AF70" s="760"/>
      <c r="AG70" s="761"/>
      <c r="AH70" s="762"/>
      <c r="AI70" s="755"/>
      <c r="AJ70" s="755"/>
      <c r="AK70" s="755"/>
      <c r="AL70" s="755"/>
      <c r="AM70" s="755"/>
      <c r="AN70" s="755"/>
      <c r="AO70" s="755"/>
      <c r="AP70" s="755"/>
      <c r="AQ70" s="755"/>
      <c r="AR70" s="755"/>
      <c r="AS70" s="755"/>
      <c r="AT70" s="755"/>
      <c r="AU70" s="755"/>
      <c r="AV70" s="755"/>
      <c r="AW70" s="755"/>
      <c r="AX70" s="755"/>
      <c r="AY70" s="755"/>
      <c r="AZ70" s="755"/>
      <c r="BA70" s="755"/>
      <c r="BB70" s="755"/>
      <c r="BC70" s="755"/>
      <c r="BD70" s="755"/>
      <c r="BE70" s="755"/>
      <c r="BF70" s="755"/>
      <c r="BG70" s="755"/>
      <c r="BH70" s="755"/>
      <c r="BI70" s="755"/>
      <c r="BJ70" s="755"/>
      <c r="BK70" s="755"/>
      <c r="BL70" s="755"/>
      <c r="BM70" s="755"/>
      <c r="BN70" s="755"/>
      <c r="BO70" s="755"/>
      <c r="BP70" s="755"/>
      <c r="BQ70" s="755"/>
      <c r="BR70" s="755"/>
      <c r="BS70" s="755"/>
      <c r="BT70" s="755"/>
      <c r="BU70" s="755"/>
      <c r="BV70" s="756"/>
      <c r="BW70" s="756"/>
      <c r="BX70" s="756"/>
      <c r="BY70" s="756"/>
      <c r="BZ70" s="756"/>
      <c r="CA70" s="756"/>
      <c r="CB70" s="756"/>
      <c r="CC70" s="756"/>
      <c r="CD70" s="756"/>
      <c r="CE70" s="756"/>
    </row>
    <row customHeight="1" ht="24.75" hidden="1">
      <c r="A71" s="1944"/>
      <c r="B71" s="1292"/>
      <c r="C71" s="542"/>
      <c r="D71" s="2602"/>
      <c r="E71" s="2405" t="s">
        <v>693</v>
      </c>
      <c r="F71" s="2405"/>
      <c r="G71" s="2405"/>
      <c r="H71" s="2405"/>
      <c r="I71" s="2405"/>
      <c r="J71" s="2405"/>
      <c r="K71" s="2405"/>
      <c r="L71" s="2405"/>
      <c r="M71" s="2405"/>
      <c r="N71" s="2405"/>
      <c r="O71" s="2405"/>
      <c r="P71" s="2405"/>
      <c r="Q71" s="688">
        <f>SUMIF(T72:T73,"i",Q72:Q73)</f>
        <v>0</v>
      </c>
      <c r="R71" s="1148"/>
      <c r="S71" s="1936" t="s">
        <v>694</v>
      </c>
      <c r="T71" s="847" t="s">
        <v>695</v>
      </c>
      <c r="U71" s="2403">
        <v>1</v>
      </c>
      <c r="V71" s="2403" t="s">
        <v>658</v>
      </c>
      <c r="W71" s="1292"/>
      <c r="X71" s="1292"/>
      <c r="Y71" s="1292"/>
      <c r="Z71" s="1292"/>
      <c r="AA71" s="1773"/>
      <c r="AB71" s="1292"/>
      <c r="AC71" s="2404"/>
      <c r="AD71" s="759"/>
      <c r="AE71" s="1292"/>
      <c r="AF71" s="1292"/>
      <c r="AG71" s="1773"/>
      <c r="AH71" s="1773"/>
      <c r="AI71" s="1773"/>
      <c r="AJ71" s="1773"/>
      <c r="AK71" s="1773"/>
      <c r="AL71" s="1773"/>
      <c r="AM71" s="1773"/>
      <c r="AN71" s="1773"/>
      <c r="AO71" s="1773"/>
      <c r="AP71" s="1773"/>
      <c r="AQ71" s="1773"/>
      <c r="AR71" s="1773"/>
      <c r="AS71" s="1773"/>
      <c r="AT71" s="1773"/>
      <c r="AU71" s="1773"/>
      <c r="AV71" s="1773"/>
      <c r="AW71" s="1773"/>
      <c r="AX71" s="1773"/>
      <c r="AY71" s="1773"/>
      <c r="AZ71" s="1773"/>
      <c r="BA71" s="1773"/>
      <c r="BB71" s="1773"/>
      <c r="BC71" s="1773"/>
      <c r="BD71" s="1773"/>
      <c r="BE71" s="1773"/>
      <c r="BF71" s="1773"/>
      <c r="BG71" s="1773"/>
      <c r="BH71" s="1773"/>
      <c r="BI71" s="1773"/>
      <c r="BJ71" s="1773"/>
      <c r="BK71" s="1773"/>
      <c r="BL71" s="1773"/>
      <c r="BM71" s="1773"/>
      <c r="BN71" s="1773"/>
      <c r="BO71" s="1773"/>
      <c r="BP71" s="1773"/>
      <c r="BQ71" s="1773"/>
      <c r="BR71" s="1773"/>
      <c r="BS71" s="1773"/>
      <c r="BT71" s="1773"/>
      <c r="BU71" s="1773"/>
      <c r="BV71" s="1292"/>
      <c r="BW71" s="1292"/>
      <c r="BX71" s="1292"/>
      <c r="BY71" s="1292"/>
      <c r="BZ71" s="1292"/>
      <c r="CA71" s="1292"/>
      <c r="CB71" s="1292"/>
      <c r="CC71" s="1292"/>
      <c r="CD71" s="1292"/>
      <c r="CE71" s="1292"/>
    </row>
    <row customHeight="1" ht="11.25" hidden="1">
      <c r="A72" s="1931"/>
      <c r="B72" s="1773"/>
      <c r="C72" s="1773"/>
      <c r="D72" s="2602"/>
      <c r="E72" s="765"/>
      <c r="F72" s="765">
        <v>0</v>
      </c>
      <c r="G72" s="765"/>
      <c r="H72" s="765"/>
      <c r="I72" s="765"/>
      <c r="J72" s="765"/>
      <c r="K72" s="765"/>
      <c r="L72" s="765"/>
      <c r="M72" s="765"/>
      <c r="N72" s="765"/>
      <c r="O72" s="765"/>
      <c r="P72" s="765"/>
      <c r="Q72" s="765"/>
      <c r="R72" s="765"/>
      <c r="S72" s="766"/>
      <c r="T72" s="848"/>
      <c r="U72" s="2403"/>
      <c r="V72" s="2403"/>
      <c r="W72" s="1773"/>
      <c r="X72" s="1773"/>
      <c r="Y72" s="1773"/>
      <c r="Z72" s="1773"/>
      <c r="AA72" s="1773"/>
      <c r="AB72" s="1292"/>
      <c r="AC72" s="2404"/>
      <c r="AD72" s="759"/>
      <c r="AE72" s="1292"/>
      <c r="AF72" s="1292"/>
      <c r="AG72" s="1773"/>
      <c r="AH72" s="1773"/>
      <c r="AI72" s="1773"/>
      <c r="AJ72" s="1773"/>
      <c r="AK72" s="1773"/>
      <c r="AL72" s="1773"/>
      <c r="AM72" s="1773"/>
      <c r="AN72" s="1773"/>
      <c r="AO72" s="1773"/>
      <c r="AP72" s="1773"/>
      <c r="AQ72" s="1773"/>
      <c r="AR72" s="1773"/>
      <c r="AS72" s="1773"/>
      <c r="AT72" s="1773"/>
      <c r="AU72" s="1773"/>
      <c r="AV72" s="1773"/>
      <c r="AW72" s="1773"/>
      <c r="AX72" s="1773"/>
      <c r="AY72" s="1773"/>
      <c r="AZ72" s="1773"/>
      <c r="BA72" s="1773"/>
      <c r="BB72" s="1773"/>
      <c r="BC72" s="1773"/>
      <c r="BD72" s="1773"/>
      <c r="BE72" s="1773"/>
      <c r="BF72" s="1773"/>
      <c r="BG72" s="1773"/>
      <c r="BH72" s="1773"/>
      <c r="BI72" s="1773"/>
      <c r="BJ72" s="1773"/>
      <c r="BK72" s="1773"/>
      <c r="BL72" s="1773"/>
      <c r="BM72" s="1773"/>
      <c r="BN72" s="1773"/>
      <c r="BO72" s="1773"/>
      <c r="BP72" s="1773"/>
      <c r="BQ72" s="1773"/>
      <c r="BR72" s="1773"/>
      <c r="BS72" s="1773"/>
      <c r="BT72" s="1773"/>
      <c r="BU72" s="1773"/>
      <c r="BV72" s="1773"/>
      <c r="BW72" s="1773"/>
      <c r="BX72" s="1773"/>
      <c r="BY72" s="1773"/>
      <c r="BZ72" s="1773"/>
      <c r="CA72" s="1773"/>
      <c r="CB72" s="1773"/>
      <c r="CC72" s="1773"/>
      <c r="CD72" s="1773"/>
      <c r="CE72" s="1773"/>
    </row>
    <row customHeight="1" ht="11.25" hidden="1">
      <c r="A73" s="1944"/>
      <c r="B73" s="1292"/>
      <c r="C73" s="542"/>
      <c r="D73" s="2602"/>
      <c r="E73" s="779" t="s">
        <v>18</v>
      </c>
      <c r="F73" s="1300" t="s">
        <v>18</v>
      </c>
      <c r="G73" s="1300" t="s">
        <v>698</v>
      </c>
      <c r="H73" s="781" t="s">
        <v>18</v>
      </c>
      <c r="I73" s="781"/>
      <c r="J73" s="781"/>
      <c r="K73" s="781"/>
      <c r="L73" s="781"/>
      <c r="M73" s="781"/>
      <c r="N73" s="781"/>
      <c r="O73" s="781"/>
      <c r="P73" s="781"/>
      <c r="Q73" s="781"/>
      <c r="R73" s="782"/>
      <c r="S73" s="783"/>
      <c r="T73" s="848"/>
      <c r="U73" s="2403"/>
      <c r="V73" s="2403"/>
      <c r="W73" s="1292"/>
      <c r="X73" s="1292"/>
      <c r="Y73" s="1292"/>
      <c r="Z73" s="1292"/>
      <c r="AA73" s="1773"/>
      <c r="AB73" s="1292"/>
      <c r="AC73" s="2404"/>
      <c r="AD73" s="759"/>
      <c r="AE73" s="1292"/>
      <c r="AF73" s="1292"/>
      <c r="AG73" s="1773"/>
      <c r="AH73" s="1773"/>
      <c r="AI73" s="1773"/>
      <c r="AJ73" s="1773"/>
      <c r="AK73" s="1773"/>
      <c r="AL73" s="1773"/>
      <c r="AM73" s="1773"/>
      <c r="AN73" s="1773"/>
      <c r="AO73" s="1773"/>
      <c r="AP73" s="1773"/>
      <c r="AQ73" s="1773"/>
      <c r="AR73" s="1773"/>
      <c r="AS73" s="1773"/>
      <c r="AT73" s="1773"/>
      <c r="AU73" s="1773"/>
      <c r="AV73" s="1773"/>
      <c r="AW73" s="1773"/>
      <c r="AX73" s="1773"/>
      <c r="AY73" s="1773"/>
      <c r="AZ73" s="1773"/>
      <c r="BA73" s="1773"/>
      <c r="BB73" s="1773"/>
      <c r="BC73" s="1773"/>
      <c r="BD73" s="1773"/>
      <c r="BE73" s="1773"/>
      <c r="BF73" s="1773"/>
      <c r="BG73" s="1773"/>
      <c r="BH73" s="1773"/>
      <c r="BI73" s="1773"/>
      <c r="BJ73" s="1773"/>
      <c r="BK73" s="1773"/>
      <c r="BL73" s="1773"/>
      <c r="BM73" s="1773"/>
      <c r="BN73" s="1773"/>
      <c r="BO73" s="1773"/>
      <c r="BP73" s="1773"/>
      <c r="BQ73" s="1773"/>
      <c r="BR73" s="1773"/>
      <c r="BS73" s="1773"/>
      <c r="BT73" s="1773"/>
      <c r="BU73" s="1773"/>
      <c r="BV73" s="1292"/>
      <c r="BW73" s="1292"/>
      <c r="BX73" s="1292"/>
      <c r="BY73" s="1292"/>
      <c r="BZ73" s="1292"/>
      <c r="CA73" s="1292"/>
      <c r="CB73" s="1292"/>
      <c r="CC73" s="1292"/>
      <c r="CD73" s="1292"/>
      <c r="CE73" s="1292"/>
    </row>
    <row customHeight="1" ht="5.25" hidden="1">
      <c r="A74" s="1931"/>
      <c r="B74" s="1773"/>
      <c r="C74" s="1773"/>
      <c r="D74" s="2602"/>
      <c r="E74" s="1170"/>
      <c r="F74" s="1170"/>
      <c r="G74" s="1170"/>
      <c r="H74" s="1170"/>
      <c r="I74" s="1170"/>
      <c r="J74" s="1170"/>
      <c r="K74" s="1170"/>
      <c r="L74" s="1170"/>
      <c r="M74" s="1170"/>
      <c r="N74" s="1170"/>
      <c r="O74" s="1170"/>
      <c r="P74" s="1170"/>
      <c r="Q74" s="1171"/>
      <c r="R74" s="1172"/>
      <c r="S74" s="1173"/>
      <c r="T74" s="847" t="s">
        <v>695</v>
      </c>
      <c r="U74" s="2403">
        <v>1</v>
      </c>
      <c r="V74" s="2403" t="s">
        <v>658</v>
      </c>
      <c r="W74" s="1773"/>
      <c r="X74" s="1773"/>
      <c r="Y74" s="1773"/>
      <c r="Z74" s="1773"/>
      <c r="AA74" s="1773"/>
      <c r="AB74" s="1773"/>
      <c r="AC74" s="1168"/>
      <c r="AD74" s="1169"/>
      <c r="AE74" s="1773"/>
      <c r="AF74" s="1773"/>
      <c r="AG74" s="1773"/>
      <c r="AH74" s="1773"/>
      <c r="AI74" s="1773"/>
      <c r="AJ74" s="1773"/>
      <c r="AK74" s="1773"/>
      <c r="AL74" s="1773"/>
      <c r="AM74" s="1773"/>
      <c r="AN74" s="1773"/>
      <c r="AO74" s="1773"/>
      <c r="AP74" s="1773"/>
      <c r="AQ74" s="1773"/>
      <c r="AR74" s="1773"/>
      <c r="AS74" s="1773"/>
      <c r="AT74" s="1773"/>
      <c r="AU74" s="1773"/>
      <c r="AV74" s="1773"/>
      <c r="AW74" s="1773"/>
      <c r="AX74" s="1773"/>
      <c r="AY74" s="1773"/>
      <c r="AZ74" s="1773"/>
      <c r="BA74" s="1773"/>
      <c r="BB74" s="1773"/>
      <c r="BC74" s="1773"/>
      <c r="BD74" s="1773"/>
      <c r="BE74" s="1773"/>
      <c r="BF74" s="1773"/>
      <c r="BG74" s="1773"/>
      <c r="BH74" s="1773"/>
      <c r="BI74" s="1773"/>
      <c r="BJ74" s="1773"/>
      <c r="BK74" s="1773"/>
      <c r="BL74" s="1773"/>
      <c r="BM74" s="1773"/>
      <c r="BN74" s="1773"/>
      <c r="BO74" s="1773"/>
      <c r="BP74" s="1773"/>
      <c r="BQ74" s="1773"/>
      <c r="BR74" s="1773"/>
      <c r="BS74" s="1773"/>
      <c r="BT74" s="1773"/>
      <c r="BU74" s="1773"/>
      <c r="BV74" s="1773"/>
      <c r="BW74" s="1773"/>
      <c r="BX74" s="1773"/>
      <c r="BY74" s="1773"/>
      <c r="BZ74" s="1773"/>
      <c r="CA74" s="1773"/>
      <c r="CB74" s="1773"/>
      <c r="CC74" s="1773"/>
      <c r="CD74" s="1773"/>
      <c r="CE74" s="1773"/>
    </row>
    <row customHeight="1" ht="5.25" hidden="1">
      <c r="A75" s="1931"/>
      <c r="B75" s="1773"/>
      <c r="C75" s="1773"/>
      <c r="D75" s="2602"/>
      <c r="E75" s="765"/>
      <c r="F75" s="765"/>
      <c r="G75" s="765"/>
      <c r="H75" s="765"/>
      <c r="I75" s="765"/>
      <c r="J75" s="765"/>
      <c r="K75" s="765"/>
      <c r="L75" s="765"/>
      <c r="M75" s="765"/>
      <c r="N75" s="765"/>
      <c r="O75" s="765"/>
      <c r="P75" s="765"/>
      <c r="Q75" s="765"/>
      <c r="R75" s="765"/>
      <c r="S75" s="766"/>
      <c r="T75" s="848"/>
      <c r="U75" s="2403"/>
      <c r="V75" s="2403"/>
      <c r="W75" s="1773"/>
      <c r="X75" s="1773"/>
      <c r="Y75" s="1773"/>
      <c r="Z75" s="1773"/>
      <c r="AA75" s="1773"/>
      <c r="AB75" s="1773"/>
      <c r="AC75" s="1168"/>
      <c r="AD75" s="1169"/>
      <c r="AE75" s="1773"/>
      <c r="AF75" s="1773"/>
      <c r="AG75" s="1773"/>
      <c r="AH75" s="1773"/>
      <c r="AI75" s="1773"/>
      <c r="AJ75" s="1773"/>
      <c r="AK75" s="1773"/>
      <c r="AL75" s="1773"/>
      <c r="AM75" s="1773"/>
      <c r="AN75" s="1773"/>
      <c r="AO75" s="1773"/>
      <c r="AP75" s="1773"/>
      <c r="AQ75" s="1773"/>
      <c r="AR75" s="1773"/>
      <c r="AS75" s="1773"/>
      <c r="AT75" s="1773"/>
      <c r="AU75" s="1773"/>
      <c r="AV75" s="1773"/>
      <c r="AW75" s="1773"/>
      <c r="AX75" s="1773"/>
      <c r="AY75" s="1773"/>
      <c r="AZ75" s="1773"/>
      <c r="BA75" s="1773"/>
      <c r="BB75" s="1773"/>
      <c r="BC75" s="1773"/>
      <c r="BD75" s="1773"/>
      <c r="BE75" s="1773"/>
      <c r="BF75" s="1773"/>
      <c r="BG75" s="1773"/>
      <c r="BH75" s="1773"/>
      <c r="BI75" s="1773"/>
      <c r="BJ75" s="1773"/>
      <c r="BK75" s="1773"/>
      <c r="BL75" s="1773"/>
      <c r="BM75" s="1773"/>
      <c r="BN75" s="1773"/>
      <c r="BO75" s="1773"/>
      <c r="BP75" s="1773"/>
      <c r="BQ75" s="1773"/>
      <c r="BR75" s="1773"/>
      <c r="BS75" s="1773"/>
      <c r="BT75" s="1773"/>
      <c r="BU75" s="1773"/>
      <c r="BV75" s="1773"/>
      <c r="BW75" s="1773"/>
      <c r="BX75" s="1773"/>
      <c r="BY75" s="1773"/>
      <c r="BZ75" s="1773"/>
      <c r="CA75" s="1773"/>
      <c r="CB75" s="1773"/>
      <c r="CC75" s="1773"/>
      <c r="CD75" s="1773"/>
      <c r="CE75" s="1773"/>
    </row>
    <row customHeight="1" ht="5.25" hidden="1">
      <c r="A76" s="1931"/>
      <c r="B76" s="1773"/>
      <c r="C76" s="1773"/>
      <c r="D76" s="2603"/>
      <c r="E76" s="1174"/>
      <c r="F76" s="1175"/>
      <c r="G76" s="1175"/>
      <c r="H76" s="1176"/>
      <c r="I76" s="1176"/>
      <c r="J76" s="1176"/>
      <c r="K76" s="1176"/>
      <c r="L76" s="1176"/>
      <c r="M76" s="1176"/>
      <c r="N76" s="1176"/>
      <c r="O76" s="1176"/>
      <c r="P76" s="1176"/>
      <c r="Q76" s="1176"/>
      <c r="R76" s="1077"/>
      <c r="S76" s="1177"/>
      <c r="T76" s="848"/>
      <c r="U76" s="2403"/>
      <c r="V76" s="2403"/>
      <c r="W76" s="1773"/>
      <c r="X76" s="1773"/>
      <c r="Y76" s="1773"/>
      <c r="Z76" s="1773"/>
      <c r="AA76" s="1773"/>
      <c r="AB76" s="1773"/>
      <c r="AC76" s="1168"/>
      <c r="AD76" s="1169"/>
      <c r="AE76" s="1773"/>
      <c r="AF76" s="1773"/>
      <c r="AG76" s="1773"/>
      <c r="AH76" s="1773"/>
      <c r="AI76" s="1773"/>
      <c r="AJ76" s="1773"/>
      <c r="AK76" s="1773"/>
      <c r="AL76" s="1773"/>
      <c r="AM76" s="1773"/>
      <c r="AN76" s="1773"/>
      <c r="AO76" s="1773"/>
      <c r="AP76" s="1773"/>
      <c r="AQ76" s="1773"/>
      <c r="AR76" s="1773"/>
      <c r="AS76" s="1773"/>
      <c r="AT76" s="1773"/>
      <c r="AU76" s="1773"/>
      <c r="AV76" s="1773"/>
      <c r="AW76" s="1773"/>
      <c r="AX76" s="1773"/>
      <c r="AY76" s="1773"/>
      <c r="AZ76" s="1773"/>
      <c r="BA76" s="1773"/>
      <c r="BB76" s="1773"/>
      <c r="BC76" s="1773"/>
      <c r="BD76" s="1773"/>
      <c r="BE76" s="1773"/>
      <c r="BF76" s="1773"/>
      <c r="BG76" s="1773"/>
      <c r="BH76" s="1773"/>
      <c r="BI76" s="1773"/>
      <c r="BJ76" s="1773"/>
      <c r="BK76" s="1773"/>
      <c r="BL76" s="1773"/>
      <c r="BM76" s="1773"/>
      <c r="BN76" s="1773"/>
      <c r="BO76" s="1773"/>
      <c r="BP76" s="1773"/>
      <c r="BQ76" s="1773"/>
      <c r="BR76" s="1773"/>
      <c r="BS76" s="1773"/>
      <c r="BT76" s="1773"/>
      <c r="BU76" s="1773"/>
      <c r="BV76" s="1773"/>
      <c r="BW76" s="1773"/>
      <c r="BX76" s="1773"/>
      <c r="BY76" s="1773"/>
      <c r="BZ76" s="1773"/>
      <c r="CA76" s="1773"/>
      <c r="CB76" s="1773"/>
      <c r="CC76" s="1773"/>
      <c r="CD76" s="1773"/>
      <c r="CE76" s="1773"/>
    </row>
    <row customHeight="1" ht="15" hidden="1">
      <c r="A77" s="753" t="s">
        <v>188</v>
      </c>
      <c r="B77" s="754"/>
      <c r="C77" s="754" t="s">
        <v>18</v>
      </c>
      <c r="D77" s="2601" t="s">
        <v>704</v>
      </c>
      <c r="E77" s="2406" t="s">
        <v>161</v>
      </c>
      <c r="F77" s="2407"/>
      <c r="G77" s="2408"/>
      <c r="H77" s="2412" t="str">
        <f>IF(A77="","",INDEX(DIFFERENTIATION_UNMERGE_VD,MATCH(A77,DIFFERENTIATION_ID_DIFF,0)))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77" s="2412"/>
      <c r="J77" s="2412"/>
      <c r="K77" s="2412"/>
      <c r="L77" s="2412"/>
      <c r="M77" s="2412"/>
      <c r="N77" s="2412"/>
      <c r="O77" s="2412"/>
      <c r="P77" s="2412"/>
      <c r="Q77" s="2412"/>
      <c r="R77" s="2412"/>
      <c r="S77" s="849"/>
      <c r="T77" s="846"/>
      <c r="U77" s="755"/>
      <c r="V77" s="755"/>
      <c r="W77" s="756"/>
      <c r="X77" s="756"/>
      <c r="Y77" s="756"/>
      <c r="Z77" s="756"/>
      <c r="AA77" s="757"/>
      <c r="AB77" s="758"/>
      <c r="AC77" s="2404"/>
      <c r="AD77" s="759"/>
      <c r="AE77" s="760" t="s">
        <v>18</v>
      </c>
      <c r="AF77" s="760"/>
      <c r="AG77" s="761" t="s">
        <v>692</v>
      </c>
      <c r="AH77" s="762">
        <v>3</v>
      </c>
      <c r="AI77" s="755"/>
      <c r="AJ77" s="755"/>
      <c r="AK77" s="755"/>
      <c r="AL77" s="755"/>
      <c r="AM77" s="755"/>
      <c r="AN77" s="755"/>
      <c r="AO77" s="755"/>
      <c r="AP77" s="755"/>
      <c r="AQ77" s="755"/>
      <c r="AR77" s="755"/>
      <c r="AS77" s="755"/>
      <c r="AT77" s="755"/>
      <c r="AU77" s="755"/>
      <c r="AV77" s="755"/>
      <c r="AW77" s="755"/>
      <c r="AX77" s="755"/>
      <c r="AY77" s="755"/>
      <c r="AZ77" s="755"/>
      <c r="BA77" s="755"/>
      <c r="BB77" s="755"/>
      <c r="BC77" s="755"/>
      <c r="BD77" s="755"/>
      <c r="BE77" s="755"/>
      <c r="BF77" s="755"/>
      <c r="BG77" s="755"/>
      <c r="BH77" s="755"/>
      <c r="BI77" s="755"/>
      <c r="BJ77" s="755"/>
      <c r="BK77" s="755"/>
      <c r="BL77" s="755"/>
      <c r="BM77" s="755"/>
      <c r="BN77" s="755"/>
      <c r="BO77" s="755"/>
      <c r="BP77" s="755"/>
      <c r="BQ77" s="755"/>
      <c r="BR77" s="755"/>
      <c r="BS77" s="755"/>
      <c r="BT77" s="755"/>
      <c r="BU77" s="755"/>
      <c r="BV77" s="756"/>
      <c r="BW77" s="756"/>
      <c r="BX77" s="756"/>
      <c r="BY77" s="756"/>
      <c r="BZ77" s="756"/>
      <c r="CA77" s="756"/>
      <c r="CB77" s="756"/>
      <c r="CC77" s="756"/>
      <c r="CD77" s="756"/>
      <c r="CE77" s="756"/>
    </row>
    <row customHeight="1" ht="15" hidden="1">
      <c r="A78" s="753"/>
      <c r="B78" s="754"/>
      <c r="C78" s="754"/>
      <c r="D78" s="2602"/>
      <c r="E78" s="2406" t="s">
        <v>647</v>
      </c>
      <c r="F78" s="2407"/>
      <c r="G78" s="2408"/>
      <c r="H78" s="2412" t="str">
        <f>IF(A77="","",INDEX(DIFFERENTIATION_UNMERGE_AREA,MATCH(A77,DIFFERENTIATION_ID_DIFF,0)))</f>
        <v>Территория 4</v>
      </c>
      <c r="I78" s="2412"/>
      <c r="J78" s="2412"/>
      <c r="K78" s="2412"/>
      <c r="L78" s="2412"/>
      <c r="M78" s="2412"/>
      <c r="N78" s="2412"/>
      <c r="O78" s="2412"/>
      <c r="P78" s="2412"/>
      <c r="Q78" s="2412"/>
      <c r="R78" s="2412"/>
      <c r="S78" s="849"/>
      <c r="T78" s="846"/>
      <c r="U78" s="755"/>
      <c r="V78" s="755"/>
      <c r="W78" s="756"/>
      <c r="X78" s="756"/>
      <c r="Y78" s="756"/>
      <c r="Z78" s="756"/>
      <c r="AA78" s="757"/>
      <c r="AB78" s="758"/>
      <c r="AC78" s="2404"/>
      <c r="AD78" s="759"/>
      <c r="AE78" s="760"/>
      <c r="AF78" s="760"/>
      <c r="AG78" s="761"/>
      <c r="AH78" s="762"/>
      <c r="AI78" s="755"/>
      <c r="AJ78" s="755"/>
      <c r="AK78" s="755"/>
      <c r="AL78" s="755"/>
      <c r="AM78" s="755"/>
      <c r="AN78" s="755"/>
      <c r="AO78" s="755"/>
      <c r="AP78" s="755"/>
      <c r="AQ78" s="755"/>
      <c r="AR78" s="755"/>
      <c r="AS78" s="755"/>
      <c r="AT78" s="755"/>
      <c r="AU78" s="755"/>
      <c r="AV78" s="755"/>
      <c r="AW78" s="755"/>
      <c r="AX78" s="755"/>
      <c r="AY78" s="755"/>
      <c r="AZ78" s="755"/>
      <c r="BA78" s="755"/>
      <c r="BB78" s="755"/>
      <c r="BC78" s="755"/>
      <c r="BD78" s="755"/>
      <c r="BE78" s="755"/>
      <c r="BF78" s="755"/>
      <c r="BG78" s="755"/>
      <c r="BH78" s="755"/>
      <c r="BI78" s="755"/>
      <c r="BJ78" s="755"/>
      <c r="BK78" s="755"/>
      <c r="BL78" s="755"/>
      <c r="BM78" s="755"/>
      <c r="BN78" s="755"/>
      <c r="BO78" s="755"/>
      <c r="BP78" s="755"/>
      <c r="BQ78" s="755"/>
      <c r="BR78" s="755"/>
      <c r="BS78" s="755"/>
      <c r="BT78" s="755"/>
      <c r="BU78" s="755"/>
      <c r="BV78" s="756"/>
      <c r="BW78" s="756"/>
      <c r="BX78" s="756"/>
      <c r="BY78" s="756"/>
      <c r="BZ78" s="756"/>
      <c r="CA78" s="756"/>
      <c r="CB78" s="756"/>
      <c r="CC78" s="756"/>
      <c r="CD78" s="756"/>
      <c r="CE78" s="756"/>
    </row>
    <row customHeight="1" ht="15" hidden="1">
      <c r="A79" s="753"/>
      <c r="B79" s="754"/>
      <c r="C79" s="754"/>
      <c r="D79" s="2602"/>
      <c r="E79" s="2406" t="s">
        <v>648</v>
      </c>
      <c r="F79" s="2407"/>
      <c r="G79" s="2408"/>
      <c r="H79" s="2412" t="str">
        <f>IF(A77="","",INDEX(DIFFERENTIATION_UNMERGE_SYSTEM,MATCH(A77,DIFFERENTIATION_ID_DIFF,0)))</f>
        <v>Майская котельная </v>
      </c>
      <c r="I79" s="2412"/>
      <c r="J79" s="2412"/>
      <c r="K79" s="2412"/>
      <c r="L79" s="2412"/>
      <c r="M79" s="2412"/>
      <c r="N79" s="2412"/>
      <c r="O79" s="2412"/>
      <c r="P79" s="2412"/>
      <c r="Q79" s="2412"/>
      <c r="R79" s="2412"/>
      <c r="S79" s="849"/>
      <c r="T79" s="846"/>
      <c r="U79" s="755"/>
      <c r="V79" s="755"/>
      <c r="W79" s="756"/>
      <c r="X79" s="756"/>
      <c r="Y79" s="756"/>
      <c r="Z79" s="756"/>
      <c r="AA79" s="757"/>
      <c r="AB79" s="758"/>
      <c r="AC79" s="2404"/>
      <c r="AD79" s="759"/>
      <c r="AE79" s="760"/>
      <c r="AF79" s="760"/>
      <c r="AG79" s="761"/>
      <c r="AH79" s="762"/>
      <c r="AI79" s="755"/>
      <c r="AJ79" s="755"/>
      <c r="AK79" s="755"/>
      <c r="AL79" s="755"/>
      <c r="AM79" s="755"/>
      <c r="AN79" s="755"/>
      <c r="AO79" s="755"/>
      <c r="AP79" s="755"/>
      <c r="AQ79" s="755"/>
      <c r="AR79" s="755"/>
      <c r="AS79" s="755"/>
      <c r="AT79" s="755"/>
      <c r="AU79" s="755"/>
      <c r="AV79" s="755"/>
      <c r="AW79" s="755"/>
      <c r="AX79" s="755"/>
      <c r="AY79" s="755"/>
      <c r="AZ79" s="755"/>
      <c r="BA79" s="755"/>
      <c r="BB79" s="755"/>
      <c r="BC79" s="755"/>
      <c r="BD79" s="755"/>
      <c r="BE79" s="755"/>
      <c r="BF79" s="755"/>
      <c r="BG79" s="755"/>
      <c r="BH79" s="755"/>
      <c r="BI79" s="755"/>
      <c r="BJ79" s="755"/>
      <c r="BK79" s="755"/>
      <c r="BL79" s="755"/>
      <c r="BM79" s="755"/>
      <c r="BN79" s="755"/>
      <c r="BO79" s="755"/>
      <c r="BP79" s="755"/>
      <c r="BQ79" s="755"/>
      <c r="BR79" s="755"/>
      <c r="BS79" s="755"/>
      <c r="BT79" s="755"/>
      <c r="BU79" s="755"/>
      <c r="BV79" s="756"/>
      <c r="BW79" s="756"/>
      <c r="BX79" s="756"/>
      <c r="BY79" s="756"/>
      <c r="BZ79" s="756"/>
      <c r="CA79" s="756"/>
      <c r="CB79" s="756"/>
      <c r="CC79" s="756"/>
      <c r="CD79" s="756"/>
      <c r="CE79" s="756"/>
    </row>
    <row customHeight="1" ht="24.75" hidden="1">
      <c r="A80" s="1944"/>
      <c r="B80" s="1292"/>
      <c r="C80" s="542"/>
      <c r="D80" s="2602"/>
      <c r="E80" s="2405" t="s">
        <v>693</v>
      </c>
      <c r="F80" s="2405"/>
      <c r="G80" s="2405"/>
      <c r="H80" s="2405"/>
      <c r="I80" s="2405"/>
      <c r="J80" s="2405"/>
      <c r="K80" s="2405"/>
      <c r="L80" s="2405"/>
      <c r="M80" s="2405"/>
      <c r="N80" s="2405"/>
      <c r="O80" s="2405"/>
      <c r="P80" s="2405"/>
      <c r="Q80" s="688">
        <f>SUMIF(T81:T82,"i",Q81:Q82)</f>
        <v>0</v>
      </c>
      <c r="R80" s="1148"/>
      <c r="S80" s="1936" t="s">
        <v>694</v>
      </c>
      <c r="T80" s="847" t="s">
        <v>695</v>
      </c>
      <c r="U80" s="2403">
        <v>1</v>
      </c>
      <c r="V80" s="2403" t="s">
        <v>658</v>
      </c>
      <c r="W80" s="1292"/>
      <c r="X80" s="1292"/>
      <c r="Y80" s="1292"/>
      <c r="Z80" s="1292"/>
      <c r="AA80" s="1773"/>
      <c r="AB80" s="1292"/>
      <c r="AC80" s="2404"/>
      <c r="AD80" s="759"/>
      <c r="AE80" s="1292"/>
      <c r="AF80" s="1292"/>
      <c r="AG80" s="1773"/>
      <c r="AH80" s="1773"/>
      <c r="AI80" s="1773"/>
      <c r="AJ80" s="1773"/>
      <c r="AK80" s="1773"/>
      <c r="AL80" s="1773"/>
      <c r="AM80" s="1773"/>
      <c r="AN80" s="1773"/>
      <c r="AO80" s="1773"/>
      <c r="AP80" s="1773"/>
      <c r="AQ80" s="1773"/>
      <c r="AR80" s="1773"/>
      <c r="AS80" s="1773"/>
      <c r="AT80" s="1773"/>
      <c r="AU80" s="1773"/>
      <c r="AV80" s="1773"/>
      <c r="AW80" s="1773"/>
      <c r="AX80" s="1773"/>
      <c r="AY80" s="1773"/>
      <c r="AZ80" s="1773"/>
      <c r="BA80" s="1773"/>
      <c r="BB80" s="1773"/>
      <c r="BC80" s="1773"/>
      <c r="BD80" s="1773"/>
      <c r="BE80" s="1773"/>
      <c r="BF80" s="1773"/>
      <c r="BG80" s="1773"/>
      <c r="BH80" s="1773"/>
      <c r="BI80" s="1773"/>
      <c r="BJ80" s="1773"/>
      <c r="BK80" s="1773"/>
      <c r="BL80" s="1773"/>
      <c r="BM80" s="1773"/>
      <c r="BN80" s="1773"/>
      <c r="BO80" s="1773"/>
      <c r="BP80" s="1773"/>
      <c r="BQ80" s="1773"/>
      <c r="BR80" s="1773"/>
      <c r="BS80" s="1773"/>
      <c r="BT80" s="1773"/>
      <c r="BU80" s="1773"/>
      <c r="BV80" s="1292"/>
      <c r="BW80" s="1292"/>
      <c r="BX80" s="1292"/>
      <c r="BY80" s="1292"/>
      <c r="BZ80" s="1292"/>
      <c r="CA80" s="1292"/>
      <c r="CB80" s="1292"/>
      <c r="CC80" s="1292"/>
      <c r="CD80" s="1292"/>
      <c r="CE80" s="1292"/>
    </row>
    <row customHeight="1" ht="11.25" hidden="1">
      <c r="A81" s="1931"/>
      <c r="B81" s="1773"/>
      <c r="C81" s="1773"/>
      <c r="D81" s="2602"/>
      <c r="E81" s="765"/>
      <c r="F81" s="765">
        <v>0</v>
      </c>
      <c r="G81" s="765"/>
      <c r="H81" s="765"/>
      <c r="I81" s="765"/>
      <c r="J81" s="765"/>
      <c r="K81" s="765"/>
      <c r="L81" s="765"/>
      <c r="M81" s="765"/>
      <c r="N81" s="765"/>
      <c r="O81" s="765"/>
      <c r="P81" s="765"/>
      <c r="Q81" s="765"/>
      <c r="R81" s="765"/>
      <c r="S81" s="766"/>
      <c r="T81" s="848"/>
      <c r="U81" s="2403"/>
      <c r="V81" s="2403"/>
      <c r="W81" s="1773"/>
      <c r="X81" s="1773"/>
      <c r="Y81" s="1773"/>
      <c r="Z81" s="1773"/>
      <c r="AA81" s="1773"/>
      <c r="AB81" s="1292"/>
      <c r="AC81" s="2404"/>
      <c r="AD81" s="759"/>
      <c r="AE81" s="1292"/>
      <c r="AF81" s="1292"/>
      <c r="AG81" s="1773"/>
      <c r="AH81" s="1773"/>
      <c r="AI81" s="1773"/>
      <c r="AJ81" s="1773"/>
      <c r="AK81" s="1773"/>
      <c r="AL81" s="1773"/>
      <c r="AM81" s="1773"/>
      <c r="AN81" s="1773"/>
      <c r="AO81" s="1773"/>
      <c r="AP81" s="1773"/>
      <c r="AQ81" s="1773"/>
      <c r="AR81" s="1773"/>
      <c r="AS81" s="1773"/>
      <c r="AT81" s="1773"/>
      <c r="AU81" s="1773"/>
      <c r="AV81" s="1773"/>
      <c r="AW81" s="1773"/>
      <c r="AX81" s="1773"/>
      <c r="AY81" s="1773"/>
      <c r="AZ81" s="1773"/>
      <c r="BA81" s="1773"/>
      <c r="BB81" s="1773"/>
      <c r="BC81" s="1773"/>
      <c r="BD81" s="1773"/>
      <c r="BE81" s="1773"/>
      <c r="BF81" s="1773"/>
      <c r="BG81" s="1773"/>
      <c r="BH81" s="1773"/>
      <c r="BI81" s="1773"/>
      <c r="BJ81" s="1773"/>
      <c r="BK81" s="1773"/>
      <c r="BL81" s="1773"/>
      <c r="BM81" s="1773"/>
      <c r="BN81" s="1773"/>
      <c r="BO81" s="1773"/>
      <c r="BP81" s="1773"/>
      <c r="BQ81" s="1773"/>
      <c r="BR81" s="1773"/>
      <c r="BS81" s="1773"/>
      <c r="BT81" s="1773"/>
      <c r="BU81" s="1773"/>
      <c r="BV81" s="1773"/>
      <c r="BW81" s="1773"/>
      <c r="BX81" s="1773"/>
      <c r="BY81" s="1773"/>
      <c r="BZ81" s="1773"/>
      <c r="CA81" s="1773"/>
      <c r="CB81" s="1773"/>
      <c r="CC81" s="1773"/>
      <c r="CD81" s="1773"/>
      <c r="CE81" s="1773"/>
    </row>
    <row customHeight="1" ht="11.25" hidden="1">
      <c r="A82" s="1944"/>
      <c r="B82" s="1292"/>
      <c r="C82" s="542"/>
      <c r="D82" s="2602"/>
      <c r="E82" s="779" t="s">
        <v>18</v>
      </c>
      <c r="F82" s="1300" t="s">
        <v>18</v>
      </c>
      <c r="G82" s="1300" t="s">
        <v>698</v>
      </c>
      <c r="H82" s="781" t="s">
        <v>18</v>
      </c>
      <c r="I82" s="781"/>
      <c r="J82" s="781"/>
      <c r="K82" s="781"/>
      <c r="L82" s="781"/>
      <c r="M82" s="781"/>
      <c r="N82" s="781"/>
      <c r="O82" s="781"/>
      <c r="P82" s="781"/>
      <c r="Q82" s="781"/>
      <c r="R82" s="782"/>
      <c r="S82" s="783"/>
      <c r="T82" s="848"/>
      <c r="U82" s="2403"/>
      <c r="V82" s="2403"/>
      <c r="W82" s="1292"/>
      <c r="X82" s="1292"/>
      <c r="Y82" s="1292"/>
      <c r="Z82" s="1292"/>
      <c r="AA82" s="1773"/>
      <c r="AB82" s="1292"/>
      <c r="AC82" s="2404"/>
      <c r="AD82" s="759"/>
      <c r="AE82" s="1292"/>
      <c r="AF82" s="1292"/>
      <c r="AG82" s="1773"/>
      <c r="AH82" s="1773"/>
      <c r="AI82" s="1773"/>
      <c r="AJ82" s="1773"/>
      <c r="AK82" s="1773"/>
      <c r="AL82" s="1773"/>
      <c r="AM82" s="1773"/>
      <c r="AN82" s="1773"/>
      <c r="AO82" s="1773"/>
      <c r="AP82" s="1773"/>
      <c r="AQ82" s="1773"/>
      <c r="AR82" s="1773"/>
      <c r="AS82" s="1773"/>
      <c r="AT82" s="1773"/>
      <c r="AU82" s="1773"/>
      <c r="AV82" s="1773"/>
      <c r="AW82" s="1773"/>
      <c r="AX82" s="1773"/>
      <c r="AY82" s="1773"/>
      <c r="AZ82" s="1773"/>
      <c r="BA82" s="1773"/>
      <c r="BB82" s="1773"/>
      <c r="BC82" s="1773"/>
      <c r="BD82" s="1773"/>
      <c r="BE82" s="1773"/>
      <c r="BF82" s="1773"/>
      <c r="BG82" s="1773"/>
      <c r="BH82" s="1773"/>
      <c r="BI82" s="1773"/>
      <c r="BJ82" s="1773"/>
      <c r="BK82" s="1773"/>
      <c r="BL82" s="1773"/>
      <c r="BM82" s="1773"/>
      <c r="BN82" s="1773"/>
      <c r="BO82" s="1773"/>
      <c r="BP82" s="1773"/>
      <c r="BQ82" s="1773"/>
      <c r="BR82" s="1773"/>
      <c r="BS82" s="1773"/>
      <c r="BT82" s="1773"/>
      <c r="BU82" s="1773"/>
      <c r="BV82" s="1292"/>
      <c r="BW82" s="1292"/>
      <c r="BX82" s="1292"/>
      <c r="BY82" s="1292"/>
      <c r="BZ82" s="1292"/>
      <c r="CA82" s="1292"/>
      <c r="CB82" s="1292"/>
      <c r="CC82" s="1292"/>
      <c r="CD82" s="1292"/>
      <c r="CE82" s="1292"/>
    </row>
    <row customHeight="1" ht="5.25" hidden="1">
      <c r="A83" s="1931"/>
      <c r="B83" s="1773"/>
      <c r="C83" s="1773"/>
      <c r="D83" s="2602"/>
      <c r="E83" s="1170"/>
      <c r="F83" s="1170"/>
      <c r="G83" s="1170"/>
      <c r="H83" s="1170"/>
      <c r="I83" s="1170"/>
      <c r="J83" s="1170"/>
      <c r="K83" s="1170"/>
      <c r="L83" s="1170"/>
      <c r="M83" s="1170"/>
      <c r="N83" s="1170"/>
      <c r="O83" s="1170"/>
      <c r="P83" s="1170"/>
      <c r="Q83" s="1171"/>
      <c r="R83" s="1172"/>
      <c r="S83" s="1173"/>
      <c r="T83" s="847" t="s">
        <v>695</v>
      </c>
      <c r="U83" s="2403">
        <v>1</v>
      </c>
      <c r="V83" s="2403" t="s">
        <v>658</v>
      </c>
      <c r="W83" s="1773"/>
      <c r="X83" s="1773"/>
      <c r="Y83" s="1773"/>
      <c r="Z83" s="1773"/>
      <c r="AA83" s="1773"/>
      <c r="AB83" s="1773"/>
      <c r="AC83" s="1168"/>
      <c r="AD83" s="1169"/>
      <c r="AE83" s="1773"/>
      <c r="AF83" s="1773"/>
      <c r="AG83" s="1773"/>
      <c r="AH83" s="1773"/>
      <c r="AI83" s="1773"/>
      <c r="AJ83" s="1773"/>
      <c r="AK83" s="1773"/>
      <c r="AL83" s="1773"/>
      <c r="AM83" s="1773"/>
      <c r="AN83" s="1773"/>
      <c r="AO83" s="1773"/>
      <c r="AP83" s="1773"/>
      <c r="AQ83" s="1773"/>
      <c r="AR83" s="1773"/>
      <c r="AS83" s="1773"/>
      <c r="AT83" s="1773"/>
      <c r="AU83" s="1773"/>
      <c r="AV83" s="1773"/>
      <c r="AW83" s="1773"/>
      <c r="AX83" s="1773"/>
      <c r="AY83" s="1773"/>
      <c r="AZ83" s="1773"/>
      <c r="BA83" s="1773"/>
      <c r="BB83" s="1773"/>
      <c r="BC83" s="1773"/>
      <c r="BD83" s="1773"/>
      <c r="BE83" s="1773"/>
      <c r="BF83" s="1773"/>
      <c r="BG83" s="1773"/>
      <c r="BH83" s="1773"/>
      <c r="BI83" s="1773"/>
      <c r="BJ83" s="1773"/>
      <c r="BK83" s="1773"/>
      <c r="BL83" s="1773"/>
      <c r="BM83" s="1773"/>
      <c r="BN83" s="1773"/>
      <c r="BO83" s="1773"/>
      <c r="BP83" s="1773"/>
      <c r="BQ83" s="1773"/>
      <c r="BR83" s="1773"/>
      <c r="BS83" s="1773"/>
      <c r="BT83" s="1773"/>
      <c r="BU83" s="1773"/>
      <c r="BV83" s="1773"/>
      <c r="BW83" s="1773"/>
      <c r="BX83" s="1773"/>
      <c r="BY83" s="1773"/>
      <c r="BZ83" s="1773"/>
      <c r="CA83" s="1773"/>
      <c r="CB83" s="1773"/>
      <c r="CC83" s="1773"/>
      <c r="CD83" s="1773"/>
      <c r="CE83" s="1773"/>
    </row>
    <row customHeight="1" ht="5.25" hidden="1">
      <c r="A84" s="1931"/>
      <c r="B84" s="1773"/>
      <c r="C84" s="1773"/>
      <c r="D84" s="2602"/>
      <c r="E84" s="765"/>
      <c r="F84" s="765"/>
      <c r="G84" s="765"/>
      <c r="H84" s="765"/>
      <c r="I84" s="765"/>
      <c r="J84" s="765"/>
      <c r="K84" s="765"/>
      <c r="L84" s="765"/>
      <c r="M84" s="765"/>
      <c r="N84" s="765"/>
      <c r="O84" s="765"/>
      <c r="P84" s="765"/>
      <c r="Q84" s="765"/>
      <c r="R84" s="765"/>
      <c r="S84" s="766"/>
      <c r="T84" s="848"/>
      <c r="U84" s="2403"/>
      <c r="V84" s="2403"/>
      <c r="W84" s="1773"/>
      <c r="X84" s="1773"/>
      <c r="Y84" s="1773"/>
      <c r="Z84" s="1773"/>
      <c r="AA84" s="1773"/>
      <c r="AB84" s="1773"/>
      <c r="AC84" s="1168"/>
      <c r="AD84" s="1169"/>
      <c r="AE84" s="1773"/>
      <c r="AF84" s="1773"/>
      <c r="AG84" s="1773"/>
      <c r="AH84" s="1773"/>
      <c r="AI84" s="1773"/>
      <c r="AJ84" s="1773"/>
      <c r="AK84" s="1773"/>
      <c r="AL84" s="1773"/>
      <c r="AM84" s="1773"/>
      <c r="AN84" s="1773"/>
      <c r="AO84" s="1773"/>
      <c r="AP84" s="1773"/>
      <c r="AQ84" s="1773"/>
      <c r="AR84" s="1773"/>
      <c r="AS84" s="1773"/>
      <c r="AT84" s="1773"/>
      <c r="AU84" s="1773"/>
      <c r="AV84" s="1773"/>
      <c r="AW84" s="1773"/>
      <c r="AX84" s="1773"/>
      <c r="AY84" s="1773"/>
      <c r="AZ84" s="1773"/>
      <c r="BA84" s="1773"/>
      <c r="BB84" s="1773"/>
      <c r="BC84" s="1773"/>
      <c r="BD84" s="1773"/>
      <c r="BE84" s="1773"/>
      <c r="BF84" s="1773"/>
      <c r="BG84" s="1773"/>
      <c r="BH84" s="1773"/>
      <c r="BI84" s="1773"/>
      <c r="BJ84" s="1773"/>
      <c r="BK84" s="1773"/>
      <c r="BL84" s="1773"/>
      <c r="BM84" s="1773"/>
      <c r="BN84" s="1773"/>
      <c r="BO84" s="1773"/>
      <c r="BP84" s="1773"/>
      <c r="BQ84" s="1773"/>
      <c r="BR84" s="1773"/>
      <c r="BS84" s="1773"/>
      <c r="BT84" s="1773"/>
      <c r="BU84" s="1773"/>
      <c r="BV84" s="1773"/>
      <c r="BW84" s="1773"/>
      <c r="BX84" s="1773"/>
      <c r="BY84" s="1773"/>
      <c r="BZ84" s="1773"/>
      <c r="CA84" s="1773"/>
      <c r="CB84" s="1773"/>
      <c r="CC84" s="1773"/>
      <c r="CD84" s="1773"/>
      <c r="CE84" s="1773"/>
    </row>
    <row customHeight="1" ht="5.25" hidden="1">
      <c r="A85" s="1931"/>
      <c r="B85" s="1773"/>
      <c r="C85" s="1773"/>
      <c r="D85" s="2603"/>
      <c r="E85" s="1174"/>
      <c r="F85" s="1175"/>
      <c r="G85" s="1175"/>
      <c r="H85" s="1176"/>
      <c r="I85" s="1176"/>
      <c r="J85" s="1176"/>
      <c r="K85" s="1176"/>
      <c r="L85" s="1176"/>
      <c r="M85" s="1176"/>
      <c r="N85" s="1176"/>
      <c r="O85" s="1176"/>
      <c r="P85" s="1176"/>
      <c r="Q85" s="1176"/>
      <c r="R85" s="1077"/>
      <c r="S85" s="1177"/>
      <c r="T85" s="848"/>
      <c r="U85" s="2403"/>
      <c r="V85" s="2403"/>
      <c r="W85" s="1773"/>
      <c r="X85" s="1773"/>
      <c r="Y85" s="1773"/>
      <c r="Z85" s="1773"/>
      <c r="AA85" s="1773"/>
      <c r="AB85" s="1773"/>
      <c r="AC85" s="1168"/>
      <c r="AD85" s="1169"/>
      <c r="AE85" s="1773"/>
      <c r="AF85" s="1773"/>
      <c r="AG85" s="1773"/>
      <c r="AH85" s="1773"/>
      <c r="AI85" s="1773"/>
      <c r="AJ85" s="1773"/>
      <c r="AK85" s="1773"/>
      <c r="AL85" s="1773"/>
      <c r="AM85" s="1773"/>
      <c r="AN85" s="1773"/>
      <c r="AO85" s="1773"/>
      <c r="AP85" s="1773"/>
      <c r="AQ85" s="1773"/>
      <c r="AR85" s="1773"/>
      <c r="AS85" s="1773"/>
      <c r="AT85" s="1773"/>
      <c r="AU85" s="1773"/>
      <c r="AV85" s="1773"/>
      <c r="AW85" s="1773"/>
      <c r="AX85" s="1773"/>
      <c r="AY85" s="1773"/>
      <c r="AZ85" s="1773"/>
      <c r="BA85" s="1773"/>
      <c r="BB85" s="1773"/>
      <c r="BC85" s="1773"/>
      <c r="BD85" s="1773"/>
      <c r="BE85" s="1773"/>
      <c r="BF85" s="1773"/>
      <c r="BG85" s="1773"/>
      <c r="BH85" s="1773"/>
      <c r="BI85" s="1773"/>
      <c r="BJ85" s="1773"/>
      <c r="BK85" s="1773"/>
      <c r="BL85" s="1773"/>
      <c r="BM85" s="1773"/>
      <c r="BN85" s="1773"/>
      <c r="BO85" s="1773"/>
      <c r="BP85" s="1773"/>
      <c r="BQ85" s="1773"/>
      <c r="BR85" s="1773"/>
      <c r="BS85" s="1773"/>
      <c r="BT85" s="1773"/>
      <c r="BU85" s="1773"/>
      <c r="BV85" s="1773"/>
      <c r="BW85" s="1773"/>
      <c r="BX85" s="1773"/>
      <c r="BY85" s="1773"/>
      <c r="BZ85" s="1773"/>
      <c r="CA85" s="1773"/>
      <c r="CB85" s="1773"/>
      <c r="CC85" s="1773"/>
      <c r="CD85" s="1773"/>
      <c r="CE85" s="1773"/>
    </row>
    <row customHeight="1" ht="15" hidden="1">
      <c r="A86" s="753" t="s">
        <v>190</v>
      </c>
      <c r="B86" s="754"/>
      <c r="C86" s="754" t="s">
        <v>18</v>
      </c>
      <c r="D86" s="2601" t="s">
        <v>705</v>
      </c>
      <c r="E86" s="2406" t="s">
        <v>161</v>
      </c>
      <c r="F86" s="2407"/>
      <c r="G86" s="2408"/>
      <c r="H86" s="2412" t="str">
        <f>IF(A86="","",INDEX(DIFFERENTIATION_UNMERGE_VD,MATCH(A86,DIFFERENTIATION_ID_DIFF,0)))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86" s="2412"/>
      <c r="J86" s="2412"/>
      <c r="K86" s="2412"/>
      <c r="L86" s="2412"/>
      <c r="M86" s="2412"/>
      <c r="N86" s="2412"/>
      <c r="O86" s="2412"/>
      <c r="P86" s="2412"/>
      <c r="Q86" s="2412"/>
      <c r="R86" s="2412"/>
      <c r="S86" s="849"/>
      <c r="T86" s="846"/>
      <c r="U86" s="755"/>
      <c r="V86" s="755"/>
      <c r="W86" s="756"/>
      <c r="X86" s="756"/>
      <c r="Y86" s="756"/>
      <c r="Z86" s="756"/>
      <c r="AA86" s="757"/>
      <c r="AB86" s="758"/>
      <c r="AC86" s="2404"/>
      <c r="AD86" s="759"/>
      <c r="AE86" s="760" t="s">
        <v>18</v>
      </c>
      <c r="AF86" s="760"/>
      <c r="AG86" s="761" t="s">
        <v>692</v>
      </c>
      <c r="AH86" s="762">
        <v>3</v>
      </c>
      <c r="AI86" s="755"/>
      <c r="AJ86" s="755"/>
      <c r="AK86" s="755"/>
      <c r="AL86" s="755"/>
      <c r="AM86" s="755"/>
      <c r="AN86" s="755"/>
      <c r="AO86" s="755"/>
      <c r="AP86" s="755"/>
      <c r="AQ86" s="755"/>
      <c r="AR86" s="755"/>
      <c r="AS86" s="755"/>
      <c r="AT86" s="755"/>
      <c r="AU86" s="755"/>
      <c r="AV86" s="755"/>
      <c r="AW86" s="755"/>
      <c r="AX86" s="755"/>
      <c r="AY86" s="755"/>
      <c r="AZ86" s="755"/>
      <c r="BA86" s="755"/>
      <c r="BB86" s="755"/>
      <c r="BC86" s="755"/>
      <c r="BD86" s="755"/>
      <c r="BE86" s="755"/>
      <c r="BF86" s="755"/>
      <c r="BG86" s="755"/>
      <c r="BH86" s="755"/>
      <c r="BI86" s="755"/>
      <c r="BJ86" s="755"/>
      <c r="BK86" s="755"/>
      <c r="BL86" s="755"/>
      <c r="BM86" s="755"/>
      <c r="BN86" s="755"/>
      <c r="BO86" s="755"/>
      <c r="BP86" s="755"/>
      <c r="BQ86" s="755"/>
      <c r="BR86" s="755"/>
      <c r="BS86" s="755"/>
      <c r="BT86" s="755"/>
      <c r="BU86" s="755"/>
      <c r="BV86" s="756"/>
      <c r="BW86" s="756"/>
      <c r="BX86" s="756"/>
      <c r="BY86" s="756"/>
      <c r="BZ86" s="756"/>
      <c r="CA86" s="756"/>
      <c r="CB86" s="756"/>
      <c r="CC86" s="756"/>
      <c r="CD86" s="756"/>
      <c r="CE86" s="756"/>
    </row>
    <row customHeight="1" ht="15" hidden="1">
      <c r="A87" s="753"/>
      <c r="B87" s="754"/>
      <c r="C87" s="754"/>
      <c r="D87" s="2602"/>
      <c r="E87" s="2406" t="s">
        <v>647</v>
      </c>
      <c r="F87" s="2407"/>
      <c r="G87" s="2408"/>
      <c r="H87" s="2412" t="str">
        <f>IF(A86="","",INDEX(DIFFERENTIATION_UNMERGE_AREA,MATCH(A86,DIFFERENTIATION_ID_DIFF,0)))</f>
        <v>Территория 5</v>
      </c>
      <c r="I87" s="2412"/>
      <c r="J87" s="2412"/>
      <c r="K87" s="2412"/>
      <c r="L87" s="2412"/>
      <c r="M87" s="2412"/>
      <c r="N87" s="2412"/>
      <c r="O87" s="2412"/>
      <c r="P87" s="2412"/>
      <c r="Q87" s="2412"/>
      <c r="R87" s="2412"/>
      <c r="S87" s="849"/>
      <c r="T87" s="846"/>
      <c r="U87" s="755"/>
      <c r="V87" s="755"/>
      <c r="W87" s="756"/>
      <c r="X87" s="756"/>
      <c r="Y87" s="756"/>
      <c r="Z87" s="756"/>
      <c r="AA87" s="757"/>
      <c r="AB87" s="758"/>
      <c r="AC87" s="2404"/>
      <c r="AD87" s="759"/>
      <c r="AE87" s="760"/>
      <c r="AF87" s="760"/>
      <c r="AG87" s="761"/>
      <c r="AH87" s="762"/>
      <c r="AI87" s="755"/>
      <c r="AJ87" s="755"/>
      <c r="AK87" s="755"/>
      <c r="AL87" s="755"/>
      <c r="AM87" s="755"/>
      <c r="AN87" s="755"/>
      <c r="AO87" s="755"/>
      <c r="AP87" s="755"/>
      <c r="AQ87" s="755"/>
      <c r="AR87" s="755"/>
      <c r="AS87" s="755"/>
      <c r="AT87" s="755"/>
      <c r="AU87" s="755"/>
      <c r="AV87" s="755"/>
      <c r="AW87" s="755"/>
      <c r="AX87" s="755"/>
      <c r="AY87" s="755"/>
      <c r="AZ87" s="755"/>
      <c r="BA87" s="755"/>
      <c r="BB87" s="755"/>
      <c r="BC87" s="755"/>
      <c r="BD87" s="755"/>
      <c r="BE87" s="755"/>
      <c r="BF87" s="755"/>
      <c r="BG87" s="755"/>
      <c r="BH87" s="755"/>
      <c r="BI87" s="755"/>
      <c r="BJ87" s="755"/>
      <c r="BK87" s="755"/>
      <c r="BL87" s="755"/>
      <c r="BM87" s="755"/>
      <c r="BN87" s="755"/>
      <c r="BO87" s="755"/>
      <c r="BP87" s="755"/>
      <c r="BQ87" s="755"/>
      <c r="BR87" s="755"/>
      <c r="BS87" s="755"/>
      <c r="BT87" s="755"/>
      <c r="BU87" s="755"/>
      <c r="BV87" s="756"/>
      <c r="BW87" s="756"/>
      <c r="BX87" s="756"/>
      <c r="BY87" s="756"/>
      <c r="BZ87" s="756"/>
      <c r="CA87" s="756"/>
      <c r="CB87" s="756"/>
      <c r="CC87" s="756"/>
      <c r="CD87" s="756"/>
      <c r="CE87" s="756"/>
    </row>
    <row customHeight="1" ht="15" hidden="1">
      <c r="A88" s="753"/>
      <c r="B88" s="754"/>
      <c r="C88" s="754"/>
      <c r="D88" s="2602"/>
      <c r="E88" s="2406" t="s">
        <v>648</v>
      </c>
      <c r="F88" s="2407"/>
      <c r="G88" s="2408"/>
      <c r="H88" s="2412" t="str">
        <f>IF(A86="","",INDEX(DIFFERENTIATION_UNMERGE_SYSTEM,MATCH(A86,DIFFERENTIATION_ID_DIFF,0)))</f>
        <v>Ургальская котельная (п. Чегдомын)</v>
      </c>
      <c r="I88" s="2412"/>
      <c r="J88" s="2412"/>
      <c r="K88" s="2412"/>
      <c r="L88" s="2412"/>
      <c r="M88" s="2412"/>
      <c r="N88" s="2412"/>
      <c r="O88" s="2412"/>
      <c r="P88" s="2412"/>
      <c r="Q88" s="2412"/>
      <c r="R88" s="2412"/>
      <c r="S88" s="849"/>
      <c r="T88" s="846"/>
      <c r="U88" s="755"/>
      <c r="V88" s="755"/>
      <c r="W88" s="756"/>
      <c r="X88" s="756"/>
      <c r="Y88" s="756"/>
      <c r="Z88" s="756"/>
      <c r="AA88" s="757"/>
      <c r="AB88" s="758"/>
      <c r="AC88" s="2404"/>
      <c r="AD88" s="759"/>
      <c r="AE88" s="760"/>
      <c r="AF88" s="760"/>
      <c r="AG88" s="761"/>
      <c r="AH88" s="762"/>
      <c r="AI88" s="755"/>
      <c r="AJ88" s="755"/>
      <c r="AK88" s="755"/>
      <c r="AL88" s="755"/>
      <c r="AM88" s="755"/>
      <c r="AN88" s="755"/>
      <c r="AO88" s="755"/>
      <c r="AP88" s="755"/>
      <c r="AQ88" s="755"/>
      <c r="AR88" s="755"/>
      <c r="AS88" s="755"/>
      <c r="AT88" s="755"/>
      <c r="AU88" s="755"/>
      <c r="AV88" s="755"/>
      <c r="AW88" s="755"/>
      <c r="AX88" s="755"/>
      <c r="AY88" s="755"/>
      <c r="AZ88" s="755"/>
      <c r="BA88" s="755"/>
      <c r="BB88" s="755"/>
      <c r="BC88" s="755"/>
      <c r="BD88" s="755"/>
      <c r="BE88" s="755"/>
      <c r="BF88" s="755"/>
      <c r="BG88" s="755"/>
      <c r="BH88" s="755"/>
      <c r="BI88" s="755"/>
      <c r="BJ88" s="755"/>
      <c r="BK88" s="755"/>
      <c r="BL88" s="755"/>
      <c r="BM88" s="755"/>
      <c r="BN88" s="755"/>
      <c r="BO88" s="755"/>
      <c r="BP88" s="755"/>
      <c r="BQ88" s="755"/>
      <c r="BR88" s="755"/>
      <c r="BS88" s="755"/>
      <c r="BT88" s="755"/>
      <c r="BU88" s="755"/>
      <c r="BV88" s="756"/>
      <c r="BW88" s="756"/>
      <c r="BX88" s="756"/>
      <c r="BY88" s="756"/>
      <c r="BZ88" s="756"/>
      <c r="CA88" s="756"/>
      <c r="CB88" s="756"/>
      <c r="CC88" s="756"/>
      <c r="CD88" s="756"/>
      <c r="CE88" s="756"/>
    </row>
    <row customHeight="1" ht="24.75" hidden="1">
      <c r="A89" s="1944"/>
      <c r="B89" s="1292"/>
      <c r="C89" s="542"/>
      <c r="D89" s="2602"/>
      <c r="E89" s="2405" t="s">
        <v>693</v>
      </c>
      <c r="F89" s="2405"/>
      <c r="G89" s="2405"/>
      <c r="H89" s="2405"/>
      <c r="I89" s="2405"/>
      <c r="J89" s="2405"/>
      <c r="K89" s="2405"/>
      <c r="L89" s="2405"/>
      <c r="M89" s="2405"/>
      <c r="N89" s="2405"/>
      <c r="O89" s="2405"/>
      <c r="P89" s="2405"/>
      <c r="Q89" s="688">
        <f>SUMIF(T90:T91,"i",Q90:Q91)</f>
        <v>0</v>
      </c>
      <c r="R89" s="1148"/>
      <c r="S89" s="1936" t="s">
        <v>694</v>
      </c>
      <c r="T89" s="847" t="s">
        <v>695</v>
      </c>
      <c r="U89" s="2403">
        <v>1</v>
      </c>
      <c r="V89" s="2403" t="s">
        <v>658</v>
      </c>
      <c r="W89" s="1292"/>
      <c r="X89" s="1292"/>
      <c r="Y89" s="1292"/>
      <c r="Z89" s="1292"/>
      <c r="AA89" s="1773"/>
      <c r="AB89" s="1292"/>
      <c r="AC89" s="2404"/>
      <c r="AD89" s="759"/>
      <c r="AE89" s="1292"/>
      <c r="AF89" s="1292"/>
      <c r="AG89" s="1773"/>
      <c r="AH89" s="1773"/>
      <c r="AI89" s="1773"/>
      <c r="AJ89" s="1773"/>
      <c r="AK89" s="1773"/>
      <c r="AL89" s="1773"/>
      <c r="AM89" s="1773"/>
      <c r="AN89" s="1773"/>
      <c r="AO89" s="1773"/>
      <c r="AP89" s="1773"/>
      <c r="AQ89" s="1773"/>
      <c r="AR89" s="1773"/>
      <c r="AS89" s="1773"/>
      <c r="AT89" s="1773"/>
      <c r="AU89" s="1773"/>
      <c r="AV89" s="1773"/>
      <c r="AW89" s="1773"/>
      <c r="AX89" s="1773"/>
      <c r="AY89" s="1773"/>
      <c r="AZ89" s="1773"/>
      <c r="BA89" s="1773"/>
      <c r="BB89" s="1773"/>
      <c r="BC89" s="1773"/>
      <c r="BD89" s="1773"/>
      <c r="BE89" s="1773"/>
      <c r="BF89" s="1773"/>
      <c r="BG89" s="1773"/>
      <c r="BH89" s="1773"/>
      <c r="BI89" s="1773"/>
      <c r="BJ89" s="1773"/>
      <c r="BK89" s="1773"/>
      <c r="BL89" s="1773"/>
      <c r="BM89" s="1773"/>
      <c r="BN89" s="1773"/>
      <c r="BO89" s="1773"/>
      <c r="BP89" s="1773"/>
      <c r="BQ89" s="1773"/>
      <c r="BR89" s="1773"/>
      <c r="BS89" s="1773"/>
      <c r="BT89" s="1773"/>
      <c r="BU89" s="1773"/>
      <c r="BV89" s="1292"/>
      <c r="BW89" s="1292"/>
      <c r="BX89" s="1292"/>
      <c r="BY89" s="1292"/>
      <c r="BZ89" s="1292"/>
      <c r="CA89" s="1292"/>
      <c r="CB89" s="1292"/>
      <c r="CC89" s="1292"/>
      <c r="CD89" s="1292"/>
      <c r="CE89" s="1292"/>
    </row>
    <row customHeight="1" ht="11.25" hidden="1">
      <c r="A90" s="1931"/>
      <c r="B90" s="1773"/>
      <c r="C90" s="1773"/>
      <c r="D90" s="2602"/>
      <c r="E90" s="765"/>
      <c r="F90" s="765">
        <v>0</v>
      </c>
      <c r="G90" s="765"/>
      <c r="H90" s="765"/>
      <c r="I90" s="765"/>
      <c r="J90" s="765"/>
      <c r="K90" s="765"/>
      <c r="L90" s="765"/>
      <c r="M90" s="765"/>
      <c r="N90" s="765"/>
      <c r="O90" s="765"/>
      <c r="P90" s="765"/>
      <c r="Q90" s="765"/>
      <c r="R90" s="765"/>
      <c r="S90" s="766"/>
      <c r="T90" s="848"/>
      <c r="U90" s="2403"/>
      <c r="V90" s="2403"/>
      <c r="W90" s="1773"/>
      <c r="X90" s="1773"/>
      <c r="Y90" s="1773"/>
      <c r="Z90" s="1773"/>
      <c r="AA90" s="1773"/>
      <c r="AB90" s="1292"/>
      <c r="AC90" s="2404"/>
      <c r="AD90" s="759"/>
      <c r="AE90" s="1292"/>
      <c r="AF90" s="1292"/>
      <c r="AG90" s="1773"/>
      <c r="AH90" s="1773"/>
      <c r="AI90" s="1773"/>
      <c r="AJ90" s="1773"/>
      <c r="AK90" s="1773"/>
      <c r="AL90" s="1773"/>
      <c r="AM90" s="1773"/>
      <c r="AN90" s="1773"/>
      <c r="AO90" s="1773"/>
      <c r="AP90" s="1773"/>
      <c r="AQ90" s="1773"/>
      <c r="AR90" s="1773"/>
      <c r="AS90" s="1773"/>
      <c r="AT90" s="1773"/>
      <c r="AU90" s="1773"/>
      <c r="AV90" s="1773"/>
      <c r="AW90" s="1773"/>
      <c r="AX90" s="1773"/>
      <c r="AY90" s="1773"/>
      <c r="AZ90" s="1773"/>
      <c r="BA90" s="1773"/>
      <c r="BB90" s="1773"/>
      <c r="BC90" s="1773"/>
      <c r="BD90" s="1773"/>
      <c r="BE90" s="1773"/>
      <c r="BF90" s="1773"/>
      <c r="BG90" s="1773"/>
      <c r="BH90" s="1773"/>
      <c r="BI90" s="1773"/>
      <c r="BJ90" s="1773"/>
      <c r="BK90" s="1773"/>
      <c r="BL90" s="1773"/>
      <c r="BM90" s="1773"/>
      <c r="BN90" s="1773"/>
      <c r="BO90" s="1773"/>
      <c r="BP90" s="1773"/>
      <c r="BQ90" s="1773"/>
      <c r="BR90" s="1773"/>
      <c r="BS90" s="1773"/>
      <c r="BT90" s="1773"/>
      <c r="BU90" s="1773"/>
      <c r="BV90" s="1773"/>
      <c r="BW90" s="1773"/>
      <c r="BX90" s="1773"/>
      <c r="BY90" s="1773"/>
      <c r="BZ90" s="1773"/>
      <c r="CA90" s="1773"/>
      <c r="CB90" s="1773"/>
      <c r="CC90" s="1773"/>
      <c r="CD90" s="1773"/>
      <c r="CE90" s="1773"/>
    </row>
    <row customHeight="1" ht="11.25" hidden="1">
      <c r="A91" s="1944"/>
      <c r="B91" s="1292"/>
      <c r="C91" s="542"/>
      <c r="D91" s="2602"/>
      <c r="E91" s="779" t="s">
        <v>18</v>
      </c>
      <c r="F91" s="1300" t="s">
        <v>18</v>
      </c>
      <c r="G91" s="1300" t="s">
        <v>698</v>
      </c>
      <c r="H91" s="781" t="s">
        <v>18</v>
      </c>
      <c r="I91" s="781"/>
      <c r="J91" s="781"/>
      <c r="K91" s="781"/>
      <c r="L91" s="781"/>
      <c r="M91" s="781"/>
      <c r="N91" s="781"/>
      <c r="O91" s="781"/>
      <c r="P91" s="781"/>
      <c r="Q91" s="781"/>
      <c r="R91" s="782"/>
      <c r="S91" s="783"/>
      <c r="T91" s="848"/>
      <c r="U91" s="2403"/>
      <c r="V91" s="2403"/>
      <c r="W91" s="1292"/>
      <c r="X91" s="1292"/>
      <c r="Y91" s="1292"/>
      <c r="Z91" s="1292"/>
      <c r="AA91" s="1773"/>
      <c r="AB91" s="1292"/>
      <c r="AC91" s="2404"/>
      <c r="AD91" s="759"/>
      <c r="AE91" s="1292"/>
      <c r="AF91" s="1292"/>
      <c r="AG91" s="1773"/>
      <c r="AH91" s="1773"/>
      <c r="AI91" s="1773"/>
      <c r="AJ91" s="1773"/>
      <c r="AK91" s="1773"/>
      <c r="AL91" s="1773"/>
      <c r="AM91" s="1773"/>
      <c r="AN91" s="1773"/>
      <c r="AO91" s="1773"/>
      <c r="AP91" s="1773"/>
      <c r="AQ91" s="1773"/>
      <c r="AR91" s="1773"/>
      <c r="AS91" s="1773"/>
      <c r="AT91" s="1773"/>
      <c r="AU91" s="1773"/>
      <c r="AV91" s="1773"/>
      <c r="AW91" s="1773"/>
      <c r="AX91" s="1773"/>
      <c r="AY91" s="1773"/>
      <c r="AZ91" s="1773"/>
      <c r="BA91" s="1773"/>
      <c r="BB91" s="1773"/>
      <c r="BC91" s="1773"/>
      <c r="BD91" s="1773"/>
      <c r="BE91" s="1773"/>
      <c r="BF91" s="1773"/>
      <c r="BG91" s="1773"/>
      <c r="BH91" s="1773"/>
      <c r="BI91" s="1773"/>
      <c r="BJ91" s="1773"/>
      <c r="BK91" s="1773"/>
      <c r="BL91" s="1773"/>
      <c r="BM91" s="1773"/>
      <c r="BN91" s="1773"/>
      <c r="BO91" s="1773"/>
      <c r="BP91" s="1773"/>
      <c r="BQ91" s="1773"/>
      <c r="BR91" s="1773"/>
      <c r="BS91" s="1773"/>
      <c r="BT91" s="1773"/>
      <c r="BU91" s="1773"/>
      <c r="BV91" s="1292"/>
      <c r="BW91" s="1292"/>
      <c r="BX91" s="1292"/>
      <c r="BY91" s="1292"/>
      <c r="BZ91" s="1292"/>
      <c r="CA91" s="1292"/>
      <c r="CB91" s="1292"/>
      <c r="CC91" s="1292"/>
      <c r="CD91" s="1292"/>
      <c r="CE91" s="1292"/>
    </row>
    <row customHeight="1" ht="5.25" hidden="1">
      <c r="A92" s="1931"/>
      <c r="B92" s="1773"/>
      <c r="C92" s="1773"/>
      <c r="D92" s="2602"/>
      <c r="E92" s="1170"/>
      <c r="F92" s="1170"/>
      <c r="G92" s="1170"/>
      <c r="H92" s="1170"/>
      <c r="I92" s="1170"/>
      <c r="J92" s="1170"/>
      <c r="K92" s="1170"/>
      <c r="L92" s="1170"/>
      <c r="M92" s="1170"/>
      <c r="N92" s="1170"/>
      <c r="O92" s="1170"/>
      <c r="P92" s="1170"/>
      <c r="Q92" s="1171"/>
      <c r="R92" s="1172"/>
      <c r="S92" s="1173"/>
      <c r="T92" s="847" t="s">
        <v>695</v>
      </c>
      <c r="U92" s="2403">
        <v>1</v>
      </c>
      <c r="V92" s="2403" t="s">
        <v>658</v>
      </c>
      <c r="W92" s="1773"/>
      <c r="X92" s="1773"/>
      <c r="Y92" s="1773"/>
      <c r="Z92" s="1773"/>
      <c r="AA92" s="1773"/>
      <c r="AB92" s="1773"/>
      <c r="AC92" s="1168"/>
      <c r="AD92" s="1169"/>
      <c r="AE92" s="1773"/>
      <c r="AF92" s="1773"/>
      <c r="AG92" s="1773"/>
      <c r="AH92" s="1773"/>
      <c r="AI92" s="1773"/>
      <c r="AJ92" s="1773"/>
      <c r="AK92" s="1773"/>
      <c r="AL92" s="1773"/>
      <c r="AM92" s="1773"/>
      <c r="AN92" s="1773"/>
      <c r="AO92" s="1773"/>
      <c r="AP92" s="1773"/>
      <c r="AQ92" s="1773"/>
      <c r="AR92" s="1773"/>
      <c r="AS92" s="1773"/>
      <c r="AT92" s="1773"/>
      <c r="AU92" s="1773"/>
      <c r="AV92" s="1773"/>
      <c r="AW92" s="1773"/>
      <c r="AX92" s="1773"/>
      <c r="AY92" s="1773"/>
      <c r="AZ92" s="1773"/>
      <c r="BA92" s="1773"/>
      <c r="BB92" s="1773"/>
      <c r="BC92" s="1773"/>
      <c r="BD92" s="1773"/>
      <c r="BE92" s="1773"/>
      <c r="BF92" s="1773"/>
      <c r="BG92" s="1773"/>
      <c r="BH92" s="1773"/>
      <c r="BI92" s="1773"/>
      <c r="BJ92" s="1773"/>
      <c r="BK92" s="1773"/>
      <c r="BL92" s="1773"/>
      <c r="BM92" s="1773"/>
      <c r="BN92" s="1773"/>
      <c r="BO92" s="1773"/>
      <c r="BP92" s="1773"/>
      <c r="BQ92" s="1773"/>
      <c r="BR92" s="1773"/>
      <c r="BS92" s="1773"/>
      <c r="BT92" s="1773"/>
      <c r="BU92" s="1773"/>
      <c r="BV92" s="1773"/>
      <c r="BW92" s="1773"/>
      <c r="BX92" s="1773"/>
      <c r="BY92" s="1773"/>
      <c r="BZ92" s="1773"/>
      <c r="CA92" s="1773"/>
      <c r="CB92" s="1773"/>
      <c r="CC92" s="1773"/>
      <c r="CD92" s="1773"/>
      <c r="CE92" s="1773"/>
    </row>
    <row customHeight="1" ht="5.25" hidden="1">
      <c r="A93" s="1931"/>
      <c r="B93" s="1773"/>
      <c r="C93" s="1773"/>
      <c r="D93" s="2602"/>
      <c r="E93" s="765"/>
      <c r="F93" s="765"/>
      <c r="G93" s="765"/>
      <c r="H93" s="765"/>
      <c r="I93" s="765"/>
      <c r="J93" s="765"/>
      <c r="K93" s="765"/>
      <c r="L93" s="765"/>
      <c r="M93" s="765"/>
      <c r="N93" s="765"/>
      <c r="O93" s="765"/>
      <c r="P93" s="765"/>
      <c r="Q93" s="765"/>
      <c r="R93" s="765"/>
      <c r="S93" s="766"/>
      <c r="T93" s="848"/>
      <c r="U93" s="2403"/>
      <c r="V93" s="2403"/>
      <c r="W93" s="1773"/>
      <c r="X93" s="1773"/>
      <c r="Y93" s="1773"/>
      <c r="Z93" s="1773"/>
      <c r="AA93" s="1773"/>
      <c r="AB93" s="1773"/>
      <c r="AC93" s="1168"/>
      <c r="AD93" s="1169"/>
      <c r="AE93" s="1773"/>
      <c r="AF93" s="1773"/>
      <c r="AG93" s="1773"/>
      <c r="AH93" s="1773"/>
      <c r="AI93" s="1773"/>
      <c r="AJ93" s="1773"/>
      <c r="AK93" s="1773"/>
      <c r="AL93" s="1773"/>
      <c r="AM93" s="1773"/>
      <c r="AN93" s="1773"/>
      <c r="AO93" s="1773"/>
      <c r="AP93" s="1773"/>
      <c r="AQ93" s="1773"/>
      <c r="AR93" s="1773"/>
      <c r="AS93" s="1773"/>
      <c r="AT93" s="1773"/>
      <c r="AU93" s="1773"/>
      <c r="AV93" s="1773"/>
      <c r="AW93" s="1773"/>
      <c r="AX93" s="1773"/>
      <c r="AY93" s="1773"/>
      <c r="AZ93" s="1773"/>
      <c r="BA93" s="1773"/>
      <c r="BB93" s="1773"/>
      <c r="BC93" s="1773"/>
      <c r="BD93" s="1773"/>
      <c r="BE93" s="1773"/>
      <c r="BF93" s="1773"/>
      <c r="BG93" s="1773"/>
      <c r="BH93" s="1773"/>
      <c r="BI93" s="1773"/>
      <c r="BJ93" s="1773"/>
      <c r="BK93" s="1773"/>
      <c r="BL93" s="1773"/>
      <c r="BM93" s="1773"/>
      <c r="BN93" s="1773"/>
      <c r="BO93" s="1773"/>
      <c r="BP93" s="1773"/>
      <c r="BQ93" s="1773"/>
      <c r="BR93" s="1773"/>
      <c r="BS93" s="1773"/>
      <c r="BT93" s="1773"/>
      <c r="BU93" s="1773"/>
      <c r="BV93" s="1773"/>
      <c r="BW93" s="1773"/>
      <c r="BX93" s="1773"/>
      <c r="BY93" s="1773"/>
      <c r="BZ93" s="1773"/>
      <c r="CA93" s="1773"/>
      <c r="CB93" s="1773"/>
      <c r="CC93" s="1773"/>
      <c r="CD93" s="1773"/>
      <c r="CE93" s="1773"/>
    </row>
    <row customHeight="1" ht="5.25" hidden="1">
      <c r="A94" s="1931"/>
      <c r="B94" s="1773"/>
      <c r="C94" s="1773"/>
      <c r="D94" s="2603"/>
      <c r="E94" s="1174"/>
      <c r="F94" s="1175"/>
      <c r="G94" s="1175"/>
      <c r="H94" s="1176"/>
      <c r="I94" s="1176"/>
      <c r="J94" s="1176"/>
      <c r="K94" s="1176"/>
      <c r="L94" s="1176"/>
      <c r="M94" s="1176"/>
      <c r="N94" s="1176"/>
      <c r="O94" s="1176"/>
      <c r="P94" s="1176"/>
      <c r="Q94" s="1176"/>
      <c r="R94" s="1077"/>
      <c r="S94" s="1177"/>
      <c r="T94" s="848"/>
      <c r="U94" s="2403"/>
      <c r="V94" s="2403"/>
      <c r="W94" s="1773"/>
      <c r="X94" s="1773"/>
      <c r="Y94" s="1773"/>
      <c r="Z94" s="1773"/>
      <c r="AA94" s="1773"/>
      <c r="AB94" s="1773"/>
      <c r="AC94" s="1168"/>
      <c r="AD94" s="1169"/>
      <c r="AE94" s="1773"/>
      <c r="AF94" s="1773"/>
      <c r="AG94" s="1773"/>
      <c r="AH94" s="1773"/>
      <c r="AI94" s="1773"/>
      <c r="AJ94" s="1773"/>
      <c r="AK94" s="1773"/>
      <c r="AL94" s="1773"/>
      <c r="AM94" s="1773"/>
      <c r="AN94" s="1773"/>
      <c r="AO94" s="1773"/>
      <c r="AP94" s="1773"/>
      <c r="AQ94" s="1773"/>
      <c r="AR94" s="1773"/>
      <c r="AS94" s="1773"/>
      <c r="AT94" s="1773"/>
      <c r="AU94" s="1773"/>
      <c r="AV94" s="1773"/>
      <c r="AW94" s="1773"/>
      <c r="AX94" s="1773"/>
      <c r="AY94" s="1773"/>
      <c r="AZ94" s="1773"/>
      <c r="BA94" s="1773"/>
      <c r="BB94" s="1773"/>
      <c r="BC94" s="1773"/>
      <c r="BD94" s="1773"/>
      <c r="BE94" s="1773"/>
      <c r="BF94" s="1773"/>
      <c r="BG94" s="1773"/>
      <c r="BH94" s="1773"/>
      <c r="BI94" s="1773"/>
      <c r="BJ94" s="1773"/>
      <c r="BK94" s="1773"/>
      <c r="BL94" s="1773"/>
      <c r="BM94" s="1773"/>
      <c r="BN94" s="1773"/>
      <c r="BO94" s="1773"/>
      <c r="BP94" s="1773"/>
      <c r="BQ94" s="1773"/>
      <c r="BR94" s="1773"/>
      <c r="BS94" s="1773"/>
      <c r="BT94" s="1773"/>
      <c r="BU94" s="1773"/>
      <c r="BV94" s="1773"/>
      <c r="BW94" s="1773"/>
      <c r="BX94" s="1773"/>
      <c r="BY94" s="1773"/>
      <c r="BZ94" s="1773"/>
      <c r="CA94" s="1773"/>
      <c r="CB94" s="1773"/>
      <c r="CC94" s="1773"/>
      <c r="CD94" s="1773"/>
      <c r="CE94" s="1773"/>
    </row>
    <row customHeight="1" ht="15" hidden="1">
      <c r="A95" s="753" t="s">
        <v>192</v>
      </c>
      <c r="B95" s="754"/>
      <c r="C95" s="754" t="s">
        <v>18</v>
      </c>
      <c r="D95" s="2601" t="s">
        <v>706</v>
      </c>
      <c r="E95" s="2406" t="s">
        <v>161</v>
      </c>
      <c r="F95" s="2407"/>
      <c r="G95" s="2408"/>
      <c r="H95" s="2412" t="str">
        <f>IF(A95="","",INDEX(DIFFERENTIATION_UNMERGE_VD,MATCH(A95,DIFFERENTIATION_ID_DIFF,0)))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5" s="2412"/>
      <c r="J95" s="2412"/>
      <c r="K95" s="2412"/>
      <c r="L95" s="2412"/>
      <c r="M95" s="2412"/>
      <c r="N95" s="2412"/>
      <c r="O95" s="2412"/>
      <c r="P95" s="2412"/>
      <c r="Q95" s="2412"/>
      <c r="R95" s="2412"/>
      <c r="S95" s="849"/>
      <c r="T95" s="846"/>
      <c r="U95" s="755"/>
      <c r="V95" s="755"/>
      <c r="W95" s="756"/>
      <c r="X95" s="756"/>
      <c r="Y95" s="756"/>
      <c r="Z95" s="756"/>
      <c r="AA95" s="757"/>
      <c r="AB95" s="758"/>
      <c r="AC95" s="2404"/>
      <c r="AD95" s="759"/>
      <c r="AE95" s="760" t="s">
        <v>18</v>
      </c>
      <c r="AF95" s="760"/>
      <c r="AG95" s="761" t="s">
        <v>692</v>
      </c>
      <c r="AH95" s="762">
        <v>3</v>
      </c>
      <c r="AI95" s="755"/>
      <c r="AJ95" s="755"/>
      <c r="AK95" s="755"/>
      <c r="AL95" s="755"/>
      <c r="AM95" s="755"/>
      <c r="AN95" s="755"/>
      <c r="AO95" s="755"/>
      <c r="AP95" s="755"/>
      <c r="AQ95" s="755"/>
      <c r="AR95" s="755"/>
      <c r="AS95" s="755"/>
      <c r="AT95" s="755"/>
      <c r="AU95" s="755"/>
      <c r="AV95" s="755"/>
      <c r="AW95" s="755"/>
      <c r="AX95" s="755"/>
      <c r="AY95" s="755"/>
      <c r="AZ95" s="755"/>
      <c r="BA95" s="755"/>
      <c r="BB95" s="755"/>
      <c r="BC95" s="755"/>
      <c r="BD95" s="755"/>
      <c r="BE95" s="755"/>
      <c r="BF95" s="755"/>
      <c r="BG95" s="755"/>
      <c r="BH95" s="755"/>
      <c r="BI95" s="755"/>
      <c r="BJ95" s="755"/>
      <c r="BK95" s="755"/>
      <c r="BL95" s="755"/>
      <c r="BM95" s="755"/>
      <c r="BN95" s="755"/>
      <c r="BO95" s="755"/>
      <c r="BP95" s="755"/>
      <c r="BQ95" s="755"/>
      <c r="BR95" s="755"/>
      <c r="BS95" s="755"/>
      <c r="BT95" s="755"/>
      <c r="BU95" s="755"/>
      <c r="BV95" s="756"/>
      <c r="BW95" s="756"/>
      <c r="BX95" s="756"/>
      <c r="BY95" s="756"/>
      <c r="BZ95" s="756"/>
      <c r="CA95" s="756"/>
      <c r="CB95" s="756"/>
      <c r="CC95" s="756"/>
      <c r="CD95" s="756"/>
      <c r="CE95" s="756"/>
    </row>
    <row customHeight="1" ht="15" hidden="1">
      <c r="A96" s="753"/>
      <c r="B96" s="754"/>
      <c r="C96" s="754"/>
      <c r="D96" s="2602"/>
      <c r="E96" s="2406" t="s">
        <v>647</v>
      </c>
      <c r="F96" s="2407"/>
      <c r="G96" s="2408"/>
      <c r="H96" s="2412" t="str">
        <f>IF(A95="","",INDEX(DIFFERENTIATION_UNMERGE_AREA,MATCH(A95,DIFFERENTIATION_ID_DIFF,0)))</f>
        <v>Территория 6</v>
      </c>
      <c r="I96" s="2412"/>
      <c r="J96" s="2412"/>
      <c r="K96" s="2412"/>
      <c r="L96" s="2412"/>
      <c r="M96" s="2412"/>
      <c r="N96" s="2412"/>
      <c r="O96" s="2412"/>
      <c r="P96" s="2412"/>
      <c r="Q96" s="2412"/>
      <c r="R96" s="2412"/>
      <c r="S96" s="849"/>
      <c r="T96" s="846"/>
      <c r="U96" s="755"/>
      <c r="V96" s="755"/>
      <c r="W96" s="756"/>
      <c r="X96" s="756"/>
      <c r="Y96" s="756"/>
      <c r="Z96" s="756"/>
      <c r="AA96" s="757"/>
      <c r="AB96" s="758"/>
      <c r="AC96" s="2404"/>
      <c r="AD96" s="759"/>
      <c r="AE96" s="760"/>
      <c r="AF96" s="760"/>
      <c r="AG96" s="761"/>
      <c r="AH96" s="762"/>
      <c r="AI96" s="755"/>
      <c r="AJ96" s="755"/>
      <c r="AK96" s="755"/>
      <c r="AL96" s="755"/>
      <c r="AM96" s="755"/>
      <c r="AN96" s="755"/>
      <c r="AO96" s="755"/>
      <c r="AP96" s="755"/>
      <c r="AQ96" s="755"/>
      <c r="AR96" s="755"/>
      <c r="AS96" s="755"/>
      <c r="AT96" s="755"/>
      <c r="AU96" s="755"/>
      <c r="AV96" s="755"/>
      <c r="AW96" s="755"/>
      <c r="AX96" s="755"/>
      <c r="AY96" s="755"/>
      <c r="AZ96" s="755"/>
      <c r="BA96" s="755"/>
      <c r="BB96" s="755"/>
      <c r="BC96" s="755"/>
      <c r="BD96" s="755"/>
      <c r="BE96" s="755"/>
      <c r="BF96" s="755"/>
      <c r="BG96" s="755"/>
      <c r="BH96" s="755"/>
      <c r="BI96" s="755"/>
      <c r="BJ96" s="755"/>
      <c r="BK96" s="755"/>
      <c r="BL96" s="755"/>
      <c r="BM96" s="755"/>
      <c r="BN96" s="755"/>
      <c r="BO96" s="755"/>
      <c r="BP96" s="755"/>
      <c r="BQ96" s="755"/>
      <c r="BR96" s="755"/>
      <c r="BS96" s="755"/>
      <c r="BT96" s="755"/>
      <c r="BU96" s="755"/>
      <c r="BV96" s="756"/>
      <c r="BW96" s="756"/>
      <c r="BX96" s="756"/>
      <c r="BY96" s="756"/>
      <c r="BZ96" s="756"/>
      <c r="CA96" s="756"/>
      <c r="CB96" s="756"/>
      <c r="CC96" s="756"/>
      <c r="CD96" s="756"/>
      <c r="CE96" s="756"/>
    </row>
    <row customHeight="1" ht="15" hidden="1">
      <c r="A97" s="753"/>
      <c r="B97" s="754"/>
      <c r="C97" s="754"/>
      <c r="D97" s="2602"/>
      <c r="E97" s="2406" t="s">
        <v>648</v>
      </c>
      <c r="F97" s="2407"/>
      <c r="G97" s="2408"/>
      <c r="H97" s="2412" t="str">
        <f>IF(A95="","",INDEX(DIFFERENTIATION_UNMERGE_SYSTEM,MATCH(A95,DIFFERENTIATION_ID_DIFF,0)))</f>
        <v>Хабаровская ТЭЦ-1 (г. Хабаровск, с. Ильинское, п. Корфовский, с. Ракитненское)</v>
      </c>
      <c r="I97" s="2412"/>
      <c r="J97" s="2412"/>
      <c r="K97" s="2412"/>
      <c r="L97" s="2412"/>
      <c r="M97" s="2412"/>
      <c r="N97" s="2412"/>
      <c r="O97" s="2412"/>
      <c r="P97" s="2412"/>
      <c r="Q97" s="2412"/>
      <c r="R97" s="2412"/>
      <c r="S97" s="849"/>
      <c r="T97" s="846"/>
      <c r="U97" s="755"/>
      <c r="V97" s="755"/>
      <c r="W97" s="756"/>
      <c r="X97" s="756"/>
      <c r="Y97" s="756"/>
      <c r="Z97" s="756"/>
      <c r="AA97" s="757"/>
      <c r="AB97" s="758"/>
      <c r="AC97" s="2404"/>
      <c r="AD97" s="759"/>
      <c r="AE97" s="760"/>
      <c r="AF97" s="760"/>
      <c r="AG97" s="761"/>
      <c r="AH97" s="762"/>
      <c r="AI97" s="755"/>
      <c r="AJ97" s="755"/>
      <c r="AK97" s="755"/>
      <c r="AL97" s="755"/>
      <c r="AM97" s="755"/>
      <c r="AN97" s="755"/>
      <c r="AO97" s="755"/>
      <c r="AP97" s="755"/>
      <c r="AQ97" s="755"/>
      <c r="AR97" s="755"/>
      <c r="AS97" s="755"/>
      <c r="AT97" s="755"/>
      <c r="AU97" s="755"/>
      <c r="AV97" s="755"/>
      <c r="AW97" s="755"/>
      <c r="AX97" s="755"/>
      <c r="AY97" s="755"/>
      <c r="AZ97" s="755"/>
      <c r="BA97" s="755"/>
      <c r="BB97" s="755"/>
      <c r="BC97" s="755"/>
      <c r="BD97" s="755"/>
      <c r="BE97" s="755"/>
      <c r="BF97" s="755"/>
      <c r="BG97" s="755"/>
      <c r="BH97" s="755"/>
      <c r="BI97" s="755"/>
      <c r="BJ97" s="755"/>
      <c r="BK97" s="755"/>
      <c r="BL97" s="755"/>
      <c r="BM97" s="755"/>
      <c r="BN97" s="755"/>
      <c r="BO97" s="755"/>
      <c r="BP97" s="755"/>
      <c r="BQ97" s="755"/>
      <c r="BR97" s="755"/>
      <c r="BS97" s="755"/>
      <c r="BT97" s="755"/>
      <c r="BU97" s="755"/>
      <c r="BV97" s="756"/>
      <c r="BW97" s="756"/>
      <c r="BX97" s="756"/>
      <c r="BY97" s="756"/>
      <c r="BZ97" s="756"/>
      <c r="CA97" s="756"/>
      <c r="CB97" s="756"/>
      <c r="CC97" s="756"/>
      <c r="CD97" s="756"/>
      <c r="CE97" s="756"/>
    </row>
    <row customHeight="1" ht="24.75" hidden="1">
      <c r="A98" s="1944"/>
      <c r="B98" s="1292"/>
      <c r="C98" s="542"/>
      <c r="D98" s="2602"/>
      <c r="E98" s="2405" t="s">
        <v>693</v>
      </c>
      <c r="F98" s="2405"/>
      <c r="G98" s="2405"/>
      <c r="H98" s="2405"/>
      <c r="I98" s="2405"/>
      <c r="J98" s="2405"/>
      <c r="K98" s="2405"/>
      <c r="L98" s="2405"/>
      <c r="M98" s="2405"/>
      <c r="N98" s="2405"/>
      <c r="O98" s="2405"/>
      <c r="P98" s="2405"/>
      <c r="Q98" s="688">
        <f>SUMIF(T99:T100,"i",Q99:Q100)</f>
        <v>0</v>
      </c>
      <c r="R98" s="1148"/>
      <c r="S98" s="1936" t="s">
        <v>694</v>
      </c>
      <c r="T98" s="847" t="s">
        <v>695</v>
      </c>
      <c r="U98" s="2403">
        <v>1</v>
      </c>
      <c r="V98" s="2403" t="s">
        <v>658</v>
      </c>
      <c r="W98" s="1292"/>
      <c r="X98" s="1292"/>
      <c r="Y98" s="1292"/>
      <c r="Z98" s="1292"/>
      <c r="AA98" s="1773"/>
      <c r="AB98" s="1292"/>
      <c r="AC98" s="2404"/>
      <c r="AD98" s="759"/>
      <c r="AE98" s="1292"/>
      <c r="AF98" s="1292"/>
      <c r="AG98" s="1773"/>
      <c r="AH98" s="1773"/>
      <c r="AI98" s="1773"/>
      <c r="AJ98" s="1773"/>
      <c r="AK98" s="1773"/>
      <c r="AL98" s="1773"/>
      <c r="AM98" s="1773"/>
      <c r="AN98" s="1773"/>
      <c r="AO98" s="1773"/>
      <c r="AP98" s="1773"/>
      <c r="AQ98" s="1773"/>
      <c r="AR98" s="1773"/>
      <c r="AS98" s="1773"/>
      <c r="AT98" s="1773"/>
      <c r="AU98" s="1773"/>
      <c r="AV98" s="1773"/>
      <c r="AW98" s="1773"/>
      <c r="AX98" s="1773"/>
      <c r="AY98" s="1773"/>
      <c r="AZ98" s="1773"/>
      <c r="BA98" s="1773"/>
      <c r="BB98" s="1773"/>
      <c r="BC98" s="1773"/>
      <c r="BD98" s="1773"/>
      <c r="BE98" s="1773"/>
      <c r="BF98" s="1773"/>
      <c r="BG98" s="1773"/>
      <c r="BH98" s="1773"/>
      <c r="BI98" s="1773"/>
      <c r="BJ98" s="1773"/>
      <c r="BK98" s="1773"/>
      <c r="BL98" s="1773"/>
      <c r="BM98" s="1773"/>
      <c r="BN98" s="1773"/>
      <c r="BO98" s="1773"/>
      <c r="BP98" s="1773"/>
      <c r="BQ98" s="1773"/>
      <c r="BR98" s="1773"/>
      <c r="BS98" s="1773"/>
      <c r="BT98" s="1773"/>
      <c r="BU98" s="1773"/>
      <c r="BV98" s="1292"/>
      <c r="BW98" s="1292"/>
      <c r="BX98" s="1292"/>
      <c r="BY98" s="1292"/>
      <c r="BZ98" s="1292"/>
      <c r="CA98" s="1292"/>
      <c r="CB98" s="1292"/>
      <c r="CC98" s="1292"/>
      <c r="CD98" s="1292"/>
      <c r="CE98" s="1292"/>
    </row>
    <row customHeight="1" ht="11.25" hidden="1">
      <c r="A99" s="1931"/>
      <c r="B99" s="1773"/>
      <c r="C99" s="1773"/>
      <c r="D99" s="2602"/>
      <c r="E99" s="765"/>
      <c r="F99" s="765">
        <v>0</v>
      </c>
      <c r="G99" s="765"/>
      <c r="H99" s="765"/>
      <c r="I99" s="765"/>
      <c r="J99" s="765"/>
      <c r="K99" s="765"/>
      <c r="L99" s="765"/>
      <c r="M99" s="765"/>
      <c r="N99" s="765"/>
      <c r="O99" s="765"/>
      <c r="P99" s="765"/>
      <c r="Q99" s="765"/>
      <c r="R99" s="765"/>
      <c r="S99" s="766"/>
      <c r="T99" s="848"/>
      <c r="U99" s="2403"/>
      <c r="V99" s="2403"/>
      <c r="W99" s="1773"/>
      <c r="X99" s="1773"/>
      <c r="Y99" s="1773"/>
      <c r="Z99" s="1773"/>
      <c r="AA99" s="1773"/>
      <c r="AB99" s="1292"/>
      <c r="AC99" s="2404"/>
      <c r="AD99" s="759"/>
      <c r="AE99" s="1292"/>
      <c r="AF99" s="1292"/>
      <c r="AG99" s="1773"/>
      <c r="AH99" s="1773"/>
      <c r="AI99" s="1773"/>
      <c r="AJ99" s="1773"/>
      <c r="AK99" s="1773"/>
      <c r="AL99" s="1773"/>
      <c r="AM99" s="1773"/>
      <c r="AN99" s="1773"/>
      <c r="AO99" s="1773"/>
      <c r="AP99" s="1773"/>
      <c r="AQ99" s="1773"/>
      <c r="AR99" s="1773"/>
      <c r="AS99" s="1773"/>
      <c r="AT99" s="1773"/>
      <c r="AU99" s="1773"/>
      <c r="AV99" s="1773"/>
      <c r="AW99" s="1773"/>
      <c r="AX99" s="1773"/>
      <c r="AY99" s="1773"/>
      <c r="AZ99" s="1773"/>
      <c r="BA99" s="1773"/>
      <c r="BB99" s="1773"/>
      <c r="BC99" s="1773"/>
      <c r="BD99" s="1773"/>
      <c r="BE99" s="1773"/>
      <c r="BF99" s="1773"/>
      <c r="BG99" s="1773"/>
      <c r="BH99" s="1773"/>
      <c r="BI99" s="1773"/>
      <c r="BJ99" s="1773"/>
      <c r="BK99" s="1773"/>
      <c r="BL99" s="1773"/>
      <c r="BM99" s="1773"/>
      <c r="BN99" s="1773"/>
      <c r="BO99" s="1773"/>
      <c r="BP99" s="1773"/>
      <c r="BQ99" s="1773"/>
      <c r="BR99" s="1773"/>
      <c r="BS99" s="1773"/>
      <c r="BT99" s="1773"/>
      <c r="BU99" s="1773"/>
      <c r="BV99" s="1773"/>
      <c r="BW99" s="1773"/>
      <c r="BX99" s="1773"/>
      <c r="BY99" s="1773"/>
      <c r="BZ99" s="1773"/>
      <c r="CA99" s="1773"/>
      <c r="CB99" s="1773"/>
      <c r="CC99" s="1773"/>
      <c r="CD99" s="1773"/>
      <c r="CE99" s="1773"/>
    </row>
    <row customHeight="1" ht="11.25" hidden="1">
      <c r="A100" s="1944"/>
      <c r="B100" s="1292"/>
      <c r="C100" s="542"/>
      <c r="D100" s="2602"/>
      <c r="E100" s="779" t="s">
        <v>18</v>
      </c>
      <c r="F100" s="1300" t="s">
        <v>18</v>
      </c>
      <c r="G100" s="1300" t="s">
        <v>698</v>
      </c>
      <c r="H100" s="781" t="s">
        <v>18</v>
      </c>
      <c r="I100" s="781"/>
      <c r="J100" s="781"/>
      <c r="K100" s="781"/>
      <c r="L100" s="781"/>
      <c r="M100" s="781"/>
      <c r="N100" s="781"/>
      <c r="O100" s="781"/>
      <c r="P100" s="781"/>
      <c r="Q100" s="781"/>
      <c r="R100" s="782"/>
      <c r="S100" s="783"/>
      <c r="T100" s="848"/>
      <c r="U100" s="2403"/>
      <c r="V100" s="2403"/>
      <c r="W100" s="1292"/>
      <c r="X100" s="1292"/>
      <c r="Y100" s="1292"/>
      <c r="Z100" s="1292"/>
      <c r="AA100" s="1773"/>
      <c r="AB100" s="1292"/>
      <c r="AC100" s="2404"/>
      <c r="AD100" s="759"/>
      <c r="AE100" s="1292"/>
      <c r="AF100" s="1292"/>
      <c r="AG100" s="1773"/>
      <c r="AH100" s="1773"/>
      <c r="AI100" s="1773"/>
      <c r="AJ100" s="1773"/>
      <c r="AK100" s="1773"/>
      <c r="AL100" s="1773"/>
      <c r="AM100" s="1773"/>
      <c r="AN100" s="1773"/>
      <c r="AO100" s="1773"/>
      <c r="AP100" s="1773"/>
      <c r="AQ100" s="1773"/>
      <c r="AR100" s="1773"/>
      <c r="AS100" s="1773"/>
      <c r="AT100" s="1773"/>
      <c r="AU100" s="1773"/>
      <c r="AV100" s="1773"/>
      <c r="AW100" s="1773"/>
      <c r="AX100" s="1773"/>
      <c r="AY100" s="1773"/>
      <c r="AZ100" s="1773"/>
      <c r="BA100" s="1773"/>
      <c r="BB100" s="1773"/>
      <c r="BC100" s="1773"/>
      <c r="BD100" s="1773"/>
      <c r="BE100" s="1773"/>
      <c r="BF100" s="1773"/>
      <c r="BG100" s="1773"/>
      <c r="BH100" s="1773"/>
      <c r="BI100" s="1773"/>
      <c r="BJ100" s="1773"/>
      <c r="BK100" s="1773"/>
      <c r="BL100" s="1773"/>
      <c r="BM100" s="1773"/>
      <c r="BN100" s="1773"/>
      <c r="BO100" s="1773"/>
      <c r="BP100" s="1773"/>
      <c r="BQ100" s="1773"/>
      <c r="BR100" s="1773"/>
      <c r="BS100" s="1773"/>
      <c r="BT100" s="1773"/>
      <c r="BU100" s="1773"/>
      <c r="BV100" s="1292"/>
      <c r="BW100" s="1292"/>
      <c r="BX100" s="1292"/>
      <c r="BY100" s="1292"/>
      <c r="BZ100" s="1292"/>
      <c r="CA100" s="1292"/>
      <c r="CB100" s="1292"/>
      <c r="CC100" s="1292"/>
      <c r="CD100" s="1292"/>
      <c r="CE100" s="1292"/>
    </row>
    <row customHeight="1" ht="5.25" hidden="1">
      <c r="A101" s="1931"/>
      <c r="B101" s="1773"/>
      <c r="C101" s="1773"/>
      <c r="D101" s="2602"/>
      <c r="E101" s="1170"/>
      <c r="F101" s="1170"/>
      <c r="G101" s="1170"/>
      <c r="H101" s="1170"/>
      <c r="I101" s="1170"/>
      <c r="J101" s="1170"/>
      <c r="K101" s="1170"/>
      <c r="L101" s="1170"/>
      <c r="M101" s="1170"/>
      <c r="N101" s="1170"/>
      <c r="O101" s="1170"/>
      <c r="P101" s="1170"/>
      <c r="Q101" s="1171"/>
      <c r="R101" s="1172"/>
      <c r="S101" s="1173"/>
      <c r="T101" s="847" t="s">
        <v>695</v>
      </c>
      <c r="U101" s="2403">
        <v>1</v>
      </c>
      <c r="V101" s="2403" t="s">
        <v>658</v>
      </c>
      <c r="W101" s="1773"/>
      <c r="X101" s="1773"/>
      <c r="Y101" s="1773"/>
      <c r="Z101" s="1773"/>
      <c r="AA101" s="1773"/>
      <c r="AB101" s="1773"/>
      <c r="AC101" s="1168"/>
      <c r="AD101" s="1169"/>
      <c r="AE101" s="1773"/>
      <c r="AF101" s="1773"/>
      <c r="AG101" s="1773"/>
      <c r="AH101" s="1773"/>
      <c r="AI101" s="1773"/>
      <c r="AJ101" s="1773"/>
      <c r="AK101" s="1773"/>
      <c r="AL101" s="1773"/>
      <c r="AM101" s="1773"/>
      <c r="AN101" s="1773"/>
      <c r="AO101" s="1773"/>
      <c r="AP101" s="1773"/>
      <c r="AQ101" s="1773"/>
      <c r="AR101" s="1773"/>
      <c r="AS101" s="1773"/>
      <c r="AT101" s="1773"/>
      <c r="AU101" s="1773"/>
      <c r="AV101" s="1773"/>
      <c r="AW101" s="1773"/>
      <c r="AX101" s="1773"/>
      <c r="AY101" s="1773"/>
      <c r="AZ101" s="1773"/>
      <c r="BA101" s="1773"/>
      <c r="BB101" s="1773"/>
      <c r="BC101" s="1773"/>
      <c r="BD101" s="1773"/>
      <c r="BE101" s="1773"/>
      <c r="BF101" s="1773"/>
      <c r="BG101" s="1773"/>
      <c r="BH101" s="1773"/>
      <c r="BI101" s="1773"/>
      <c r="BJ101" s="1773"/>
      <c r="BK101" s="1773"/>
      <c r="BL101" s="1773"/>
      <c r="BM101" s="1773"/>
      <c r="BN101" s="1773"/>
      <c r="BO101" s="1773"/>
      <c r="BP101" s="1773"/>
      <c r="BQ101" s="1773"/>
      <c r="BR101" s="1773"/>
      <c r="BS101" s="1773"/>
      <c r="BT101" s="1773"/>
      <c r="BU101" s="1773"/>
      <c r="BV101" s="1773"/>
      <c r="BW101" s="1773"/>
      <c r="BX101" s="1773"/>
      <c r="BY101" s="1773"/>
      <c r="BZ101" s="1773"/>
      <c r="CA101" s="1773"/>
      <c r="CB101" s="1773"/>
      <c r="CC101" s="1773"/>
      <c r="CD101" s="1773"/>
      <c r="CE101" s="1773"/>
    </row>
    <row customHeight="1" ht="5.25" hidden="1">
      <c r="A102" s="1931"/>
      <c r="B102" s="1773"/>
      <c r="C102" s="1773"/>
      <c r="D102" s="2602"/>
      <c r="E102" s="765"/>
      <c r="F102" s="765"/>
      <c r="G102" s="765"/>
      <c r="H102" s="765"/>
      <c r="I102" s="765"/>
      <c r="J102" s="765"/>
      <c r="K102" s="765"/>
      <c r="L102" s="765"/>
      <c r="M102" s="765"/>
      <c r="N102" s="765"/>
      <c r="O102" s="765"/>
      <c r="P102" s="765"/>
      <c r="Q102" s="765"/>
      <c r="R102" s="765"/>
      <c r="S102" s="766"/>
      <c r="T102" s="848"/>
      <c r="U102" s="2403"/>
      <c r="V102" s="2403"/>
      <c r="W102" s="1773"/>
      <c r="X102" s="1773"/>
      <c r="Y102" s="1773"/>
      <c r="Z102" s="1773"/>
      <c r="AA102" s="1773"/>
      <c r="AB102" s="1773"/>
      <c r="AC102" s="1168"/>
      <c r="AD102" s="1169"/>
      <c r="AE102" s="1773"/>
      <c r="AF102" s="1773"/>
      <c r="AG102" s="1773"/>
      <c r="AH102" s="1773"/>
      <c r="AI102" s="1773"/>
      <c r="AJ102" s="1773"/>
      <c r="AK102" s="1773"/>
      <c r="AL102" s="1773"/>
      <c r="AM102" s="1773"/>
      <c r="AN102" s="1773"/>
      <c r="AO102" s="1773"/>
      <c r="AP102" s="1773"/>
      <c r="AQ102" s="1773"/>
      <c r="AR102" s="1773"/>
      <c r="AS102" s="1773"/>
      <c r="AT102" s="1773"/>
      <c r="AU102" s="1773"/>
      <c r="AV102" s="1773"/>
      <c r="AW102" s="1773"/>
      <c r="AX102" s="1773"/>
      <c r="AY102" s="1773"/>
      <c r="AZ102" s="1773"/>
      <c r="BA102" s="1773"/>
      <c r="BB102" s="1773"/>
      <c r="BC102" s="1773"/>
      <c r="BD102" s="1773"/>
      <c r="BE102" s="1773"/>
      <c r="BF102" s="1773"/>
      <c r="BG102" s="1773"/>
      <c r="BH102" s="1773"/>
      <c r="BI102" s="1773"/>
      <c r="BJ102" s="1773"/>
      <c r="BK102" s="1773"/>
      <c r="BL102" s="1773"/>
      <c r="BM102" s="1773"/>
      <c r="BN102" s="1773"/>
      <c r="BO102" s="1773"/>
      <c r="BP102" s="1773"/>
      <c r="BQ102" s="1773"/>
      <c r="BR102" s="1773"/>
      <c r="BS102" s="1773"/>
      <c r="BT102" s="1773"/>
      <c r="BU102" s="1773"/>
      <c r="BV102" s="1773"/>
      <c r="BW102" s="1773"/>
      <c r="BX102" s="1773"/>
      <c r="BY102" s="1773"/>
      <c r="BZ102" s="1773"/>
      <c r="CA102" s="1773"/>
      <c r="CB102" s="1773"/>
      <c r="CC102" s="1773"/>
      <c r="CD102" s="1773"/>
      <c r="CE102" s="1773"/>
    </row>
    <row customHeight="1" ht="5.25" hidden="1">
      <c r="A103" s="1931"/>
      <c r="B103" s="1773"/>
      <c r="C103" s="1773"/>
      <c r="D103" s="2603"/>
      <c r="E103" s="1174"/>
      <c r="F103" s="1175"/>
      <c r="G103" s="1175"/>
      <c r="H103" s="1176"/>
      <c r="I103" s="1176"/>
      <c r="J103" s="1176"/>
      <c r="K103" s="1176"/>
      <c r="L103" s="1176"/>
      <c r="M103" s="1176"/>
      <c r="N103" s="1176"/>
      <c r="O103" s="1176"/>
      <c r="P103" s="1176"/>
      <c r="Q103" s="1176"/>
      <c r="R103" s="1077"/>
      <c r="S103" s="1177"/>
      <c r="T103" s="848"/>
      <c r="U103" s="2403"/>
      <c r="V103" s="2403"/>
      <c r="W103" s="1773"/>
      <c r="X103" s="1773"/>
      <c r="Y103" s="1773"/>
      <c r="Z103" s="1773"/>
      <c r="AA103" s="1773"/>
      <c r="AB103" s="1773"/>
      <c r="AC103" s="1168"/>
      <c r="AD103" s="1169"/>
      <c r="AE103" s="1773"/>
      <c r="AF103" s="1773"/>
      <c r="AG103" s="1773"/>
      <c r="AH103" s="1773"/>
      <c r="AI103" s="1773"/>
      <c r="AJ103" s="1773"/>
      <c r="AK103" s="1773"/>
      <c r="AL103" s="1773"/>
      <c r="AM103" s="1773"/>
      <c r="AN103" s="1773"/>
      <c r="AO103" s="1773"/>
      <c r="AP103" s="1773"/>
      <c r="AQ103" s="1773"/>
      <c r="AR103" s="1773"/>
      <c r="AS103" s="1773"/>
      <c r="AT103" s="1773"/>
      <c r="AU103" s="1773"/>
      <c r="AV103" s="1773"/>
      <c r="AW103" s="1773"/>
      <c r="AX103" s="1773"/>
      <c r="AY103" s="1773"/>
      <c r="AZ103" s="1773"/>
      <c r="BA103" s="1773"/>
      <c r="BB103" s="1773"/>
      <c r="BC103" s="1773"/>
      <c r="BD103" s="1773"/>
      <c r="BE103" s="1773"/>
      <c r="BF103" s="1773"/>
      <c r="BG103" s="1773"/>
      <c r="BH103" s="1773"/>
      <c r="BI103" s="1773"/>
      <c r="BJ103" s="1773"/>
      <c r="BK103" s="1773"/>
      <c r="BL103" s="1773"/>
      <c r="BM103" s="1773"/>
      <c r="BN103" s="1773"/>
      <c r="BO103" s="1773"/>
      <c r="BP103" s="1773"/>
      <c r="BQ103" s="1773"/>
      <c r="BR103" s="1773"/>
      <c r="BS103" s="1773"/>
      <c r="BT103" s="1773"/>
      <c r="BU103" s="1773"/>
      <c r="BV103" s="1773"/>
      <c r="BW103" s="1773"/>
      <c r="BX103" s="1773"/>
      <c r="BY103" s="1773"/>
      <c r="BZ103" s="1773"/>
      <c r="CA103" s="1773"/>
      <c r="CB103" s="1773"/>
      <c r="CC103" s="1773"/>
      <c r="CD103" s="1773"/>
      <c r="CE103" s="1773"/>
    </row>
    <row customHeight="1" ht="15" hidden="1">
      <c r="A104" s="753" t="s">
        <v>194</v>
      </c>
      <c r="B104" s="754"/>
      <c r="C104" s="754" t="s">
        <v>18</v>
      </c>
      <c r="D104" s="2601" t="s">
        <v>707</v>
      </c>
      <c r="E104" s="2406" t="s">
        <v>161</v>
      </c>
      <c r="F104" s="2407"/>
      <c r="G104" s="2408"/>
      <c r="H104" s="2412" t="str">
        <f>IF(A104="","",INDEX(DIFFERENTIATION_UNMERGE_VD,MATCH(A104,DIFFERENTIATION_ID_DIFF,0)))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04" s="2412"/>
      <c r="J104" s="2412"/>
      <c r="K104" s="2412"/>
      <c r="L104" s="2412"/>
      <c r="M104" s="2412"/>
      <c r="N104" s="2412"/>
      <c r="O104" s="2412"/>
      <c r="P104" s="2412"/>
      <c r="Q104" s="2412"/>
      <c r="R104" s="2412"/>
      <c r="S104" s="849"/>
      <c r="T104" s="846"/>
      <c r="U104" s="755"/>
      <c r="V104" s="755"/>
      <c r="W104" s="756"/>
      <c r="X104" s="756"/>
      <c r="Y104" s="756"/>
      <c r="Z104" s="756"/>
      <c r="AA104" s="757"/>
      <c r="AB104" s="758"/>
      <c r="AC104" s="2404"/>
      <c r="AD104" s="759"/>
      <c r="AE104" s="760" t="s">
        <v>18</v>
      </c>
      <c r="AF104" s="760"/>
      <c r="AG104" s="761" t="s">
        <v>692</v>
      </c>
      <c r="AH104" s="762">
        <v>3</v>
      </c>
      <c r="AI104" s="755"/>
      <c r="AJ104" s="755"/>
      <c r="AK104" s="755"/>
      <c r="AL104" s="755"/>
      <c r="AM104" s="755"/>
      <c r="AN104" s="755"/>
      <c r="AO104" s="755"/>
      <c r="AP104" s="755"/>
      <c r="AQ104" s="755"/>
      <c r="AR104" s="755"/>
      <c r="AS104" s="755"/>
      <c r="AT104" s="755"/>
      <c r="AU104" s="755"/>
      <c r="AV104" s="755"/>
      <c r="AW104" s="755"/>
      <c r="AX104" s="755"/>
      <c r="AY104" s="755"/>
      <c r="AZ104" s="755"/>
      <c r="BA104" s="755"/>
      <c r="BB104" s="755"/>
      <c r="BC104" s="755"/>
      <c r="BD104" s="755"/>
      <c r="BE104" s="755"/>
      <c r="BF104" s="755"/>
      <c r="BG104" s="755"/>
      <c r="BH104" s="755"/>
      <c r="BI104" s="755"/>
      <c r="BJ104" s="755"/>
      <c r="BK104" s="755"/>
      <c r="BL104" s="755"/>
      <c r="BM104" s="755"/>
      <c r="BN104" s="755"/>
      <c r="BO104" s="755"/>
      <c r="BP104" s="755"/>
      <c r="BQ104" s="755"/>
      <c r="BR104" s="755"/>
      <c r="BS104" s="755"/>
      <c r="BT104" s="755"/>
      <c r="BU104" s="755"/>
      <c r="BV104" s="756"/>
      <c r="BW104" s="756"/>
      <c r="BX104" s="756"/>
      <c r="BY104" s="756"/>
      <c r="BZ104" s="756"/>
      <c r="CA104" s="756"/>
      <c r="CB104" s="756"/>
      <c r="CC104" s="756"/>
      <c r="CD104" s="756"/>
      <c r="CE104" s="756"/>
    </row>
    <row customHeight="1" ht="15" hidden="1">
      <c r="A105" s="753"/>
      <c r="B105" s="754"/>
      <c r="C105" s="754"/>
      <c r="D105" s="2602"/>
      <c r="E105" s="2406" t="s">
        <v>647</v>
      </c>
      <c r="F105" s="2407"/>
      <c r="G105" s="2408"/>
      <c r="H105" s="2412" t="str">
        <f>IF(A104="","",INDEX(DIFFERENTIATION_UNMERGE_AREA,MATCH(A104,DIFFERENTIATION_ID_DIFF,0)))</f>
        <v>Территория 7</v>
      </c>
      <c r="I105" s="2412"/>
      <c r="J105" s="2412"/>
      <c r="K105" s="2412"/>
      <c r="L105" s="2412"/>
      <c r="M105" s="2412"/>
      <c r="N105" s="2412"/>
      <c r="O105" s="2412"/>
      <c r="P105" s="2412"/>
      <c r="Q105" s="2412"/>
      <c r="R105" s="2412"/>
      <c r="S105" s="849"/>
      <c r="T105" s="846"/>
      <c r="U105" s="755"/>
      <c r="V105" s="755"/>
      <c r="W105" s="756"/>
      <c r="X105" s="756"/>
      <c r="Y105" s="756"/>
      <c r="Z105" s="756"/>
      <c r="AA105" s="757"/>
      <c r="AB105" s="758"/>
      <c r="AC105" s="2404"/>
      <c r="AD105" s="759"/>
      <c r="AE105" s="760"/>
      <c r="AF105" s="760"/>
      <c r="AG105" s="761"/>
      <c r="AH105" s="762"/>
      <c r="AI105" s="755"/>
      <c r="AJ105" s="755"/>
      <c r="AK105" s="755"/>
      <c r="AL105" s="755"/>
      <c r="AM105" s="755"/>
      <c r="AN105" s="755"/>
      <c r="AO105" s="755"/>
      <c r="AP105" s="755"/>
      <c r="AQ105" s="755"/>
      <c r="AR105" s="755"/>
      <c r="AS105" s="755"/>
      <c r="AT105" s="755"/>
      <c r="AU105" s="755"/>
      <c r="AV105" s="755"/>
      <c r="AW105" s="755"/>
      <c r="AX105" s="755"/>
      <c r="AY105" s="755"/>
      <c r="AZ105" s="755"/>
      <c r="BA105" s="755"/>
      <c r="BB105" s="755"/>
      <c r="BC105" s="755"/>
      <c r="BD105" s="755"/>
      <c r="BE105" s="755"/>
      <c r="BF105" s="755"/>
      <c r="BG105" s="755"/>
      <c r="BH105" s="755"/>
      <c r="BI105" s="755"/>
      <c r="BJ105" s="755"/>
      <c r="BK105" s="755"/>
      <c r="BL105" s="755"/>
      <c r="BM105" s="755"/>
      <c r="BN105" s="755"/>
      <c r="BO105" s="755"/>
      <c r="BP105" s="755"/>
      <c r="BQ105" s="755"/>
      <c r="BR105" s="755"/>
      <c r="BS105" s="755"/>
      <c r="BT105" s="755"/>
      <c r="BU105" s="755"/>
      <c r="BV105" s="756"/>
      <c r="BW105" s="756"/>
      <c r="BX105" s="756"/>
      <c r="BY105" s="756"/>
      <c r="BZ105" s="756"/>
      <c r="CA105" s="756"/>
      <c r="CB105" s="756"/>
      <c r="CC105" s="756"/>
      <c r="CD105" s="756"/>
      <c r="CE105" s="756"/>
    </row>
    <row customHeight="1" ht="15" hidden="1">
      <c r="A106" s="753"/>
      <c r="B106" s="754"/>
      <c r="C106" s="754"/>
      <c r="D106" s="2602"/>
      <c r="E106" s="2406" t="s">
        <v>648</v>
      </c>
      <c r="F106" s="2407"/>
      <c r="G106" s="2408"/>
      <c r="H106" s="2412" t="str">
        <f>IF(A104="","",INDEX(DIFFERENTIATION_UNMERGE_SYSTEM,MATCH(A104,DIFFERENTIATION_ID_DIFF,0)))</f>
        <v>Хабаровская ТЭЦ-2 (г. Хабаровск)</v>
      </c>
      <c r="I106" s="2412"/>
      <c r="J106" s="2412"/>
      <c r="K106" s="2412"/>
      <c r="L106" s="2412"/>
      <c r="M106" s="2412"/>
      <c r="N106" s="2412"/>
      <c r="O106" s="2412"/>
      <c r="P106" s="2412"/>
      <c r="Q106" s="2412"/>
      <c r="R106" s="2412"/>
      <c r="S106" s="849"/>
      <c r="T106" s="846"/>
      <c r="U106" s="755"/>
      <c r="V106" s="755"/>
      <c r="W106" s="756"/>
      <c r="X106" s="756"/>
      <c r="Y106" s="756"/>
      <c r="Z106" s="756"/>
      <c r="AA106" s="757"/>
      <c r="AB106" s="758"/>
      <c r="AC106" s="2404"/>
      <c r="AD106" s="759"/>
      <c r="AE106" s="760"/>
      <c r="AF106" s="760"/>
      <c r="AG106" s="761"/>
      <c r="AH106" s="762"/>
      <c r="AI106" s="755"/>
      <c r="AJ106" s="755"/>
      <c r="AK106" s="755"/>
      <c r="AL106" s="755"/>
      <c r="AM106" s="755"/>
      <c r="AN106" s="755"/>
      <c r="AO106" s="755"/>
      <c r="AP106" s="755"/>
      <c r="AQ106" s="755"/>
      <c r="AR106" s="755"/>
      <c r="AS106" s="755"/>
      <c r="AT106" s="755"/>
      <c r="AU106" s="755"/>
      <c r="AV106" s="755"/>
      <c r="AW106" s="755"/>
      <c r="AX106" s="755"/>
      <c r="AY106" s="755"/>
      <c r="AZ106" s="755"/>
      <c r="BA106" s="755"/>
      <c r="BB106" s="755"/>
      <c r="BC106" s="755"/>
      <c r="BD106" s="755"/>
      <c r="BE106" s="755"/>
      <c r="BF106" s="755"/>
      <c r="BG106" s="755"/>
      <c r="BH106" s="755"/>
      <c r="BI106" s="755"/>
      <c r="BJ106" s="755"/>
      <c r="BK106" s="755"/>
      <c r="BL106" s="755"/>
      <c r="BM106" s="755"/>
      <c r="BN106" s="755"/>
      <c r="BO106" s="755"/>
      <c r="BP106" s="755"/>
      <c r="BQ106" s="755"/>
      <c r="BR106" s="755"/>
      <c r="BS106" s="755"/>
      <c r="BT106" s="755"/>
      <c r="BU106" s="755"/>
      <c r="BV106" s="756"/>
      <c r="BW106" s="756"/>
      <c r="BX106" s="756"/>
      <c r="BY106" s="756"/>
      <c r="BZ106" s="756"/>
      <c r="CA106" s="756"/>
      <c r="CB106" s="756"/>
      <c r="CC106" s="756"/>
      <c r="CD106" s="756"/>
      <c r="CE106" s="756"/>
    </row>
    <row customHeight="1" ht="24.75" hidden="1">
      <c r="A107" s="1944"/>
      <c r="B107" s="1292"/>
      <c r="C107" s="542"/>
      <c r="D107" s="2602"/>
      <c r="E107" s="2405" t="s">
        <v>693</v>
      </c>
      <c r="F107" s="2405"/>
      <c r="G107" s="2405"/>
      <c r="H107" s="2405"/>
      <c r="I107" s="2405"/>
      <c r="J107" s="2405"/>
      <c r="K107" s="2405"/>
      <c r="L107" s="2405"/>
      <c r="M107" s="2405"/>
      <c r="N107" s="2405"/>
      <c r="O107" s="2405"/>
      <c r="P107" s="2405"/>
      <c r="Q107" s="688">
        <f>SUMIF(T108:T109,"i",Q108:Q109)</f>
        <v>0</v>
      </c>
      <c r="R107" s="1148"/>
      <c r="S107" s="1936" t="s">
        <v>694</v>
      </c>
      <c r="T107" s="847" t="s">
        <v>695</v>
      </c>
      <c r="U107" s="2403">
        <v>1</v>
      </c>
      <c r="V107" s="2403" t="s">
        <v>658</v>
      </c>
      <c r="W107" s="1292"/>
      <c r="X107" s="1292"/>
      <c r="Y107" s="1292"/>
      <c r="Z107" s="1292"/>
      <c r="AA107" s="1773"/>
      <c r="AB107" s="1292"/>
      <c r="AC107" s="2404"/>
      <c r="AD107" s="759"/>
      <c r="AE107" s="1292"/>
      <c r="AF107" s="1292"/>
      <c r="AG107" s="1773"/>
      <c r="AH107" s="1773"/>
      <c r="AI107" s="1773"/>
      <c r="AJ107" s="1773"/>
      <c r="AK107" s="1773"/>
      <c r="AL107" s="1773"/>
      <c r="AM107" s="1773"/>
      <c r="AN107" s="1773"/>
      <c r="AO107" s="1773"/>
      <c r="AP107" s="1773"/>
      <c r="AQ107" s="1773"/>
      <c r="AR107" s="1773"/>
      <c r="AS107" s="1773"/>
      <c r="AT107" s="1773"/>
      <c r="AU107" s="1773"/>
      <c r="AV107" s="1773"/>
      <c r="AW107" s="1773"/>
      <c r="AX107" s="1773"/>
      <c r="AY107" s="1773"/>
      <c r="AZ107" s="1773"/>
      <c r="BA107" s="1773"/>
      <c r="BB107" s="1773"/>
      <c r="BC107" s="1773"/>
      <c r="BD107" s="1773"/>
      <c r="BE107" s="1773"/>
      <c r="BF107" s="1773"/>
      <c r="BG107" s="1773"/>
      <c r="BH107" s="1773"/>
      <c r="BI107" s="1773"/>
      <c r="BJ107" s="1773"/>
      <c r="BK107" s="1773"/>
      <c r="BL107" s="1773"/>
      <c r="BM107" s="1773"/>
      <c r="BN107" s="1773"/>
      <c r="BO107" s="1773"/>
      <c r="BP107" s="1773"/>
      <c r="BQ107" s="1773"/>
      <c r="BR107" s="1773"/>
      <c r="BS107" s="1773"/>
      <c r="BT107" s="1773"/>
      <c r="BU107" s="1773"/>
      <c r="BV107" s="1292"/>
      <c r="BW107" s="1292"/>
      <c r="BX107" s="1292"/>
      <c r="BY107" s="1292"/>
      <c r="BZ107" s="1292"/>
      <c r="CA107" s="1292"/>
      <c r="CB107" s="1292"/>
      <c r="CC107" s="1292"/>
      <c r="CD107" s="1292"/>
      <c r="CE107" s="1292"/>
    </row>
    <row customHeight="1" ht="11.25" hidden="1">
      <c r="A108" s="1931"/>
      <c r="B108" s="1773"/>
      <c r="C108" s="1773"/>
      <c r="D108" s="2602"/>
      <c r="E108" s="765"/>
      <c r="F108" s="765">
        <v>0</v>
      </c>
      <c r="G108" s="765"/>
      <c r="H108" s="765"/>
      <c r="I108" s="765"/>
      <c r="J108" s="765"/>
      <c r="K108" s="765"/>
      <c r="L108" s="765"/>
      <c r="M108" s="765"/>
      <c r="N108" s="765"/>
      <c r="O108" s="765"/>
      <c r="P108" s="765"/>
      <c r="Q108" s="765"/>
      <c r="R108" s="765"/>
      <c r="S108" s="766"/>
      <c r="T108" s="848"/>
      <c r="U108" s="2403"/>
      <c r="V108" s="2403"/>
      <c r="W108" s="1773"/>
      <c r="X108" s="1773"/>
      <c r="Y108" s="1773"/>
      <c r="Z108" s="1773"/>
      <c r="AA108" s="1773"/>
      <c r="AB108" s="1292"/>
      <c r="AC108" s="2404"/>
      <c r="AD108" s="759"/>
      <c r="AE108" s="1292"/>
      <c r="AF108" s="1292"/>
      <c r="AG108" s="1773"/>
      <c r="AH108" s="1773"/>
      <c r="AI108" s="1773"/>
      <c r="AJ108" s="1773"/>
      <c r="AK108" s="1773"/>
      <c r="AL108" s="1773"/>
      <c r="AM108" s="1773"/>
      <c r="AN108" s="1773"/>
      <c r="AO108" s="1773"/>
      <c r="AP108" s="1773"/>
      <c r="AQ108" s="1773"/>
      <c r="AR108" s="1773"/>
      <c r="AS108" s="1773"/>
      <c r="AT108" s="1773"/>
      <c r="AU108" s="1773"/>
      <c r="AV108" s="1773"/>
      <c r="AW108" s="1773"/>
      <c r="AX108" s="1773"/>
      <c r="AY108" s="1773"/>
      <c r="AZ108" s="1773"/>
      <c r="BA108" s="1773"/>
      <c r="BB108" s="1773"/>
      <c r="BC108" s="1773"/>
      <c r="BD108" s="1773"/>
      <c r="BE108" s="1773"/>
      <c r="BF108" s="1773"/>
      <c r="BG108" s="1773"/>
      <c r="BH108" s="1773"/>
      <c r="BI108" s="1773"/>
      <c r="BJ108" s="1773"/>
      <c r="BK108" s="1773"/>
      <c r="BL108" s="1773"/>
      <c r="BM108" s="1773"/>
      <c r="BN108" s="1773"/>
      <c r="BO108" s="1773"/>
      <c r="BP108" s="1773"/>
      <c r="BQ108" s="1773"/>
      <c r="BR108" s="1773"/>
      <c r="BS108" s="1773"/>
      <c r="BT108" s="1773"/>
      <c r="BU108" s="1773"/>
      <c r="BV108" s="1773"/>
      <c r="BW108" s="1773"/>
      <c r="BX108" s="1773"/>
      <c r="BY108" s="1773"/>
      <c r="BZ108" s="1773"/>
      <c r="CA108" s="1773"/>
      <c r="CB108" s="1773"/>
      <c r="CC108" s="1773"/>
      <c r="CD108" s="1773"/>
      <c r="CE108" s="1773"/>
    </row>
    <row customHeight="1" ht="11.25" hidden="1">
      <c r="A109" s="1944"/>
      <c r="B109" s="1292"/>
      <c r="C109" s="542"/>
      <c r="D109" s="2602"/>
      <c r="E109" s="779" t="s">
        <v>18</v>
      </c>
      <c r="F109" s="1300" t="s">
        <v>18</v>
      </c>
      <c r="G109" s="1300" t="s">
        <v>698</v>
      </c>
      <c r="H109" s="781" t="s">
        <v>18</v>
      </c>
      <c r="I109" s="781"/>
      <c r="J109" s="781"/>
      <c r="K109" s="781"/>
      <c r="L109" s="781"/>
      <c r="M109" s="781"/>
      <c r="N109" s="781"/>
      <c r="O109" s="781"/>
      <c r="P109" s="781"/>
      <c r="Q109" s="781"/>
      <c r="R109" s="782"/>
      <c r="S109" s="783"/>
      <c r="T109" s="848"/>
      <c r="U109" s="2403"/>
      <c r="V109" s="2403"/>
      <c r="W109" s="1292"/>
      <c r="X109" s="1292"/>
      <c r="Y109" s="1292"/>
      <c r="Z109" s="1292"/>
      <c r="AA109" s="1773"/>
      <c r="AB109" s="1292"/>
      <c r="AC109" s="2404"/>
      <c r="AD109" s="759"/>
      <c r="AE109" s="1292"/>
      <c r="AF109" s="1292"/>
      <c r="AG109" s="1773"/>
      <c r="AH109" s="1773"/>
      <c r="AI109" s="1773"/>
      <c r="AJ109" s="1773"/>
      <c r="AK109" s="1773"/>
      <c r="AL109" s="1773"/>
      <c r="AM109" s="1773"/>
      <c r="AN109" s="1773"/>
      <c r="AO109" s="1773"/>
      <c r="AP109" s="1773"/>
      <c r="AQ109" s="1773"/>
      <c r="AR109" s="1773"/>
      <c r="AS109" s="1773"/>
      <c r="AT109" s="1773"/>
      <c r="AU109" s="1773"/>
      <c r="AV109" s="1773"/>
      <c r="AW109" s="1773"/>
      <c r="AX109" s="1773"/>
      <c r="AY109" s="1773"/>
      <c r="AZ109" s="1773"/>
      <c r="BA109" s="1773"/>
      <c r="BB109" s="1773"/>
      <c r="BC109" s="1773"/>
      <c r="BD109" s="1773"/>
      <c r="BE109" s="1773"/>
      <c r="BF109" s="1773"/>
      <c r="BG109" s="1773"/>
      <c r="BH109" s="1773"/>
      <c r="BI109" s="1773"/>
      <c r="BJ109" s="1773"/>
      <c r="BK109" s="1773"/>
      <c r="BL109" s="1773"/>
      <c r="BM109" s="1773"/>
      <c r="BN109" s="1773"/>
      <c r="BO109" s="1773"/>
      <c r="BP109" s="1773"/>
      <c r="BQ109" s="1773"/>
      <c r="BR109" s="1773"/>
      <c r="BS109" s="1773"/>
      <c r="BT109" s="1773"/>
      <c r="BU109" s="1773"/>
      <c r="BV109" s="1292"/>
      <c r="BW109" s="1292"/>
      <c r="BX109" s="1292"/>
      <c r="BY109" s="1292"/>
      <c r="BZ109" s="1292"/>
      <c r="CA109" s="1292"/>
      <c r="CB109" s="1292"/>
      <c r="CC109" s="1292"/>
      <c r="CD109" s="1292"/>
      <c r="CE109" s="1292"/>
    </row>
    <row customHeight="1" ht="5.25" hidden="1">
      <c r="A110" s="1931"/>
      <c r="B110" s="1773"/>
      <c r="C110" s="1773"/>
      <c r="D110" s="2602"/>
      <c r="E110" s="1170"/>
      <c r="F110" s="1170"/>
      <c r="G110" s="1170"/>
      <c r="H110" s="1170"/>
      <c r="I110" s="1170"/>
      <c r="J110" s="1170"/>
      <c r="K110" s="1170"/>
      <c r="L110" s="1170"/>
      <c r="M110" s="1170"/>
      <c r="N110" s="1170"/>
      <c r="O110" s="1170"/>
      <c r="P110" s="1170"/>
      <c r="Q110" s="1171"/>
      <c r="R110" s="1172"/>
      <c r="S110" s="1173"/>
      <c r="T110" s="847" t="s">
        <v>695</v>
      </c>
      <c r="U110" s="2403">
        <v>1</v>
      </c>
      <c r="V110" s="2403" t="s">
        <v>658</v>
      </c>
      <c r="W110" s="1773"/>
      <c r="X110" s="1773"/>
      <c r="Y110" s="1773"/>
      <c r="Z110" s="1773"/>
      <c r="AA110" s="1773"/>
      <c r="AB110" s="1773"/>
      <c r="AC110" s="1168"/>
      <c r="AD110" s="1169"/>
      <c r="AE110" s="1773"/>
      <c r="AF110" s="1773"/>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773"/>
      <c r="BW110" s="1773"/>
      <c r="BX110" s="1773"/>
      <c r="BY110" s="1773"/>
      <c r="BZ110" s="1773"/>
      <c r="CA110" s="1773"/>
      <c r="CB110" s="1773"/>
      <c r="CC110" s="1773"/>
      <c r="CD110" s="1773"/>
      <c r="CE110" s="1773"/>
    </row>
    <row customHeight="1" ht="5.25" hidden="1">
      <c r="A111" s="1931"/>
      <c r="B111" s="1773"/>
      <c r="C111" s="1773"/>
      <c r="D111" s="2602"/>
      <c r="E111" s="765"/>
      <c r="F111" s="765"/>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773"/>
      <c r="AC111" s="1168"/>
      <c r="AD111" s="1169"/>
      <c r="AE111" s="1773"/>
      <c r="AF111" s="1773"/>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customHeight="1" ht="5.25" hidden="1">
      <c r="A112" s="1931"/>
      <c r="B112" s="1773"/>
      <c r="C112" s="1773"/>
      <c r="D112" s="2603"/>
      <c r="E112" s="1174"/>
      <c r="F112" s="1175"/>
      <c r="G112" s="1175"/>
      <c r="H112" s="1176"/>
      <c r="I112" s="1176"/>
      <c r="J112" s="1176"/>
      <c r="K112" s="1176"/>
      <c r="L112" s="1176"/>
      <c r="M112" s="1176"/>
      <c r="N112" s="1176"/>
      <c r="O112" s="1176"/>
      <c r="P112" s="1176"/>
      <c r="Q112" s="1176"/>
      <c r="R112" s="1077"/>
      <c r="S112" s="1177"/>
      <c r="T112" s="848"/>
      <c r="U112" s="2403"/>
      <c r="V112" s="2403"/>
      <c r="W112" s="1773"/>
      <c r="X112" s="1773"/>
      <c r="Y112" s="1773"/>
      <c r="Z112" s="1773"/>
      <c r="AA112" s="1773"/>
      <c r="AB112" s="1773"/>
      <c r="AC112" s="1168"/>
      <c r="AD112" s="1169"/>
      <c r="AE112" s="1773"/>
      <c r="AF112" s="1773"/>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773"/>
      <c r="BW112" s="1773"/>
      <c r="BX112" s="1773"/>
      <c r="BY112" s="1773"/>
      <c r="BZ112" s="1773"/>
      <c r="CA112" s="1773"/>
      <c r="CB112" s="1773"/>
      <c r="CC112" s="1773"/>
      <c r="CD112" s="1773"/>
      <c r="CE112" s="1773"/>
    </row>
    <row customHeight="1" ht="15" hidden="1">
      <c r="A113" s="753" t="s">
        <v>196</v>
      </c>
      <c r="B113" s="754"/>
      <c r="C113" s="754" t="s">
        <v>18</v>
      </c>
      <c r="D113" s="2601" t="s">
        <v>708</v>
      </c>
      <c r="E113" s="2406" t="s">
        <v>161</v>
      </c>
      <c r="F113" s="2407"/>
      <c r="G113" s="2408"/>
      <c r="H113" s="2412" t="str">
        <f>IF(A113="","",INDEX(DIFFERENTIATION_UNMERGE_VD,MATCH(A113,DIFFERENTIATION_ID_DIFF,0)))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13" s="2412"/>
      <c r="J113" s="2412"/>
      <c r="K113" s="2412"/>
      <c r="L113" s="2412"/>
      <c r="M113" s="2412"/>
      <c r="N113" s="2412"/>
      <c r="O113" s="2412"/>
      <c r="P113" s="2412"/>
      <c r="Q113" s="2412"/>
      <c r="R113" s="2412"/>
      <c r="S113" s="849"/>
      <c r="T113" s="846"/>
      <c r="U113" s="755"/>
      <c r="V113" s="755"/>
      <c r="W113" s="756"/>
      <c r="X113" s="756"/>
      <c r="Y113" s="756"/>
      <c r="Z113" s="756"/>
      <c r="AA113" s="757"/>
      <c r="AB113" s="758"/>
      <c r="AC113" s="2404"/>
      <c r="AD113" s="759"/>
      <c r="AE113" s="760" t="s">
        <v>18</v>
      </c>
      <c r="AF113" s="760"/>
      <c r="AG113" s="761" t="s">
        <v>692</v>
      </c>
      <c r="AH113" s="762">
        <v>3</v>
      </c>
      <c r="AI113" s="755"/>
      <c r="AJ113" s="755"/>
      <c r="AK113" s="755"/>
      <c r="AL113" s="755"/>
      <c r="AM113" s="755"/>
      <c r="AN113" s="755"/>
      <c r="AO113" s="755"/>
      <c r="AP113" s="755"/>
      <c r="AQ113" s="755"/>
      <c r="AR113" s="755"/>
      <c r="AS113" s="755"/>
      <c r="AT113" s="755"/>
      <c r="AU113" s="755"/>
      <c r="AV113" s="755"/>
      <c r="AW113" s="755"/>
      <c r="AX113" s="755"/>
      <c r="AY113" s="755"/>
      <c r="AZ113" s="755"/>
      <c r="BA113" s="755"/>
      <c r="BB113" s="755"/>
      <c r="BC113" s="755"/>
      <c r="BD113" s="755"/>
      <c r="BE113" s="755"/>
      <c r="BF113" s="755"/>
      <c r="BG113" s="755"/>
      <c r="BH113" s="755"/>
      <c r="BI113" s="755"/>
      <c r="BJ113" s="755"/>
      <c r="BK113" s="755"/>
      <c r="BL113" s="755"/>
      <c r="BM113" s="755"/>
      <c r="BN113" s="755"/>
      <c r="BO113" s="755"/>
      <c r="BP113" s="755"/>
      <c r="BQ113" s="755"/>
      <c r="BR113" s="755"/>
      <c r="BS113" s="755"/>
      <c r="BT113" s="755"/>
      <c r="BU113" s="755"/>
      <c r="BV113" s="756"/>
      <c r="BW113" s="756"/>
      <c r="BX113" s="756"/>
      <c r="BY113" s="756"/>
      <c r="BZ113" s="756"/>
      <c r="CA113" s="756"/>
      <c r="CB113" s="756"/>
      <c r="CC113" s="756"/>
      <c r="CD113" s="756"/>
      <c r="CE113" s="756"/>
    </row>
    <row customHeight="1" ht="15" hidden="1">
      <c r="A114" s="753"/>
      <c r="B114" s="754"/>
      <c r="C114" s="754"/>
      <c r="D114" s="2602"/>
      <c r="E114" s="2406" t="s">
        <v>647</v>
      </c>
      <c r="F114" s="2407"/>
      <c r="G114" s="2408"/>
      <c r="H114" s="2412" t="str">
        <f>IF(A113="","",INDEX(DIFFERENTIATION_UNMERGE_AREA,MATCH(A113,DIFFERENTIATION_ID_DIFF,0)))</f>
        <v>Территория 7</v>
      </c>
      <c r="I114" s="2412"/>
      <c r="J114" s="2412"/>
      <c r="K114" s="2412"/>
      <c r="L114" s="2412"/>
      <c r="M114" s="2412"/>
      <c r="N114" s="2412"/>
      <c r="O114" s="2412"/>
      <c r="P114" s="2412"/>
      <c r="Q114" s="2412"/>
      <c r="R114" s="2412"/>
      <c r="S114" s="849"/>
      <c r="T114" s="846"/>
      <c r="U114" s="755"/>
      <c r="V114" s="755"/>
      <c r="W114" s="756"/>
      <c r="X114" s="756"/>
      <c r="Y114" s="756"/>
      <c r="Z114" s="756"/>
      <c r="AA114" s="757"/>
      <c r="AB114" s="758"/>
      <c r="AC114" s="2404"/>
      <c r="AD114" s="759"/>
      <c r="AE114" s="760"/>
      <c r="AF114" s="760"/>
      <c r="AG114" s="761"/>
      <c r="AH114" s="762"/>
      <c r="AI114" s="755"/>
      <c r="AJ114" s="755"/>
      <c r="AK114" s="755"/>
      <c r="AL114" s="755"/>
      <c r="AM114" s="755"/>
      <c r="AN114" s="755"/>
      <c r="AO114" s="755"/>
      <c r="AP114" s="755"/>
      <c r="AQ114" s="755"/>
      <c r="AR114" s="755"/>
      <c r="AS114" s="755"/>
      <c r="AT114" s="755"/>
      <c r="AU114" s="755"/>
      <c r="AV114" s="755"/>
      <c r="AW114" s="755"/>
      <c r="AX114" s="755"/>
      <c r="AY114" s="755"/>
      <c r="AZ114" s="755"/>
      <c r="BA114" s="755"/>
      <c r="BB114" s="755"/>
      <c r="BC114" s="755"/>
      <c r="BD114" s="755"/>
      <c r="BE114" s="755"/>
      <c r="BF114" s="755"/>
      <c r="BG114" s="755"/>
      <c r="BH114" s="755"/>
      <c r="BI114" s="755"/>
      <c r="BJ114" s="755"/>
      <c r="BK114" s="755"/>
      <c r="BL114" s="755"/>
      <c r="BM114" s="755"/>
      <c r="BN114" s="755"/>
      <c r="BO114" s="755"/>
      <c r="BP114" s="755"/>
      <c r="BQ114" s="755"/>
      <c r="BR114" s="755"/>
      <c r="BS114" s="755"/>
      <c r="BT114" s="755"/>
      <c r="BU114" s="755"/>
      <c r="BV114" s="756"/>
      <c r="BW114" s="756"/>
      <c r="BX114" s="756"/>
      <c r="BY114" s="756"/>
      <c r="BZ114" s="756"/>
      <c r="CA114" s="756"/>
      <c r="CB114" s="756"/>
      <c r="CC114" s="756"/>
      <c r="CD114" s="756"/>
      <c r="CE114" s="756"/>
    </row>
    <row customHeight="1" ht="15" hidden="1">
      <c r="A115" s="753"/>
      <c r="B115" s="754"/>
      <c r="C115" s="754"/>
      <c r="D115" s="2602"/>
      <c r="E115" s="2406" t="s">
        <v>648</v>
      </c>
      <c r="F115" s="2407"/>
      <c r="G115" s="2408"/>
      <c r="H115" s="2412" t="str">
        <f>IF(A113="","",INDEX(DIFFERENTIATION_UNMERGE_SYSTEM,MATCH(A113,DIFFERENTIATION_ID_DIFF,0)))</f>
        <v>Котельная в Волочаевском городке</v>
      </c>
      <c r="I115" s="2412"/>
      <c r="J115" s="2412"/>
      <c r="K115" s="2412"/>
      <c r="L115" s="2412"/>
      <c r="M115" s="2412"/>
      <c r="N115" s="2412"/>
      <c r="O115" s="2412"/>
      <c r="P115" s="2412"/>
      <c r="Q115" s="2412"/>
      <c r="R115" s="2412"/>
      <c r="S115" s="849"/>
      <c r="T115" s="846"/>
      <c r="U115" s="755"/>
      <c r="V115" s="755"/>
      <c r="W115" s="756"/>
      <c r="X115" s="756"/>
      <c r="Y115" s="756"/>
      <c r="Z115" s="756"/>
      <c r="AA115" s="757"/>
      <c r="AB115" s="758"/>
      <c r="AC115" s="2404"/>
      <c r="AD115" s="759"/>
      <c r="AE115" s="760"/>
      <c r="AF115" s="760"/>
      <c r="AG115" s="761"/>
      <c r="AH115" s="762"/>
      <c r="AI115" s="755"/>
      <c r="AJ115" s="755"/>
      <c r="AK115" s="755"/>
      <c r="AL115" s="755"/>
      <c r="AM115" s="755"/>
      <c r="AN115" s="755"/>
      <c r="AO115" s="755"/>
      <c r="AP115" s="755"/>
      <c r="AQ115" s="755"/>
      <c r="AR115" s="755"/>
      <c r="AS115" s="755"/>
      <c r="AT115" s="755"/>
      <c r="AU115" s="755"/>
      <c r="AV115" s="755"/>
      <c r="AW115" s="755"/>
      <c r="AX115" s="755"/>
      <c r="AY115" s="755"/>
      <c r="AZ115" s="755"/>
      <c r="BA115" s="755"/>
      <c r="BB115" s="755"/>
      <c r="BC115" s="755"/>
      <c r="BD115" s="755"/>
      <c r="BE115" s="755"/>
      <c r="BF115" s="755"/>
      <c r="BG115" s="755"/>
      <c r="BH115" s="755"/>
      <c r="BI115" s="755"/>
      <c r="BJ115" s="755"/>
      <c r="BK115" s="755"/>
      <c r="BL115" s="755"/>
      <c r="BM115" s="755"/>
      <c r="BN115" s="755"/>
      <c r="BO115" s="755"/>
      <c r="BP115" s="755"/>
      <c r="BQ115" s="755"/>
      <c r="BR115" s="755"/>
      <c r="BS115" s="755"/>
      <c r="BT115" s="755"/>
      <c r="BU115" s="755"/>
      <c r="BV115" s="756"/>
      <c r="BW115" s="756"/>
      <c r="BX115" s="756"/>
      <c r="BY115" s="756"/>
      <c r="BZ115" s="756"/>
      <c r="CA115" s="756"/>
      <c r="CB115" s="756"/>
      <c r="CC115" s="756"/>
      <c r="CD115" s="756"/>
      <c r="CE115" s="756"/>
    </row>
    <row customHeight="1" ht="24.75" hidden="1">
      <c r="A116" s="1944"/>
      <c r="B116" s="1292"/>
      <c r="C116" s="542"/>
      <c r="D116" s="2602"/>
      <c r="E116" s="2405" t="s">
        <v>693</v>
      </c>
      <c r="F116" s="2405"/>
      <c r="G116" s="2405"/>
      <c r="H116" s="2405"/>
      <c r="I116" s="2405"/>
      <c r="J116" s="2405"/>
      <c r="K116" s="2405"/>
      <c r="L116" s="2405"/>
      <c r="M116" s="2405"/>
      <c r="N116" s="2405"/>
      <c r="O116" s="2405"/>
      <c r="P116" s="2405"/>
      <c r="Q116" s="688">
        <f>SUMIF(T117:T118,"i",Q117:Q118)</f>
        <v>0</v>
      </c>
      <c r="R116" s="1148"/>
      <c r="S116" s="1936" t="s">
        <v>694</v>
      </c>
      <c r="T116" s="847" t="s">
        <v>695</v>
      </c>
      <c r="U116" s="2403">
        <v>1</v>
      </c>
      <c r="V116" s="2403" t="s">
        <v>658</v>
      </c>
      <c r="W116" s="1292"/>
      <c r="X116" s="1292"/>
      <c r="Y116" s="1292"/>
      <c r="Z116" s="1292"/>
      <c r="AA116" s="1773"/>
      <c r="AB116" s="1292"/>
      <c r="AC116" s="2404"/>
      <c r="AD116" s="759"/>
      <c r="AE116" s="1292"/>
      <c r="AF116" s="1292"/>
      <c r="AG116" s="1773"/>
      <c r="AH116" s="1773"/>
      <c r="AI116" s="1773"/>
      <c r="AJ116" s="1773"/>
      <c r="AK116" s="1773"/>
      <c r="AL116" s="1773"/>
      <c r="AM116" s="1773"/>
      <c r="AN116" s="1773"/>
      <c r="AO116" s="1773"/>
      <c r="AP116" s="1773"/>
      <c r="AQ116" s="1773"/>
      <c r="AR116" s="1773"/>
      <c r="AS116" s="1773"/>
      <c r="AT116" s="1773"/>
      <c r="AU116" s="1773"/>
      <c r="AV116" s="1773"/>
      <c r="AW116" s="1773"/>
      <c r="AX116" s="1773"/>
      <c r="AY116" s="1773"/>
      <c r="AZ116" s="1773"/>
      <c r="BA116" s="1773"/>
      <c r="BB116" s="1773"/>
      <c r="BC116" s="1773"/>
      <c r="BD116" s="1773"/>
      <c r="BE116" s="1773"/>
      <c r="BF116" s="1773"/>
      <c r="BG116" s="1773"/>
      <c r="BH116" s="1773"/>
      <c r="BI116" s="1773"/>
      <c r="BJ116" s="1773"/>
      <c r="BK116" s="1773"/>
      <c r="BL116" s="1773"/>
      <c r="BM116" s="1773"/>
      <c r="BN116" s="1773"/>
      <c r="BO116" s="1773"/>
      <c r="BP116" s="1773"/>
      <c r="BQ116" s="1773"/>
      <c r="BR116" s="1773"/>
      <c r="BS116" s="1773"/>
      <c r="BT116" s="1773"/>
      <c r="BU116" s="1773"/>
      <c r="BV116" s="1292"/>
      <c r="BW116" s="1292"/>
      <c r="BX116" s="1292"/>
      <c r="BY116" s="1292"/>
      <c r="BZ116" s="1292"/>
      <c r="CA116" s="1292"/>
      <c r="CB116" s="1292"/>
      <c r="CC116" s="1292"/>
      <c r="CD116" s="1292"/>
      <c r="CE116" s="1292"/>
    </row>
    <row customHeight="1" ht="11.25" hidden="1">
      <c r="A117" s="1931"/>
      <c r="B117" s="1773"/>
      <c r="C117" s="1773"/>
      <c r="D117" s="2602"/>
      <c r="E117" s="765"/>
      <c r="F117" s="765">
        <v>0</v>
      </c>
      <c r="G117" s="765"/>
      <c r="H117" s="765"/>
      <c r="I117" s="765"/>
      <c r="J117" s="765"/>
      <c r="K117" s="765"/>
      <c r="L117" s="765"/>
      <c r="M117" s="765"/>
      <c r="N117" s="765"/>
      <c r="O117" s="765"/>
      <c r="P117" s="765"/>
      <c r="Q117" s="765"/>
      <c r="R117" s="765"/>
      <c r="S117" s="766"/>
      <c r="T117" s="848"/>
      <c r="U117" s="2403"/>
      <c r="V117" s="2403"/>
      <c r="W117" s="1773"/>
      <c r="X117" s="1773"/>
      <c r="Y117" s="1773"/>
      <c r="Z117" s="1773"/>
      <c r="AA117" s="1773"/>
      <c r="AB117" s="1292"/>
      <c r="AC117" s="2404"/>
      <c r="AD117" s="759"/>
      <c r="AE117" s="1292"/>
      <c r="AF117" s="1292"/>
      <c r="AG117" s="1773"/>
      <c r="AH117" s="1773"/>
      <c r="AI117" s="1773"/>
      <c r="AJ117" s="1773"/>
      <c r="AK117" s="1773"/>
      <c r="AL117" s="1773"/>
      <c r="AM117" s="1773"/>
      <c r="AN117" s="1773"/>
      <c r="AO117" s="1773"/>
      <c r="AP117" s="1773"/>
      <c r="AQ117" s="1773"/>
      <c r="AR117" s="1773"/>
      <c r="AS117" s="1773"/>
      <c r="AT117" s="1773"/>
      <c r="AU117" s="1773"/>
      <c r="AV117" s="1773"/>
      <c r="AW117" s="1773"/>
      <c r="AX117" s="1773"/>
      <c r="AY117" s="1773"/>
      <c r="AZ117" s="1773"/>
      <c r="BA117" s="1773"/>
      <c r="BB117" s="1773"/>
      <c r="BC117" s="1773"/>
      <c r="BD117" s="1773"/>
      <c r="BE117" s="1773"/>
      <c r="BF117" s="1773"/>
      <c r="BG117" s="1773"/>
      <c r="BH117" s="1773"/>
      <c r="BI117" s="1773"/>
      <c r="BJ117" s="1773"/>
      <c r="BK117" s="1773"/>
      <c r="BL117" s="1773"/>
      <c r="BM117" s="1773"/>
      <c r="BN117" s="1773"/>
      <c r="BO117" s="1773"/>
      <c r="BP117" s="1773"/>
      <c r="BQ117" s="1773"/>
      <c r="BR117" s="1773"/>
      <c r="BS117" s="1773"/>
      <c r="BT117" s="1773"/>
      <c r="BU117" s="1773"/>
      <c r="BV117" s="1773"/>
      <c r="BW117" s="1773"/>
      <c r="BX117" s="1773"/>
      <c r="BY117" s="1773"/>
      <c r="BZ117" s="1773"/>
      <c r="CA117" s="1773"/>
      <c r="CB117" s="1773"/>
      <c r="CC117" s="1773"/>
      <c r="CD117" s="1773"/>
      <c r="CE117" s="1773"/>
    </row>
    <row customHeight="1" ht="11.25" hidden="1">
      <c r="A118" s="1944"/>
      <c r="B118" s="1292"/>
      <c r="C118" s="542"/>
      <c r="D118" s="2602"/>
      <c r="E118" s="779" t="s">
        <v>18</v>
      </c>
      <c r="F118" s="1300" t="s">
        <v>18</v>
      </c>
      <c r="G118" s="1300" t="s">
        <v>698</v>
      </c>
      <c r="H118" s="781" t="s">
        <v>18</v>
      </c>
      <c r="I118" s="781"/>
      <c r="J118" s="781"/>
      <c r="K118" s="781"/>
      <c r="L118" s="781"/>
      <c r="M118" s="781"/>
      <c r="N118" s="781"/>
      <c r="O118" s="781"/>
      <c r="P118" s="781"/>
      <c r="Q118" s="781"/>
      <c r="R118" s="782"/>
      <c r="S118" s="783"/>
      <c r="T118" s="848"/>
      <c r="U118" s="2403"/>
      <c r="V118" s="2403"/>
      <c r="W118" s="1292"/>
      <c r="X118" s="1292"/>
      <c r="Y118" s="1292"/>
      <c r="Z118" s="1292"/>
      <c r="AA118" s="1773"/>
      <c r="AB118" s="1292"/>
      <c r="AC118" s="2404"/>
      <c r="AD118" s="759"/>
      <c r="AE118" s="1292"/>
      <c r="AF118" s="1292"/>
      <c r="AG118" s="1773"/>
      <c r="AH118" s="1773"/>
      <c r="AI118" s="1773"/>
      <c r="AJ118" s="1773"/>
      <c r="AK118" s="1773"/>
      <c r="AL118" s="1773"/>
      <c r="AM118" s="1773"/>
      <c r="AN118" s="1773"/>
      <c r="AO118" s="1773"/>
      <c r="AP118" s="1773"/>
      <c r="AQ118" s="1773"/>
      <c r="AR118" s="1773"/>
      <c r="AS118" s="1773"/>
      <c r="AT118" s="1773"/>
      <c r="AU118" s="1773"/>
      <c r="AV118" s="1773"/>
      <c r="AW118" s="1773"/>
      <c r="AX118" s="1773"/>
      <c r="AY118" s="1773"/>
      <c r="AZ118" s="1773"/>
      <c r="BA118" s="1773"/>
      <c r="BB118" s="1773"/>
      <c r="BC118" s="1773"/>
      <c r="BD118" s="1773"/>
      <c r="BE118" s="1773"/>
      <c r="BF118" s="1773"/>
      <c r="BG118" s="1773"/>
      <c r="BH118" s="1773"/>
      <c r="BI118" s="1773"/>
      <c r="BJ118" s="1773"/>
      <c r="BK118" s="1773"/>
      <c r="BL118" s="1773"/>
      <c r="BM118" s="1773"/>
      <c r="BN118" s="1773"/>
      <c r="BO118" s="1773"/>
      <c r="BP118" s="1773"/>
      <c r="BQ118" s="1773"/>
      <c r="BR118" s="1773"/>
      <c r="BS118" s="1773"/>
      <c r="BT118" s="1773"/>
      <c r="BU118" s="1773"/>
      <c r="BV118" s="1292"/>
      <c r="BW118" s="1292"/>
      <c r="BX118" s="1292"/>
      <c r="BY118" s="1292"/>
      <c r="BZ118" s="1292"/>
      <c r="CA118" s="1292"/>
      <c r="CB118" s="1292"/>
      <c r="CC118" s="1292"/>
      <c r="CD118" s="1292"/>
      <c r="CE118" s="1292"/>
    </row>
    <row customHeight="1" ht="5.25" hidden="1">
      <c r="A119" s="1931"/>
      <c r="B119" s="1773"/>
      <c r="C119" s="1773"/>
      <c r="D119" s="2602"/>
      <c r="E119" s="1170"/>
      <c r="F119" s="1170"/>
      <c r="G119" s="1170"/>
      <c r="H119" s="1170"/>
      <c r="I119" s="1170"/>
      <c r="J119" s="1170"/>
      <c r="K119" s="1170"/>
      <c r="L119" s="1170"/>
      <c r="M119" s="1170"/>
      <c r="N119" s="1170"/>
      <c r="O119" s="1170"/>
      <c r="P119" s="1170"/>
      <c r="Q119" s="1171"/>
      <c r="R119" s="1172"/>
      <c r="S119" s="1173"/>
      <c r="T119" s="847" t="s">
        <v>695</v>
      </c>
      <c r="U119" s="2403">
        <v>1</v>
      </c>
      <c r="V119" s="2403" t="s">
        <v>658</v>
      </c>
      <c r="W119" s="1773"/>
      <c r="X119" s="1773"/>
      <c r="Y119" s="1773"/>
      <c r="Z119" s="1773"/>
      <c r="AA119" s="1773"/>
      <c r="AB119" s="1773"/>
      <c r="AC119" s="1168"/>
      <c r="AD119" s="1169"/>
      <c r="AE119" s="1773"/>
      <c r="AF119" s="1773"/>
      <c r="AG119" s="1773"/>
      <c r="AH119" s="1773"/>
      <c r="AI119" s="1773"/>
      <c r="AJ119" s="1773"/>
      <c r="AK119" s="1773"/>
      <c r="AL119" s="1773"/>
      <c r="AM119" s="1773"/>
      <c r="AN119" s="1773"/>
      <c r="AO119" s="1773"/>
      <c r="AP119" s="1773"/>
      <c r="AQ119" s="1773"/>
      <c r="AR119" s="1773"/>
      <c r="AS119" s="1773"/>
      <c r="AT119" s="1773"/>
      <c r="AU119" s="1773"/>
      <c r="AV119" s="1773"/>
      <c r="AW119" s="1773"/>
      <c r="AX119" s="1773"/>
      <c r="AY119" s="1773"/>
      <c r="AZ119" s="1773"/>
      <c r="BA119" s="1773"/>
      <c r="BB119" s="1773"/>
      <c r="BC119" s="1773"/>
      <c r="BD119" s="1773"/>
      <c r="BE119" s="1773"/>
      <c r="BF119" s="1773"/>
      <c r="BG119" s="1773"/>
      <c r="BH119" s="1773"/>
      <c r="BI119" s="1773"/>
      <c r="BJ119" s="1773"/>
      <c r="BK119" s="1773"/>
      <c r="BL119" s="1773"/>
      <c r="BM119" s="1773"/>
      <c r="BN119" s="1773"/>
      <c r="BO119" s="1773"/>
      <c r="BP119" s="1773"/>
      <c r="BQ119" s="1773"/>
      <c r="BR119" s="1773"/>
      <c r="BS119" s="1773"/>
      <c r="BT119" s="1773"/>
      <c r="BU119" s="1773"/>
      <c r="BV119" s="1773"/>
      <c r="BW119" s="1773"/>
      <c r="BX119" s="1773"/>
      <c r="BY119" s="1773"/>
      <c r="BZ119" s="1773"/>
      <c r="CA119" s="1773"/>
      <c r="CB119" s="1773"/>
      <c r="CC119" s="1773"/>
      <c r="CD119" s="1773"/>
      <c r="CE119" s="1773"/>
    </row>
    <row customHeight="1" ht="5.25" hidden="1">
      <c r="A120" s="1931"/>
      <c r="B120" s="1773"/>
      <c r="C120" s="1773"/>
      <c r="D120" s="2602"/>
      <c r="E120" s="765"/>
      <c r="F120" s="765"/>
      <c r="G120" s="765"/>
      <c r="H120" s="765"/>
      <c r="I120" s="765"/>
      <c r="J120" s="765"/>
      <c r="K120" s="765"/>
      <c r="L120" s="765"/>
      <c r="M120" s="765"/>
      <c r="N120" s="765"/>
      <c r="O120" s="765"/>
      <c r="P120" s="765"/>
      <c r="Q120" s="765"/>
      <c r="R120" s="765"/>
      <c r="S120" s="766"/>
      <c r="T120" s="848"/>
      <c r="U120" s="2403"/>
      <c r="V120" s="2403"/>
      <c r="W120" s="1773"/>
      <c r="X120" s="1773"/>
      <c r="Y120" s="1773"/>
      <c r="Z120" s="1773"/>
      <c r="AA120" s="1773"/>
      <c r="AB120" s="1773"/>
      <c r="AC120" s="1168"/>
      <c r="AD120" s="1169"/>
      <c r="AE120" s="1773"/>
      <c r="AF120" s="1773"/>
      <c r="AG120" s="1773"/>
      <c r="AH120" s="1773"/>
      <c r="AI120" s="1773"/>
      <c r="AJ120" s="1773"/>
      <c r="AK120" s="1773"/>
      <c r="AL120" s="1773"/>
      <c r="AM120" s="1773"/>
      <c r="AN120" s="1773"/>
      <c r="AO120" s="1773"/>
      <c r="AP120" s="1773"/>
      <c r="AQ120" s="1773"/>
      <c r="AR120" s="1773"/>
      <c r="AS120" s="1773"/>
      <c r="AT120" s="1773"/>
      <c r="AU120" s="1773"/>
      <c r="AV120" s="1773"/>
      <c r="AW120" s="1773"/>
      <c r="AX120" s="1773"/>
      <c r="AY120" s="1773"/>
      <c r="AZ120" s="1773"/>
      <c r="BA120" s="1773"/>
      <c r="BB120" s="1773"/>
      <c r="BC120" s="1773"/>
      <c r="BD120" s="1773"/>
      <c r="BE120" s="1773"/>
      <c r="BF120" s="1773"/>
      <c r="BG120" s="1773"/>
      <c r="BH120" s="1773"/>
      <c r="BI120" s="1773"/>
      <c r="BJ120" s="1773"/>
      <c r="BK120" s="1773"/>
      <c r="BL120" s="1773"/>
      <c r="BM120" s="1773"/>
      <c r="BN120" s="1773"/>
      <c r="BO120" s="1773"/>
      <c r="BP120" s="1773"/>
      <c r="BQ120" s="1773"/>
      <c r="BR120" s="1773"/>
      <c r="BS120" s="1773"/>
      <c r="BT120" s="1773"/>
      <c r="BU120" s="1773"/>
      <c r="BV120" s="1773"/>
      <c r="BW120" s="1773"/>
      <c r="BX120" s="1773"/>
      <c r="BY120" s="1773"/>
      <c r="BZ120" s="1773"/>
      <c r="CA120" s="1773"/>
      <c r="CB120" s="1773"/>
      <c r="CC120" s="1773"/>
      <c r="CD120" s="1773"/>
      <c r="CE120" s="1773"/>
    </row>
    <row customHeight="1" ht="5.25" hidden="1">
      <c r="A121" s="1931"/>
      <c r="B121" s="1773"/>
      <c r="C121" s="1773"/>
      <c r="D121" s="2603"/>
      <c r="E121" s="1174"/>
      <c r="F121" s="1175"/>
      <c r="G121" s="1175"/>
      <c r="H121" s="1176"/>
      <c r="I121" s="1176"/>
      <c r="J121" s="1176"/>
      <c r="K121" s="1176"/>
      <c r="L121" s="1176"/>
      <c r="M121" s="1176"/>
      <c r="N121" s="1176"/>
      <c r="O121" s="1176"/>
      <c r="P121" s="1176"/>
      <c r="Q121" s="1176"/>
      <c r="R121" s="1077"/>
      <c r="S121" s="1177"/>
      <c r="T121" s="848"/>
      <c r="U121" s="2403"/>
      <c r="V121" s="2403"/>
      <c r="W121" s="1773"/>
      <c r="X121" s="1773"/>
      <c r="Y121" s="1773"/>
      <c r="Z121" s="1773"/>
      <c r="AA121" s="1773"/>
      <c r="AB121" s="1773"/>
      <c r="AC121" s="1168"/>
      <c r="AD121" s="1169"/>
      <c r="AE121" s="1773"/>
      <c r="AF121" s="1773"/>
      <c r="AG121" s="1773"/>
      <c r="AH121" s="1773"/>
      <c r="AI121" s="1773"/>
      <c r="AJ121" s="1773"/>
      <c r="AK121" s="1773"/>
      <c r="AL121" s="1773"/>
      <c r="AM121" s="1773"/>
      <c r="AN121" s="1773"/>
      <c r="AO121" s="1773"/>
      <c r="AP121" s="1773"/>
      <c r="AQ121" s="1773"/>
      <c r="AR121" s="1773"/>
      <c r="AS121" s="1773"/>
      <c r="AT121" s="1773"/>
      <c r="AU121" s="1773"/>
      <c r="AV121" s="1773"/>
      <c r="AW121" s="1773"/>
      <c r="AX121" s="1773"/>
      <c r="AY121" s="1773"/>
      <c r="AZ121" s="1773"/>
      <c r="BA121" s="1773"/>
      <c r="BB121" s="1773"/>
      <c r="BC121" s="1773"/>
      <c r="BD121" s="1773"/>
      <c r="BE121" s="1773"/>
      <c r="BF121" s="1773"/>
      <c r="BG121" s="1773"/>
      <c r="BH121" s="1773"/>
      <c r="BI121" s="1773"/>
      <c r="BJ121" s="1773"/>
      <c r="BK121" s="1773"/>
      <c r="BL121" s="1773"/>
      <c r="BM121" s="1773"/>
      <c r="BN121" s="1773"/>
      <c r="BO121" s="1773"/>
      <c r="BP121" s="1773"/>
      <c r="BQ121" s="1773"/>
      <c r="BR121" s="1773"/>
      <c r="BS121" s="1773"/>
      <c r="BT121" s="1773"/>
      <c r="BU121" s="1773"/>
      <c r="BV121" s="1773"/>
      <c r="BW121" s="1773"/>
      <c r="BX121" s="1773"/>
      <c r="BY121" s="1773"/>
      <c r="BZ121" s="1773"/>
      <c r="CA121" s="1773"/>
      <c r="CB121" s="1773"/>
      <c r="CC121" s="1773"/>
      <c r="CD121" s="1773"/>
      <c r="CE121" s="1773"/>
    </row>
    <row customHeight="1" ht="15" hidden="1">
      <c r="A122" s="753" t="s">
        <v>198</v>
      </c>
      <c r="B122" s="754"/>
      <c r="C122" s="754" t="s">
        <v>18</v>
      </c>
      <c r="D122" s="2601" t="s">
        <v>709</v>
      </c>
      <c r="E122" s="2406" t="s">
        <v>161</v>
      </c>
      <c r="F122" s="2407"/>
      <c r="G122" s="2408"/>
      <c r="H122" s="2412" t="str">
        <f>IF(A122="","",INDEX(DIFFERENTIATION_UNMERGE_VD,MATCH(A122,DIFFERENTIATION_ID_DIFF,0)))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22" s="2412"/>
      <c r="J122" s="2412"/>
      <c r="K122" s="2412"/>
      <c r="L122" s="2412"/>
      <c r="M122" s="2412"/>
      <c r="N122" s="2412"/>
      <c r="O122" s="2412"/>
      <c r="P122" s="2412"/>
      <c r="Q122" s="2412"/>
      <c r="R122" s="2412"/>
      <c r="S122" s="849"/>
      <c r="T122" s="846"/>
      <c r="U122" s="755"/>
      <c r="V122" s="755"/>
      <c r="W122" s="756"/>
      <c r="X122" s="756"/>
      <c r="Y122" s="756"/>
      <c r="Z122" s="756"/>
      <c r="AA122" s="757"/>
      <c r="AB122" s="758"/>
      <c r="AC122" s="2404"/>
      <c r="AD122" s="759"/>
      <c r="AE122" s="760" t="s">
        <v>18</v>
      </c>
      <c r="AF122" s="760"/>
      <c r="AG122" s="761" t="s">
        <v>692</v>
      </c>
      <c r="AH122" s="762">
        <v>3</v>
      </c>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6"/>
      <c r="BW122" s="756"/>
      <c r="BX122" s="756"/>
      <c r="BY122" s="756"/>
      <c r="BZ122" s="756"/>
      <c r="CA122" s="756"/>
      <c r="CB122" s="756"/>
      <c r="CC122" s="756"/>
      <c r="CD122" s="756"/>
      <c r="CE122" s="756"/>
    </row>
    <row customHeight="1" ht="15" hidden="1">
      <c r="A123" s="753"/>
      <c r="B123" s="754"/>
      <c r="C123" s="754"/>
      <c r="D123" s="2602"/>
      <c r="E123" s="2406" t="s">
        <v>647</v>
      </c>
      <c r="F123" s="2407"/>
      <c r="G123" s="2408"/>
      <c r="H123" s="2412" t="str">
        <f>IF(A122="","",INDEX(DIFFERENTIATION_UNMERGE_AREA,MATCH(A122,DIFFERENTIATION_ID_DIFF,0)))</f>
        <v>Территория 8</v>
      </c>
      <c r="I123" s="2412"/>
      <c r="J123" s="2412"/>
      <c r="K123" s="2412"/>
      <c r="L123" s="2412"/>
      <c r="M123" s="2412"/>
      <c r="N123" s="2412"/>
      <c r="O123" s="2412"/>
      <c r="P123" s="2412"/>
      <c r="Q123" s="2412"/>
      <c r="R123" s="2412"/>
      <c r="S123" s="849"/>
      <c r="T123" s="846"/>
      <c r="U123" s="755"/>
      <c r="V123" s="755"/>
      <c r="W123" s="756"/>
      <c r="X123" s="756"/>
      <c r="Y123" s="756"/>
      <c r="Z123" s="756"/>
      <c r="AA123" s="757"/>
      <c r="AB123" s="758"/>
      <c r="AC123" s="2404"/>
      <c r="AD123" s="759"/>
      <c r="AE123" s="760"/>
      <c r="AF123" s="760"/>
      <c r="AG123" s="761"/>
      <c r="AH123" s="762"/>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6"/>
      <c r="BW123" s="756"/>
      <c r="BX123" s="756"/>
      <c r="BY123" s="756"/>
      <c r="BZ123" s="756"/>
      <c r="CA123" s="756"/>
      <c r="CB123" s="756"/>
      <c r="CC123" s="756"/>
      <c r="CD123" s="756"/>
      <c r="CE123" s="756"/>
    </row>
    <row customHeight="1" ht="15" hidden="1">
      <c r="A124" s="753"/>
      <c r="B124" s="754"/>
      <c r="C124" s="754"/>
      <c r="D124" s="2602"/>
      <c r="E124" s="2406" t="s">
        <v>648</v>
      </c>
      <c r="F124" s="2407"/>
      <c r="G124" s="2408"/>
      <c r="H124" s="2412" t="str">
        <f>IF(A122="","",INDEX(DIFFERENTIATION_UNMERGE_SYSTEM,MATCH(A122,DIFFERENTIATION_ID_DIFF,0)))</f>
        <v>Хабаровская ТЭЦ-3 (г. Хабаровск, с. Восточное, с. Мирненское, с. Тополевское)</v>
      </c>
      <c r="I124" s="2412"/>
      <c r="J124" s="2412"/>
      <c r="K124" s="2412"/>
      <c r="L124" s="2412"/>
      <c r="M124" s="2412"/>
      <c r="N124" s="2412"/>
      <c r="O124" s="2412"/>
      <c r="P124" s="2412"/>
      <c r="Q124" s="2412"/>
      <c r="R124" s="2412"/>
      <c r="S124" s="849"/>
      <c r="T124" s="846"/>
      <c r="U124" s="755"/>
      <c r="V124" s="755"/>
      <c r="W124" s="756"/>
      <c r="X124" s="756"/>
      <c r="Y124" s="756"/>
      <c r="Z124" s="756"/>
      <c r="AA124" s="757"/>
      <c r="AB124" s="758"/>
      <c r="AC124" s="2404"/>
      <c r="AD124" s="759"/>
      <c r="AE124" s="760"/>
      <c r="AF124" s="760"/>
      <c r="AG124" s="761"/>
      <c r="AH124" s="762"/>
      <c r="AI124" s="755"/>
      <c r="AJ124" s="755"/>
      <c r="AK124" s="755"/>
      <c r="AL124" s="755"/>
      <c r="AM124" s="755"/>
      <c r="AN124" s="755"/>
      <c r="AO124" s="755"/>
      <c r="AP124" s="755"/>
      <c r="AQ124" s="755"/>
      <c r="AR124" s="755"/>
      <c r="AS124" s="755"/>
      <c r="AT124" s="755"/>
      <c r="AU124" s="755"/>
      <c r="AV124" s="755"/>
      <c r="AW124" s="755"/>
      <c r="AX124" s="755"/>
      <c r="AY124" s="755"/>
      <c r="AZ124" s="755"/>
      <c r="BA124" s="755"/>
      <c r="BB124" s="755"/>
      <c r="BC124" s="755"/>
      <c r="BD124" s="755"/>
      <c r="BE124" s="755"/>
      <c r="BF124" s="755"/>
      <c r="BG124" s="755"/>
      <c r="BH124" s="755"/>
      <c r="BI124" s="755"/>
      <c r="BJ124" s="755"/>
      <c r="BK124" s="755"/>
      <c r="BL124" s="755"/>
      <c r="BM124" s="755"/>
      <c r="BN124" s="755"/>
      <c r="BO124" s="755"/>
      <c r="BP124" s="755"/>
      <c r="BQ124" s="755"/>
      <c r="BR124" s="755"/>
      <c r="BS124" s="755"/>
      <c r="BT124" s="755"/>
      <c r="BU124" s="755"/>
      <c r="BV124" s="756"/>
      <c r="BW124" s="756"/>
      <c r="BX124" s="756"/>
      <c r="BY124" s="756"/>
      <c r="BZ124" s="756"/>
      <c r="CA124" s="756"/>
      <c r="CB124" s="756"/>
      <c r="CC124" s="756"/>
      <c r="CD124" s="756"/>
      <c r="CE124" s="756"/>
    </row>
    <row customHeight="1" ht="24.75" hidden="1">
      <c r="A125" s="1944"/>
      <c r="B125" s="1292"/>
      <c r="C125" s="542"/>
      <c r="D125" s="2602"/>
      <c r="E125" s="2405" t="s">
        <v>693</v>
      </c>
      <c r="F125" s="2405"/>
      <c r="G125" s="2405"/>
      <c r="H125" s="2405"/>
      <c r="I125" s="2405"/>
      <c r="J125" s="2405"/>
      <c r="K125" s="2405"/>
      <c r="L125" s="2405"/>
      <c r="M125" s="2405"/>
      <c r="N125" s="2405"/>
      <c r="O125" s="2405"/>
      <c r="P125" s="2405"/>
      <c r="Q125" s="688">
        <f>SUMIF(T126:T127,"i",Q126:Q127)</f>
        <v>0</v>
      </c>
      <c r="R125" s="1148"/>
      <c r="S125" s="1936" t="s">
        <v>694</v>
      </c>
      <c r="T125" s="847" t="s">
        <v>695</v>
      </c>
      <c r="U125" s="2403">
        <v>1</v>
      </c>
      <c r="V125" s="2403" t="s">
        <v>658</v>
      </c>
      <c r="W125" s="1292"/>
      <c r="X125" s="1292"/>
      <c r="Y125" s="1292"/>
      <c r="Z125" s="1292"/>
      <c r="AA125" s="1773"/>
      <c r="AB125" s="1292"/>
      <c r="AC125" s="2404"/>
      <c r="AD125" s="759"/>
      <c r="AE125" s="1292"/>
      <c r="AF125" s="1292"/>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292"/>
      <c r="BW125" s="1292"/>
      <c r="BX125" s="1292"/>
      <c r="BY125" s="1292"/>
      <c r="BZ125" s="1292"/>
      <c r="CA125" s="1292"/>
      <c r="CB125" s="1292"/>
      <c r="CC125" s="1292"/>
      <c r="CD125" s="1292"/>
      <c r="CE125" s="1292"/>
    </row>
    <row customHeight="1" ht="11.25" hidden="1">
      <c r="A126" s="1931"/>
      <c r="B126" s="1773"/>
      <c r="C126" s="1773"/>
      <c r="D126" s="2602"/>
      <c r="E126" s="765"/>
      <c r="F126" s="765">
        <v>0</v>
      </c>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292"/>
      <c r="AC126" s="2404"/>
      <c r="AD126" s="759"/>
      <c r="AE126" s="1292"/>
      <c r="AF126" s="1292"/>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customHeight="1" ht="11.25" hidden="1">
      <c r="A127" s="1944"/>
      <c r="B127" s="1292"/>
      <c r="C127" s="542"/>
      <c r="D127" s="2602"/>
      <c r="E127" s="779" t="s">
        <v>18</v>
      </c>
      <c r="F127" s="1300" t="s">
        <v>18</v>
      </c>
      <c r="G127" s="1300" t="s">
        <v>698</v>
      </c>
      <c r="H127" s="781" t="s">
        <v>18</v>
      </c>
      <c r="I127" s="781"/>
      <c r="J127" s="781"/>
      <c r="K127" s="781"/>
      <c r="L127" s="781"/>
      <c r="M127" s="781"/>
      <c r="N127" s="781"/>
      <c r="O127" s="781"/>
      <c r="P127" s="781"/>
      <c r="Q127" s="781"/>
      <c r="R127" s="782"/>
      <c r="S127" s="783"/>
      <c r="T127" s="848"/>
      <c r="U127" s="2403"/>
      <c r="V127" s="2403"/>
      <c r="W127" s="1292"/>
      <c r="X127" s="1292"/>
      <c r="Y127" s="1292"/>
      <c r="Z127" s="1292"/>
      <c r="AA127" s="1773"/>
      <c r="AB127" s="1292"/>
      <c r="AC127" s="2404"/>
      <c r="AD127" s="759"/>
      <c r="AE127" s="1292"/>
      <c r="AF127" s="1292"/>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292"/>
      <c r="BW127" s="1292"/>
      <c r="BX127" s="1292"/>
      <c r="BY127" s="1292"/>
      <c r="BZ127" s="1292"/>
      <c r="CA127" s="1292"/>
      <c r="CB127" s="1292"/>
      <c r="CC127" s="1292"/>
      <c r="CD127" s="1292"/>
      <c r="CE127" s="1292"/>
    </row>
    <row customHeight="1" ht="5.25" hidden="1">
      <c r="A128" s="1931"/>
      <c r="B128" s="1773"/>
      <c r="C128" s="1773"/>
      <c r="D128" s="2602"/>
      <c r="E128" s="1170"/>
      <c r="F128" s="1170"/>
      <c r="G128" s="1170"/>
      <c r="H128" s="1170"/>
      <c r="I128" s="1170"/>
      <c r="J128" s="1170"/>
      <c r="K128" s="1170"/>
      <c r="L128" s="1170"/>
      <c r="M128" s="1170"/>
      <c r="N128" s="1170"/>
      <c r="O128" s="1170"/>
      <c r="P128" s="1170"/>
      <c r="Q128" s="1171"/>
      <c r="R128" s="1172"/>
      <c r="S128" s="1173"/>
      <c r="T128" s="847" t="s">
        <v>695</v>
      </c>
      <c r="U128" s="2403">
        <v>1</v>
      </c>
      <c r="V128" s="2403" t="s">
        <v>658</v>
      </c>
      <c r="W128" s="1773"/>
      <c r="X128" s="1773"/>
      <c r="Y128" s="1773"/>
      <c r="Z128" s="1773"/>
      <c r="AA128" s="1773"/>
      <c r="AB128" s="1773"/>
      <c r="AC128" s="1168"/>
      <c r="AD128" s="1169"/>
      <c r="AE128" s="1773"/>
      <c r="AF128" s="1773"/>
      <c r="AG128" s="1773"/>
      <c r="AH128" s="1773"/>
      <c r="AI128" s="1773"/>
      <c r="AJ128" s="1773"/>
      <c r="AK128" s="1773"/>
      <c r="AL128" s="1773"/>
      <c r="AM128" s="1773"/>
      <c r="AN128" s="1773"/>
      <c r="AO128" s="1773"/>
      <c r="AP128" s="1773"/>
      <c r="AQ128" s="1773"/>
      <c r="AR128" s="1773"/>
      <c r="AS128" s="1773"/>
      <c r="AT128" s="1773"/>
      <c r="AU128" s="1773"/>
      <c r="AV128" s="1773"/>
      <c r="AW128" s="1773"/>
      <c r="AX128" s="1773"/>
      <c r="AY128" s="1773"/>
      <c r="AZ128" s="1773"/>
      <c r="BA128" s="1773"/>
      <c r="BB128" s="1773"/>
      <c r="BC128" s="1773"/>
      <c r="BD128" s="1773"/>
      <c r="BE128" s="1773"/>
      <c r="BF128" s="1773"/>
      <c r="BG128" s="1773"/>
      <c r="BH128" s="1773"/>
      <c r="BI128" s="1773"/>
      <c r="BJ128" s="1773"/>
      <c r="BK128" s="1773"/>
      <c r="BL128" s="1773"/>
      <c r="BM128" s="1773"/>
      <c r="BN128" s="1773"/>
      <c r="BO128" s="1773"/>
      <c r="BP128" s="1773"/>
      <c r="BQ128" s="1773"/>
      <c r="BR128" s="1773"/>
      <c r="BS128" s="1773"/>
      <c r="BT128" s="1773"/>
      <c r="BU128" s="1773"/>
      <c r="BV128" s="1773"/>
      <c r="BW128" s="1773"/>
      <c r="BX128" s="1773"/>
      <c r="BY128" s="1773"/>
      <c r="BZ128" s="1773"/>
      <c r="CA128" s="1773"/>
      <c r="CB128" s="1773"/>
      <c r="CC128" s="1773"/>
      <c r="CD128" s="1773"/>
      <c r="CE128" s="1773"/>
    </row>
    <row customHeight="1" ht="5.25" hidden="1">
      <c r="A129" s="1931"/>
      <c r="B129" s="1773"/>
      <c r="C129" s="1773"/>
      <c r="D129" s="2602"/>
      <c r="E129" s="765"/>
      <c r="F129" s="765"/>
      <c r="G129" s="765"/>
      <c r="H129" s="765"/>
      <c r="I129" s="765"/>
      <c r="J129" s="765"/>
      <c r="K129" s="765"/>
      <c r="L129" s="765"/>
      <c r="M129" s="765"/>
      <c r="N129" s="765"/>
      <c r="O129" s="765"/>
      <c r="P129" s="765"/>
      <c r="Q129" s="765"/>
      <c r="R129" s="765"/>
      <c r="S129" s="766"/>
      <c r="T129" s="848"/>
      <c r="U129" s="2403"/>
      <c r="V129" s="2403"/>
      <c r="W129" s="1773"/>
      <c r="X129" s="1773"/>
      <c r="Y129" s="1773"/>
      <c r="Z129" s="1773"/>
      <c r="AA129" s="1773"/>
      <c r="AB129" s="1773"/>
      <c r="AC129" s="1168"/>
      <c r="AD129" s="1169"/>
      <c r="AE129" s="1773"/>
      <c r="AF129" s="1773"/>
      <c r="AG129" s="1773"/>
      <c r="AH129" s="1773"/>
      <c r="AI129" s="1773"/>
      <c r="AJ129" s="1773"/>
      <c r="AK129" s="1773"/>
      <c r="AL129" s="1773"/>
      <c r="AM129" s="1773"/>
      <c r="AN129" s="1773"/>
      <c r="AO129" s="1773"/>
      <c r="AP129" s="1773"/>
      <c r="AQ129" s="1773"/>
      <c r="AR129" s="1773"/>
      <c r="AS129" s="1773"/>
      <c r="AT129" s="1773"/>
      <c r="AU129" s="1773"/>
      <c r="AV129" s="1773"/>
      <c r="AW129" s="1773"/>
      <c r="AX129" s="1773"/>
      <c r="AY129" s="1773"/>
      <c r="AZ129" s="1773"/>
      <c r="BA129" s="1773"/>
      <c r="BB129" s="1773"/>
      <c r="BC129" s="1773"/>
      <c r="BD129" s="1773"/>
      <c r="BE129" s="1773"/>
      <c r="BF129" s="1773"/>
      <c r="BG129" s="1773"/>
      <c r="BH129" s="1773"/>
      <c r="BI129" s="1773"/>
      <c r="BJ129" s="1773"/>
      <c r="BK129" s="1773"/>
      <c r="BL129" s="1773"/>
      <c r="BM129" s="1773"/>
      <c r="BN129" s="1773"/>
      <c r="BO129" s="1773"/>
      <c r="BP129" s="1773"/>
      <c r="BQ129" s="1773"/>
      <c r="BR129" s="1773"/>
      <c r="BS129" s="1773"/>
      <c r="BT129" s="1773"/>
      <c r="BU129" s="1773"/>
      <c r="BV129" s="1773"/>
      <c r="BW129" s="1773"/>
      <c r="BX129" s="1773"/>
      <c r="BY129" s="1773"/>
      <c r="BZ129" s="1773"/>
      <c r="CA129" s="1773"/>
      <c r="CB129" s="1773"/>
      <c r="CC129" s="1773"/>
      <c r="CD129" s="1773"/>
      <c r="CE129" s="1773"/>
    </row>
    <row customHeight="1" ht="5.25" hidden="1">
      <c r="A130" s="1931"/>
      <c r="B130" s="1773"/>
      <c r="C130" s="1773"/>
      <c r="D130" s="2603"/>
      <c r="E130" s="1174"/>
      <c r="F130" s="1175"/>
      <c r="G130" s="1175"/>
      <c r="H130" s="1176"/>
      <c r="I130" s="1176"/>
      <c r="J130" s="1176"/>
      <c r="K130" s="1176"/>
      <c r="L130" s="1176"/>
      <c r="M130" s="1176"/>
      <c r="N130" s="1176"/>
      <c r="O130" s="1176"/>
      <c r="P130" s="1176"/>
      <c r="Q130" s="1176"/>
      <c r="R130" s="1077"/>
      <c r="S130" s="1177"/>
      <c r="T130" s="848"/>
      <c r="U130" s="2403"/>
      <c r="V130" s="2403"/>
      <c r="W130" s="1773"/>
      <c r="X130" s="1773"/>
      <c r="Y130" s="1773"/>
      <c r="Z130" s="1773"/>
      <c r="AA130" s="1773"/>
      <c r="AB130" s="1773"/>
      <c r="AC130" s="1168"/>
      <c r="AD130" s="1169"/>
      <c r="AE130" s="1773"/>
      <c r="AF130" s="1773"/>
      <c r="AG130" s="1773"/>
      <c r="AH130" s="1773"/>
      <c r="AI130" s="1773"/>
      <c r="AJ130" s="1773"/>
      <c r="AK130" s="1773"/>
      <c r="AL130" s="1773"/>
      <c r="AM130" s="1773"/>
      <c r="AN130" s="1773"/>
      <c r="AO130" s="1773"/>
      <c r="AP130" s="1773"/>
      <c r="AQ130" s="1773"/>
      <c r="AR130" s="1773"/>
      <c r="AS130" s="1773"/>
      <c r="AT130" s="1773"/>
      <c r="AU130" s="1773"/>
      <c r="AV130" s="1773"/>
      <c r="AW130" s="1773"/>
      <c r="AX130" s="1773"/>
      <c r="AY130" s="1773"/>
      <c r="AZ130" s="1773"/>
      <c r="BA130" s="1773"/>
      <c r="BB130" s="1773"/>
      <c r="BC130" s="1773"/>
      <c r="BD130" s="1773"/>
      <c r="BE130" s="1773"/>
      <c r="BF130" s="1773"/>
      <c r="BG130" s="1773"/>
      <c r="BH130" s="1773"/>
      <c r="BI130" s="1773"/>
      <c r="BJ130" s="1773"/>
      <c r="BK130" s="1773"/>
      <c r="BL130" s="1773"/>
      <c r="BM130" s="1773"/>
      <c r="BN130" s="1773"/>
      <c r="BO130" s="1773"/>
      <c r="BP130" s="1773"/>
      <c r="BQ130" s="1773"/>
      <c r="BR130" s="1773"/>
      <c r="BS130" s="1773"/>
      <c r="BT130" s="1773"/>
      <c r="BU130" s="1773"/>
      <c r="BV130" s="1773"/>
      <c r="BW130" s="1773"/>
      <c r="BX130" s="1773"/>
      <c r="BY130" s="1773"/>
      <c r="BZ130" s="1773"/>
      <c r="CA130" s="1773"/>
      <c r="CB130" s="1773"/>
      <c r="CC130" s="1773"/>
      <c r="CD130" s="1773"/>
      <c r="CE130" s="1773"/>
    </row>
    <row customHeight="1" ht="15" hidden="1">
      <c r="A131" s="753" t="s">
        <v>200</v>
      </c>
      <c r="B131" s="754"/>
      <c r="C131" s="754" t="s">
        <v>18</v>
      </c>
      <c r="D131" s="2601" t="s">
        <v>710</v>
      </c>
      <c r="E131" s="2406" t="s">
        <v>161</v>
      </c>
      <c r="F131" s="2407"/>
      <c r="G131" s="2408"/>
      <c r="H131" s="2412" t="str">
        <f>IF(A131="","",INDEX(DIFFERENTIATION_UNMERGE_VD,MATCH(A131,DIFFERENTIATION_ID_DIFF,0)))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31" s="2412"/>
      <c r="J131" s="2412"/>
      <c r="K131" s="2412"/>
      <c r="L131" s="2412"/>
      <c r="M131" s="2412"/>
      <c r="N131" s="2412"/>
      <c r="O131" s="2412"/>
      <c r="P131" s="2412"/>
      <c r="Q131" s="2412"/>
      <c r="R131" s="2412"/>
      <c r="S131" s="849"/>
      <c r="T131" s="846"/>
      <c r="U131" s="755"/>
      <c r="V131" s="755"/>
      <c r="W131" s="756"/>
      <c r="X131" s="756"/>
      <c r="Y131" s="756"/>
      <c r="Z131" s="756"/>
      <c r="AA131" s="757"/>
      <c r="AB131" s="758"/>
      <c r="AC131" s="2404"/>
      <c r="AD131" s="759"/>
      <c r="AE131" s="760" t="s">
        <v>18</v>
      </c>
      <c r="AF131" s="760"/>
      <c r="AG131" s="761" t="s">
        <v>692</v>
      </c>
      <c r="AH131" s="762">
        <v>3</v>
      </c>
      <c r="AI131" s="755"/>
      <c r="AJ131" s="755"/>
      <c r="AK131" s="755"/>
      <c r="AL131" s="755"/>
      <c r="AM131" s="755"/>
      <c r="AN131" s="755"/>
      <c r="AO131" s="755"/>
      <c r="AP131" s="755"/>
      <c r="AQ131" s="755"/>
      <c r="AR131" s="755"/>
      <c r="AS131" s="755"/>
      <c r="AT131" s="755"/>
      <c r="AU131" s="755"/>
      <c r="AV131" s="755"/>
      <c r="AW131" s="755"/>
      <c r="AX131" s="755"/>
      <c r="AY131" s="755"/>
      <c r="AZ131" s="755"/>
      <c r="BA131" s="755"/>
      <c r="BB131" s="755"/>
      <c r="BC131" s="755"/>
      <c r="BD131" s="755"/>
      <c r="BE131" s="755"/>
      <c r="BF131" s="755"/>
      <c r="BG131" s="755"/>
      <c r="BH131" s="755"/>
      <c r="BI131" s="755"/>
      <c r="BJ131" s="755"/>
      <c r="BK131" s="755"/>
      <c r="BL131" s="755"/>
      <c r="BM131" s="755"/>
      <c r="BN131" s="755"/>
      <c r="BO131" s="755"/>
      <c r="BP131" s="755"/>
      <c r="BQ131" s="755"/>
      <c r="BR131" s="755"/>
      <c r="BS131" s="755"/>
      <c r="BT131" s="755"/>
      <c r="BU131" s="755"/>
      <c r="BV131" s="756"/>
      <c r="BW131" s="756"/>
      <c r="BX131" s="756"/>
      <c r="BY131" s="756"/>
      <c r="BZ131" s="756"/>
      <c r="CA131" s="756"/>
      <c r="CB131" s="756"/>
      <c r="CC131" s="756"/>
      <c r="CD131" s="756"/>
      <c r="CE131" s="756"/>
    </row>
    <row customHeight="1" ht="15" hidden="1">
      <c r="A132" s="753"/>
      <c r="B132" s="754"/>
      <c r="C132" s="754"/>
      <c r="D132" s="2602"/>
      <c r="E132" s="2406" t="s">
        <v>647</v>
      </c>
      <c r="F132" s="2407"/>
      <c r="G132" s="2408"/>
      <c r="H132" s="2412" t="str">
        <f>IF(A131="","",INDEX(DIFFERENTIATION_UNMERGE_AREA,MATCH(A131,DIFFERENTIATION_ID_DIFF,0)))</f>
        <v>Территория 9</v>
      </c>
      <c r="I132" s="2412"/>
      <c r="J132" s="2412"/>
      <c r="K132" s="2412"/>
      <c r="L132" s="2412"/>
      <c r="M132" s="2412"/>
      <c r="N132" s="2412"/>
      <c r="O132" s="2412"/>
      <c r="P132" s="2412"/>
      <c r="Q132" s="2412"/>
      <c r="R132" s="2412"/>
      <c r="S132" s="849"/>
      <c r="T132" s="846"/>
      <c r="U132" s="755"/>
      <c r="V132" s="755"/>
      <c r="W132" s="756"/>
      <c r="X132" s="756"/>
      <c r="Y132" s="756"/>
      <c r="Z132" s="756"/>
      <c r="AA132" s="757"/>
      <c r="AB132" s="758"/>
      <c r="AC132" s="2404"/>
      <c r="AD132" s="759"/>
      <c r="AE132" s="760"/>
      <c r="AF132" s="760"/>
      <c r="AG132" s="761"/>
      <c r="AH132" s="762"/>
      <c r="AI132" s="755"/>
      <c r="AJ132" s="755"/>
      <c r="AK132" s="755"/>
      <c r="AL132" s="755"/>
      <c r="AM132" s="755"/>
      <c r="AN132" s="755"/>
      <c r="AO132" s="755"/>
      <c r="AP132" s="755"/>
      <c r="AQ132" s="755"/>
      <c r="AR132" s="755"/>
      <c r="AS132" s="755"/>
      <c r="AT132" s="755"/>
      <c r="AU132" s="755"/>
      <c r="AV132" s="755"/>
      <c r="AW132" s="755"/>
      <c r="AX132" s="755"/>
      <c r="AY132" s="755"/>
      <c r="AZ132" s="755"/>
      <c r="BA132" s="755"/>
      <c r="BB132" s="755"/>
      <c r="BC132" s="755"/>
      <c r="BD132" s="755"/>
      <c r="BE132" s="755"/>
      <c r="BF132" s="755"/>
      <c r="BG132" s="755"/>
      <c r="BH132" s="755"/>
      <c r="BI132" s="755"/>
      <c r="BJ132" s="755"/>
      <c r="BK132" s="755"/>
      <c r="BL132" s="755"/>
      <c r="BM132" s="755"/>
      <c r="BN132" s="755"/>
      <c r="BO132" s="755"/>
      <c r="BP132" s="755"/>
      <c r="BQ132" s="755"/>
      <c r="BR132" s="755"/>
      <c r="BS132" s="755"/>
      <c r="BT132" s="755"/>
      <c r="BU132" s="755"/>
      <c r="BV132" s="756"/>
      <c r="BW132" s="756"/>
      <c r="BX132" s="756"/>
      <c r="BY132" s="756"/>
      <c r="BZ132" s="756"/>
      <c r="CA132" s="756"/>
      <c r="CB132" s="756"/>
      <c r="CC132" s="756"/>
      <c r="CD132" s="756"/>
      <c r="CE132" s="756"/>
    </row>
    <row customHeight="1" ht="15" hidden="1">
      <c r="A133" s="753"/>
      <c r="B133" s="754"/>
      <c r="C133" s="754"/>
      <c r="D133" s="2602"/>
      <c r="E133" s="2406" t="s">
        <v>648</v>
      </c>
      <c r="F133" s="2407"/>
      <c r="G133" s="2408"/>
      <c r="H133" s="2412" t="str">
        <f>IF(A131="","",INDEX(DIFFERENTIATION_UNMERGE_SYSTEM,MATCH(A131,DIFFERENTIATION_ID_DIFF,0)))</f>
        <v>Котельная в с. Некрасовка (с. Дружбинское, с. Некрасовское) </v>
      </c>
      <c r="I133" s="2412"/>
      <c r="J133" s="2412"/>
      <c r="K133" s="2412"/>
      <c r="L133" s="2412"/>
      <c r="M133" s="2412"/>
      <c r="N133" s="2412"/>
      <c r="O133" s="2412"/>
      <c r="P133" s="2412"/>
      <c r="Q133" s="2412"/>
      <c r="R133" s="2412"/>
      <c r="S133" s="849"/>
      <c r="T133" s="846"/>
      <c r="U133" s="755"/>
      <c r="V133" s="755"/>
      <c r="W133" s="756"/>
      <c r="X133" s="756"/>
      <c r="Y133" s="756"/>
      <c r="Z133" s="756"/>
      <c r="AA133" s="757"/>
      <c r="AB133" s="758"/>
      <c r="AC133" s="2404"/>
      <c r="AD133" s="759"/>
      <c r="AE133" s="760"/>
      <c r="AF133" s="760"/>
      <c r="AG133" s="761"/>
      <c r="AH133" s="762"/>
      <c r="AI133" s="755"/>
      <c r="AJ133" s="755"/>
      <c r="AK133" s="755"/>
      <c r="AL133" s="755"/>
      <c r="AM133" s="755"/>
      <c r="AN133" s="755"/>
      <c r="AO133" s="755"/>
      <c r="AP133" s="755"/>
      <c r="AQ133" s="755"/>
      <c r="AR133" s="755"/>
      <c r="AS133" s="755"/>
      <c r="AT133" s="755"/>
      <c r="AU133" s="755"/>
      <c r="AV133" s="755"/>
      <c r="AW133" s="755"/>
      <c r="AX133" s="755"/>
      <c r="AY133" s="755"/>
      <c r="AZ133" s="755"/>
      <c r="BA133" s="755"/>
      <c r="BB133" s="755"/>
      <c r="BC133" s="755"/>
      <c r="BD133" s="755"/>
      <c r="BE133" s="755"/>
      <c r="BF133" s="755"/>
      <c r="BG133" s="755"/>
      <c r="BH133" s="755"/>
      <c r="BI133" s="755"/>
      <c r="BJ133" s="755"/>
      <c r="BK133" s="755"/>
      <c r="BL133" s="755"/>
      <c r="BM133" s="755"/>
      <c r="BN133" s="755"/>
      <c r="BO133" s="755"/>
      <c r="BP133" s="755"/>
      <c r="BQ133" s="755"/>
      <c r="BR133" s="755"/>
      <c r="BS133" s="755"/>
      <c r="BT133" s="755"/>
      <c r="BU133" s="755"/>
      <c r="BV133" s="756"/>
      <c r="BW133" s="756"/>
      <c r="BX133" s="756"/>
      <c r="BY133" s="756"/>
      <c r="BZ133" s="756"/>
      <c r="CA133" s="756"/>
      <c r="CB133" s="756"/>
      <c r="CC133" s="756"/>
      <c r="CD133" s="756"/>
      <c r="CE133" s="756"/>
    </row>
    <row customHeight="1" ht="24.75" hidden="1">
      <c r="A134" s="1944"/>
      <c r="B134" s="1292"/>
      <c r="C134" s="542"/>
      <c r="D134" s="2602"/>
      <c r="E134" s="2405" t="s">
        <v>693</v>
      </c>
      <c r="F134" s="2405"/>
      <c r="G134" s="2405"/>
      <c r="H134" s="2405"/>
      <c r="I134" s="2405"/>
      <c r="J134" s="2405"/>
      <c r="K134" s="2405"/>
      <c r="L134" s="2405"/>
      <c r="M134" s="2405"/>
      <c r="N134" s="2405"/>
      <c r="O134" s="2405"/>
      <c r="P134" s="2405"/>
      <c r="Q134" s="688">
        <f>SUMIF(T135:T136,"i",Q135:Q136)</f>
        <v>0</v>
      </c>
      <c r="R134" s="1148"/>
      <c r="S134" s="1936" t="s">
        <v>694</v>
      </c>
      <c r="T134" s="847" t="s">
        <v>695</v>
      </c>
      <c r="U134" s="2403">
        <v>1</v>
      </c>
      <c r="V134" s="2403" t="s">
        <v>658</v>
      </c>
      <c r="W134" s="1292"/>
      <c r="X134" s="1292"/>
      <c r="Y134" s="1292"/>
      <c r="Z134" s="1292"/>
      <c r="AA134" s="1773"/>
      <c r="AB134" s="1292"/>
      <c r="AC134" s="2404"/>
      <c r="AD134" s="759"/>
      <c r="AE134" s="1292"/>
      <c r="AF134" s="1292"/>
      <c r="AG134" s="1773"/>
      <c r="AH134" s="1773"/>
      <c r="AI134" s="1773"/>
      <c r="AJ134" s="1773"/>
      <c r="AK134" s="1773"/>
      <c r="AL134" s="1773"/>
      <c r="AM134" s="1773"/>
      <c r="AN134" s="1773"/>
      <c r="AO134" s="1773"/>
      <c r="AP134" s="1773"/>
      <c r="AQ134" s="1773"/>
      <c r="AR134" s="1773"/>
      <c r="AS134" s="1773"/>
      <c r="AT134" s="1773"/>
      <c r="AU134" s="1773"/>
      <c r="AV134" s="1773"/>
      <c r="AW134" s="1773"/>
      <c r="AX134" s="1773"/>
      <c r="AY134" s="1773"/>
      <c r="AZ134" s="1773"/>
      <c r="BA134" s="1773"/>
      <c r="BB134" s="1773"/>
      <c r="BC134" s="1773"/>
      <c r="BD134" s="1773"/>
      <c r="BE134" s="1773"/>
      <c r="BF134" s="1773"/>
      <c r="BG134" s="1773"/>
      <c r="BH134" s="1773"/>
      <c r="BI134" s="1773"/>
      <c r="BJ134" s="1773"/>
      <c r="BK134" s="1773"/>
      <c r="BL134" s="1773"/>
      <c r="BM134" s="1773"/>
      <c r="BN134" s="1773"/>
      <c r="BO134" s="1773"/>
      <c r="BP134" s="1773"/>
      <c r="BQ134" s="1773"/>
      <c r="BR134" s="1773"/>
      <c r="BS134" s="1773"/>
      <c r="BT134" s="1773"/>
      <c r="BU134" s="1773"/>
      <c r="BV134" s="1292"/>
      <c r="BW134" s="1292"/>
      <c r="BX134" s="1292"/>
      <c r="BY134" s="1292"/>
      <c r="BZ134" s="1292"/>
      <c r="CA134" s="1292"/>
      <c r="CB134" s="1292"/>
      <c r="CC134" s="1292"/>
      <c r="CD134" s="1292"/>
      <c r="CE134" s="1292"/>
    </row>
    <row customHeight="1" ht="11.25" hidden="1">
      <c r="A135" s="1931"/>
      <c r="B135" s="1773"/>
      <c r="C135" s="1773"/>
      <c r="D135" s="2602"/>
      <c r="E135" s="765"/>
      <c r="F135" s="765">
        <v>0</v>
      </c>
      <c r="G135" s="765"/>
      <c r="H135" s="765"/>
      <c r="I135" s="765"/>
      <c r="J135" s="765"/>
      <c r="K135" s="765"/>
      <c r="L135" s="765"/>
      <c r="M135" s="765"/>
      <c r="N135" s="765"/>
      <c r="O135" s="765"/>
      <c r="P135" s="765"/>
      <c r="Q135" s="765"/>
      <c r="R135" s="765"/>
      <c r="S135" s="766"/>
      <c r="T135" s="848"/>
      <c r="U135" s="2403"/>
      <c r="V135" s="2403"/>
      <c r="W135" s="1773"/>
      <c r="X135" s="1773"/>
      <c r="Y135" s="1773"/>
      <c r="Z135" s="1773"/>
      <c r="AA135" s="1773"/>
      <c r="AB135" s="1292"/>
      <c r="AC135" s="2404"/>
      <c r="AD135" s="759"/>
      <c r="AE135" s="1292"/>
      <c r="AF135" s="1292"/>
      <c r="AG135" s="1773"/>
      <c r="AH135" s="1773"/>
      <c r="AI135" s="1773"/>
      <c r="AJ135" s="1773"/>
      <c r="AK135" s="1773"/>
      <c r="AL135" s="1773"/>
      <c r="AM135" s="1773"/>
      <c r="AN135" s="1773"/>
      <c r="AO135" s="1773"/>
      <c r="AP135" s="1773"/>
      <c r="AQ135" s="1773"/>
      <c r="AR135" s="1773"/>
      <c r="AS135" s="1773"/>
      <c r="AT135" s="1773"/>
      <c r="AU135" s="1773"/>
      <c r="AV135" s="1773"/>
      <c r="AW135" s="1773"/>
      <c r="AX135" s="1773"/>
      <c r="AY135" s="1773"/>
      <c r="AZ135" s="1773"/>
      <c r="BA135" s="1773"/>
      <c r="BB135" s="1773"/>
      <c r="BC135" s="1773"/>
      <c r="BD135" s="1773"/>
      <c r="BE135" s="1773"/>
      <c r="BF135" s="1773"/>
      <c r="BG135" s="1773"/>
      <c r="BH135" s="1773"/>
      <c r="BI135" s="1773"/>
      <c r="BJ135" s="1773"/>
      <c r="BK135" s="1773"/>
      <c r="BL135" s="1773"/>
      <c r="BM135" s="1773"/>
      <c r="BN135" s="1773"/>
      <c r="BO135" s="1773"/>
      <c r="BP135" s="1773"/>
      <c r="BQ135" s="1773"/>
      <c r="BR135" s="1773"/>
      <c r="BS135" s="1773"/>
      <c r="BT135" s="1773"/>
      <c r="BU135" s="1773"/>
      <c r="BV135" s="1773"/>
      <c r="BW135" s="1773"/>
      <c r="BX135" s="1773"/>
      <c r="BY135" s="1773"/>
      <c r="BZ135" s="1773"/>
      <c r="CA135" s="1773"/>
      <c r="CB135" s="1773"/>
      <c r="CC135" s="1773"/>
      <c r="CD135" s="1773"/>
      <c r="CE135" s="1773"/>
    </row>
    <row customHeight="1" ht="11.25" hidden="1">
      <c r="A136" s="1944"/>
      <c r="B136" s="1292"/>
      <c r="C136" s="542"/>
      <c r="D136" s="2602"/>
      <c r="E136" s="779" t="s">
        <v>18</v>
      </c>
      <c r="F136" s="1300" t="s">
        <v>18</v>
      </c>
      <c r="G136" s="1300" t="s">
        <v>698</v>
      </c>
      <c r="H136" s="781" t="s">
        <v>18</v>
      </c>
      <c r="I136" s="781"/>
      <c r="J136" s="781"/>
      <c r="K136" s="781"/>
      <c r="L136" s="781"/>
      <c r="M136" s="781"/>
      <c r="N136" s="781"/>
      <c r="O136" s="781"/>
      <c r="P136" s="781"/>
      <c r="Q136" s="781"/>
      <c r="R136" s="782"/>
      <c r="S136" s="783"/>
      <c r="T136" s="848"/>
      <c r="U136" s="2403"/>
      <c r="V136" s="2403"/>
      <c r="W136" s="1292"/>
      <c r="X136" s="1292"/>
      <c r="Y136" s="1292"/>
      <c r="Z136" s="1292"/>
      <c r="AA136" s="1773"/>
      <c r="AB136" s="1292"/>
      <c r="AC136" s="2404"/>
      <c r="AD136" s="759"/>
      <c r="AE136" s="1292"/>
      <c r="AF136" s="1292"/>
      <c r="AG136" s="1773"/>
      <c r="AH136" s="1773"/>
      <c r="AI136" s="1773"/>
      <c r="AJ136" s="1773"/>
      <c r="AK136" s="1773"/>
      <c r="AL136" s="1773"/>
      <c r="AM136" s="1773"/>
      <c r="AN136" s="1773"/>
      <c r="AO136" s="1773"/>
      <c r="AP136" s="1773"/>
      <c r="AQ136" s="1773"/>
      <c r="AR136" s="1773"/>
      <c r="AS136" s="1773"/>
      <c r="AT136" s="1773"/>
      <c r="AU136" s="1773"/>
      <c r="AV136" s="1773"/>
      <c r="AW136" s="1773"/>
      <c r="AX136" s="1773"/>
      <c r="AY136" s="1773"/>
      <c r="AZ136" s="1773"/>
      <c r="BA136" s="1773"/>
      <c r="BB136" s="1773"/>
      <c r="BC136" s="1773"/>
      <c r="BD136" s="1773"/>
      <c r="BE136" s="1773"/>
      <c r="BF136" s="1773"/>
      <c r="BG136" s="1773"/>
      <c r="BH136" s="1773"/>
      <c r="BI136" s="1773"/>
      <c r="BJ136" s="1773"/>
      <c r="BK136" s="1773"/>
      <c r="BL136" s="1773"/>
      <c r="BM136" s="1773"/>
      <c r="BN136" s="1773"/>
      <c r="BO136" s="1773"/>
      <c r="BP136" s="1773"/>
      <c r="BQ136" s="1773"/>
      <c r="BR136" s="1773"/>
      <c r="BS136" s="1773"/>
      <c r="BT136" s="1773"/>
      <c r="BU136" s="1773"/>
      <c r="BV136" s="1292"/>
      <c r="BW136" s="1292"/>
      <c r="BX136" s="1292"/>
      <c r="BY136" s="1292"/>
      <c r="BZ136" s="1292"/>
      <c r="CA136" s="1292"/>
      <c r="CB136" s="1292"/>
      <c r="CC136" s="1292"/>
      <c r="CD136" s="1292"/>
      <c r="CE136" s="1292"/>
    </row>
    <row customHeight="1" ht="5.25" hidden="1">
      <c r="A137" s="1931"/>
      <c r="B137" s="1773"/>
      <c r="C137" s="1773"/>
      <c r="D137" s="2602"/>
      <c r="E137" s="1170"/>
      <c r="F137" s="1170"/>
      <c r="G137" s="1170"/>
      <c r="H137" s="1170"/>
      <c r="I137" s="1170"/>
      <c r="J137" s="1170"/>
      <c r="K137" s="1170"/>
      <c r="L137" s="1170"/>
      <c r="M137" s="1170"/>
      <c r="N137" s="1170"/>
      <c r="O137" s="1170"/>
      <c r="P137" s="1170"/>
      <c r="Q137" s="1171"/>
      <c r="R137" s="1172"/>
      <c r="S137" s="1173"/>
      <c r="T137" s="847" t="s">
        <v>695</v>
      </c>
      <c r="U137" s="2403">
        <v>1</v>
      </c>
      <c r="V137" s="2403" t="s">
        <v>658</v>
      </c>
      <c r="W137" s="1773"/>
      <c r="X137" s="1773"/>
      <c r="Y137" s="1773"/>
      <c r="Z137" s="1773"/>
      <c r="AA137" s="1773"/>
      <c r="AB137" s="1773"/>
      <c r="AC137" s="1168"/>
      <c r="AD137" s="1169"/>
      <c r="AE137" s="1773"/>
      <c r="AF137" s="1773"/>
      <c r="AG137" s="1773"/>
      <c r="AH137" s="1773"/>
      <c r="AI137" s="1773"/>
      <c r="AJ137" s="1773"/>
      <c r="AK137" s="1773"/>
      <c r="AL137" s="1773"/>
      <c r="AM137" s="1773"/>
      <c r="AN137" s="1773"/>
      <c r="AO137" s="1773"/>
      <c r="AP137" s="1773"/>
      <c r="AQ137" s="1773"/>
      <c r="AR137" s="1773"/>
      <c r="AS137" s="1773"/>
      <c r="AT137" s="1773"/>
      <c r="AU137" s="1773"/>
      <c r="AV137" s="1773"/>
      <c r="AW137" s="1773"/>
      <c r="AX137" s="1773"/>
      <c r="AY137" s="1773"/>
      <c r="AZ137" s="1773"/>
      <c r="BA137" s="1773"/>
      <c r="BB137" s="1773"/>
      <c r="BC137" s="1773"/>
      <c r="BD137" s="1773"/>
      <c r="BE137" s="1773"/>
      <c r="BF137" s="1773"/>
      <c r="BG137" s="1773"/>
      <c r="BH137" s="1773"/>
      <c r="BI137" s="1773"/>
      <c r="BJ137" s="1773"/>
      <c r="BK137" s="1773"/>
      <c r="BL137" s="1773"/>
      <c r="BM137" s="1773"/>
      <c r="BN137" s="1773"/>
      <c r="BO137" s="1773"/>
      <c r="BP137" s="1773"/>
      <c r="BQ137" s="1773"/>
      <c r="BR137" s="1773"/>
      <c r="BS137" s="1773"/>
      <c r="BT137" s="1773"/>
      <c r="BU137" s="1773"/>
      <c r="BV137" s="1773"/>
      <c r="BW137" s="1773"/>
      <c r="BX137" s="1773"/>
      <c r="BY137" s="1773"/>
      <c r="BZ137" s="1773"/>
      <c r="CA137" s="1773"/>
      <c r="CB137" s="1773"/>
      <c r="CC137" s="1773"/>
      <c r="CD137" s="1773"/>
      <c r="CE137" s="1773"/>
    </row>
    <row customHeight="1" ht="5.25" hidden="1">
      <c r="A138" s="1931"/>
      <c r="B138" s="1773"/>
      <c r="C138" s="1773"/>
      <c r="D138" s="2602"/>
      <c r="E138" s="765"/>
      <c r="F138" s="765"/>
      <c r="G138" s="765"/>
      <c r="H138" s="765"/>
      <c r="I138" s="765"/>
      <c r="J138" s="765"/>
      <c r="K138" s="765"/>
      <c r="L138" s="765"/>
      <c r="M138" s="765"/>
      <c r="N138" s="765"/>
      <c r="O138" s="765"/>
      <c r="P138" s="765"/>
      <c r="Q138" s="765"/>
      <c r="R138" s="765"/>
      <c r="S138" s="766"/>
      <c r="T138" s="848"/>
      <c r="U138" s="2403"/>
      <c r="V138" s="2403"/>
      <c r="W138" s="1773"/>
      <c r="X138" s="1773"/>
      <c r="Y138" s="1773"/>
      <c r="Z138" s="1773"/>
      <c r="AA138" s="1773"/>
      <c r="AB138" s="1773"/>
      <c r="AC138" s="1168"/>
      <c r="AD138" s="1169"/>
      <c r="AE138" s="1773"/>
      <c r="AF138" s="1773"/>
      <c r="AG138" s="1773"/>
      <c r="AH138" s="1773"/>
      <c r="AI138" s="1773"/>
      <c r="AJ138" s="1773"/>
      <c r="AK138" s="1773"/>
      <c r="AL138" s="1773"/>
      <c r="AM138" s="1773"/>
      <c r="AN138" s="1773"/>
      <c r="AO138" s="1773"/>
      <c r="AP138" s="1773"/>
      <c r="AQ138" s="1773"/>
      <c r="AR138" s="1773"/>
      <c r="AS138" s="1773"/>
      <c r="AT138" s="1773"/>
      <c r="AU138" s="1773"/>
      <c r="AV138" s="1773"/>
      <c r="AW138" s="1773"/>
      <c r="AX138" s="1773"/>
      <c r="AY138" s="1773"/>
      <c r="AZ138" s="1773"/>
      <c r="BA138" s="1773"/>
      <c r="BB138" s="1773"/>
      <c r="BC138" s="1773"/>
      <c r="BD138" s="1773"/>
      <c r="BE138" s="1773"/>
      <c r="BF138" s="1773"/>
      <c r="BG138" s="1773"/>
      <c r="BH138" s="1773"/>
      <c r="BI138" s="1773"/>
      <c r="BJ138" s="1773"/>
      <c r="BK138" s="1773"/>
      <c r="BL138" s="1773"/>
      <c r="BM138" s="1773"/>
      <c r="BN138" s="1773"/>
      <c r="BO138" s="1773"/>
      <c r="BP138" s="1773"/>
      <c r="BQ138" s="1773"/>
      <c r="BR138" s="1773"/>
      <c r="BS138" s="1773"/>
      <c r="BT138" s="1773"/>
      <c r="BU138" s="1773"/>
      <c r="BV138" s="1773"/>
      <c r="BW138" s="1773"/>
      <c r="BX138" s="1773"/>
      <c r="BY138" s="1773"/>
      <c r="BZ138" s="1773"/>
      <c r="CA138" s="1773"/>
      <c r="CB138" s="1773"/>
      <c r="CC138" s="1773"/>
      <c r="CD138" s="1773"/>
      <c r="CE138" s="1773"/>
    </row>
    <row customHeight="1" ht="5.25" hidden="1">
      <c r="A139" s="1931"/>
      <c r="B139" s="1773"/>
      <c r="C139" s="1773"/>
      <c r="D139" s="2603"/>
      <c r="E139" s="1174"/>
      <c r="F139" s="1175"/>
      <c r="G139" s="1175"/>
      <c r="H139" s="1176"/>
      <c r="I139" s="1176"/>
      <c r="J139" s="1176"/>
      <c r="K139" s="1176"/>
      <c r="L139" s="1176"/>
      <c r="M139" s="1176"/>
      <c r="N139" s="1176"/>
      <c r="O139" s="1176"/>
      <c r="P139" s="1176"/>
      <c r="Q139" s="1176"/>
      <c r="R139" s="1077"/>
      <c r="S139" s="1177"/>
      <c r="T139" s="848"/>
      <c r="U139" s="2403"/>
      <c r="V139" s="2403"/>
      <c r="W139" s="1773"/>
      <c r="X139" s="1773"/>
      <c r="Y139" s="1773"/>
      <c r="Z139" s="1773"/>
      <c r="AA139" s="1773"/>
      <c r="AB139" s="1773"/>
      <c r="AC139" s="1168"/>
      <c r="AD139" s="1169"/>
      <c r="AE139" s="1773"/>
      <c r="AF139" s="1773"/>
      <c r="AG139" s="1773"/>
      <c r="AH139" s="1773"/>
      <c r="AI139" s="1773"/>
      <c r="AJ139" s="1773"/>
      <c r="AK139" s="1773"/>
      <c r="AL139" s="1773"/>
      <c r="AM139" s="1773"/>
      <c r="AN139" s="1773"/>
      <c r="AO139" s="1773"/>
      <c r="AP139" s="1773"/>
      <c r="AQ139" s="1773"/>
      <c r="AR139" s="1773"/>
      <c r="AS139" s="1773"/>
      <c r="AT139" s="1773"/>
      <c r="AU139" s="1773"/>
      <c r="AV139" s="1773"/>
      <c r="AW139" s="1773"/>
      <c r="AX139" s="1773"/>
      <c r="AY139" s="1773"/>
      <c r="AZ139" s="1773"/>
      <c r="BA139" s="1773"/>
      <c r="BB139" s="1773"/>
      <c r="BC139" s="1773"/>
      <c r="BD139" s="1773"/>
      <c r="BE139" s="1773"/>
      <c r="BF139" s="1773"/>
      <c r="BG139" s="1773"/>
      <c r="BH139" s="1773"/>
      <c r="BI139" s="1773"/>
      <c r="BJ139" s="1773"/>
      <c r="BK139" s="1773"/>
      <c r="BL139" s="1773"/>
      <c r="BM139" s="1773"/>
      <c r="BN139" s="1773"/>
      <c r="BO139" s="1773"/>
      <c r="BP139" s="1773"/>
      <c r="BQ139" s="1773"/>
      <c r="BR139" s="1773"/>
      <c r="BS139" s="1773"/>
      <c r="BT139" s="1773"/>
      <c r="BU139" s="1773"/>
      <c r="BV139" s="1773"/>
      <c r="BW139" s="1773"/>
      <c r="BX139" s="1773"/>
      <c r="BY139" s="1773"/>
      <c r="BZ139" s="1773"/>
      <c r="CA139" s="1773"/>
      <c r="CB139" s="1773"/>
      <c r="CC139" s="1773"/>
      <c r="CD139" s="1773"/>
      <c r="CE139" s="1773"/>
    </row>
    <row customHeight="1" ht="18.75">
      <c r="D140" s="1178"/>
      <c r="E140" s="1178"/>
      <c r="F140" s="1178"/>
      <c r="G140" s="1178"/>
      <c r="H140" s="1178"/>
      <c r="I140" s="1178"/>
      <c r="J140" s="1178"/>
      <c r="K140" s="1178"/>
      <c r="L140" s="1178"/>
      <c r="M140" s="1178"/>
      <c r="N140" s="1178"/>
      <c r="O140" s="1178"/>
      <c r="P140" s="1178"/>
      <c r="Q140" s="1178"/>
      <c r="R140" s="1178"/>
      <c r="S140" s="1178"/>
      <c r="T140" s="464"/>
    </row>
    <row customHeight="1" ht="11.25">
      <c r="D141" s="639"/>
    </row>
    <row customHeight="1" ht="11.25">
      <c r="D142" s="784"/>
      <c r="E142" s="784"/>
      <c r="F142" s="784"/>
      <c r="G142" s="785"/>
    </row>
    <row r="144" customHeight="1" ht="11.25">
      <c r="D144" s="786"/>
      <c r="E144" s="2413"/>
      <c r="F144" s="2413"/>
      <c r="G144" s="2413"/>
      <c r="H144" s="2413"/>
      <c r="I144" s="2413"/>
      <c r="J144" s="2413"/>
      <c r="K144" s="2413"/>
      <c r="L144" s="2413"/>
      <c r="M144" s="2413"/>
      <c r="N144" s="2413"/>
      <c r="O144" s="2413"/>
      <c r="P144" s="2413"/>
      <c r="Q144" s="2413"/>
      <c r="R144" s="2413"/>
    </row>
    <row customHeight="1" ht="11.25">
      <c r="F145" s="888"/>
      <c r="G145" s="888"/>
    </row>
  </sheetData>
  <sheetProtection sheet="1" formatColumns="0" formatRows="0" autoFilter="0" sort="1" insertRows="1" insertColumns="1" deleteRows="1" deleteColumns="1"/>
  <mergeCells count="191">
    <mergeCell ref="E5:K5"/>
    <mergeCell ref="E6:K6"/>
    <mergeCell ref="E9:R9"/>
    <mergeCell ref="S9:S10"/>
    <mergeCell ref="E10:F10"/>
    <mergeCell ref="H10:I10"/>
    <mergeCell ref="L10:M10"/>
    <mergeCell ref="D14:D22"/>
    <mergeCell ref="H14:R14"/>
    <mergeCell ref="H15:R15"/>
    <mergeCell ref="H16:R16"/>
    <mergeCell ref="E144:R14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C05B7-3C02-0ADB-35BB-3D66C762E7B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2239" width="10.7109375" hidden="1" customWidth="1"/>
    <col min="2" max="2" style="11649" width="16.8515625" hidden="1" customWidth="1"/>
    <col min="3" max="3" style="11773" width="5.57421875" hidden="1" customWidth="1"/>
    <col min="4" max="4" style="12240" width="3.7109375" customWidth="1"/>
    <col min="5" max="5" style="11775" width="7.7109375" customWidth="1"/>
    <col min="6" max="6" style="11775" width="56.140625" customWidth="1"/>
    <col min="7" max="7" style="11775" width="10.421875" customWidth="1"/>
    <col min="8" max="8" style="11775" width="40.7109375" hidden="1" customWidth="1"/>
    <col min="9" max="9" style="11775" width="40.7109375" customWidth="1"/>
    <col min="10" max="10" style="11775" width="102.8515625" customWidth="1"/>
    <col min="11" max="11" style="11649" width="9.7109375" customWidth="1"/>
    <col min="12" max="12" style="11773" width="5.28125" customWidth="1"/>
    <col min="13" max="13" style="11773" width="3.7109375" customWidth="1"/>
    <col min="14" max="17" style="11649" width="3.7109375" customWidth="1"/>
    <col min="18" max="18" style="11773" width="10.57421875" customWidth="1"/>
    <col min="19" max="19" style="11649" width="34.7109375" customWidth="1"/>
    <col min="20" max="20" style="11649" width="9.421875" customWidth="1"/>
    <col min="21" max="21" style="12242" width="9.140625"/>
    <col min="22" max="26" style="11649" width="9.140625"/>
    <col min="27" max="31" style="12041" width="9.140625"/>
  </cols>
  <sheetData>
    <row s="11649" customFormat="1" customHeight="1" ht="11.25" hidden="1">
      <c r="A1" s="1118"/>
      <c r="C1" s="1773"/>
      <c r="D1" s="667"/>
      <c r="H1" s="1292">
        <v>4</v>
      </c>
      <c r="I1" s="1292">
        <v>4</v>
      </c>
      <c r="L1" s="1773"/>
      <c r="M1" s="1773"/>
      <c r="R1" s="1773"/>
    </row>
    <row s="11649" customFormat="1" customHeight="1" ht="22.5" hidden="1">
      <c r="A2" s="1118"/>
      <c r="C2" s="1773"/>
      <c r="D2" s="668"/>
      <c r="E2" s="1774"/>
      <c r="F2" s="670"/>
      <c r="G2" s="1776" t="s">
        <v>635</v>
      </c>
      <c r="H2" s="671"/>
      <c r="I2" s="671"/>
      <c r="J2" s="672" t="s">
        <v>711</v>
      </c>
      <c r="K2" s="673"/>
      <c r="L2" s="1773"/>
      <c r="M2" s="1773"/>
      <c r="R2" s="1773"/>
      <c r="U2" s="674"/>
      <c r="AA2" s="1769"/>
      <c r="AB2" s="1769"/>
      <c r="AC2" s="1769"/>
      <c r="AD2" s="1769"/>
      <c r="AE2" s="1769"/>
    </row>
    <row customHeight="1" ht="11.25" hidden="1"/>
    <row s="12041"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712</v>
      </c>
      <c r="F6" s="2337"/>
      <c r="G6" s="2337"/>
      <c r="H6" s="2337"/>
      <c r="I6" s="2337"/>
      <c r="J6" s="686"/>
    </row>
    <row customHeight="1" ht="24">
      <c r="E7" s="2288" t="str">
        <f>IF(org=0,"Не определено",org)</f>
        <v>АО "ДГК"</v>
      </c>
      <c r="F7" s="2288"/>
      <c r="G7" s="2288"/>
      <c r="H7" s="2288"/>
      <c r="I7" s="2288"/>
    </row>
    <row customHeight="1" ht="11.25">
      <c r="E8" s="1267"/>
      <c r="F8" s="1267"/>
      <c r="G8" s="1267"/>
      <c r="H8" s="1267"/>
      <c r="I8" s="1267"/>
    </row>
    <row s="11773" customFormat="1" customHeight="1" ht="0.75">
      <c r="A9" s="1299"/>
      <c r="D9" s="1779"/>
      <c r="H9" s="1019"/>
      <c r="I9" s="1019" t="s">
        <v>171</v>
      </c>
    </row>
    <row customHeight="1" ht="11.25">
      <c r="E10" s="841"/>
      <c r="F10" s="2396" t="s">
        <v>161</v>
      </c>
      <c r="G10" s="2397"/>
      <c r="H10" s="1689" t="str">
        <f>IF(H9="","",INDEX(DIFFERENTIATION_UNMERGE_VD,MATCH(H9,DIFFERENTIATION_ID_DIFF,0)))</f>
        <v/>
      </c>
      <c r="I10" s="1689"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67"/>
    </row>
    <row customHeight="1" ht="11.25">
      <c r="E11" s="841"/>
      <c r="F11" s="2396" t="s">
        <v>647</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648</v>
      </c>
      <c r="G12" s="2415"/>
      <c r="H12" s="1800" t="str">
        <f>IF(H9="","",INDEX(DIFFERENTIATION_UNMERGE_SYSTEM,MATCH(H9,DIFFERENTIATION_ID_DIFF,0)))</f>
        <v/>
      </c>
      <c r="I12" s="1800" t="str">
        <f>IF(I9="","",INDEX(DIFFERENTIATION_UNMERGE_SYSTEM,MATCH(I9,DIFFERENTIATION_ID_DIFF,0)))</f>
        <v>Амурская ТЭЦ-1 (г. Амурск)</v>
      </c>
      <c r="J12" s="2167"/>
    </row>
    <row customHeight="1" ht="11.25">
      <c r="E13" s="2398" t="s">
        <v>378</v>
      </c>
      <c r="F13" s="2399"/>
      <c r="G13" s="2399"/>
      <c r="H13" s="1688"/>
      <c r="I13" s="1688"/>
      <c r="J13" s="2167"/>
    </row>
    <row customHeight="1" ht="22.5">
      <c r="E14" s="1776" t="s">
        <v>85</v>
      </c>
      <c r="F14" s="1771" t="s">
        <v>380</v>
      </c>
      <c r="G14" s="1771" t="s">
        <v>649</v>
      </c>
      <c r="H14" s="1771" t="s">
        <v>381</v>
      </c>
      <c r="I14" s="1771" t="s">
        <v>381</v>
      </c>
      <c r="J14" s="2167"/>
    </row>
    <row customHeight="1" ht="18.75">
      <c r="D15" s="1775"/>
      <c r="E15" s="1767" t="s">
        <v>165</v>
      </c>
      <c r="F15" s="837" t="s">
        <v>713</v>
      </c>
      <c r="G15" s="1783" t="s">
        <v>635</v>
      </c>
      <c r="H15" s="687"/>
      <c r="I15" s="687"/>
      <c r="J15" s="419" t="s">
        <v>714</v>
      </c>
      <c r="K15" s="673" t="s">
        <v>715</v>
      </c>
    </row>
    <row customHeight="1" ht="33.75">
      <c r="D16" s="1775"/>
      <c r="E16" s="1767" t="s">
        <v>100</v>
      </c>
      <c r="F16" s="837" t="s">
        <v>716</v>
      </c>
      <c r="G16" s="1783" t="s">
        <v>635</v>
      </c>
      <c r="H16" s="688">
        <f>SUM(H17,H20:H32)</f>
        <v>0</v>
      </c>
      <c r="I16" s="688">
        <f>SUM(I17,I20:I32)</f>
        <v>0</v>
      </c>
      <c r="J16" s="419" t="s">
        <v>717</v>
      </c>
      <c r="K16" s="673" t="s">
        <v>715</v>
      </c>
    </row>
    <row customHeight="1" ht="18.75">
      <c r="D17" s="1775"/>
      <c r="E17" s="1801" t="s">
        <v>718</v>
      </c>
      <c r="F17" s="1085" t="s">
        <v>719</v>
      </c>
      <c r="G17" s="1780" t="s">
        <v>635</v>
      </c>
      <c r="H17" s="687"/>
      <c r="I17" s="687"/>
      <c r="J17" s="419" t="s">
        <v>720</v>
      </c>
      <c r="K17" s="673"/>
    </row>
    <row customHeight="1" ht="22.5">
      <c r="D18" s="1775"/>
      <c r="E18" s="1801" t="s">
        <v>721</v>
      </c>
      <c r="F18" s="1787" t="s">
        <v>722</v>
      </c>
      <c r="G18" s="1780" t="s">
        <v>635</v>
      </c>
      <c r="H18" s="687"/>
      <c r="I18" s="687"/>
      <c r="J18" s="419" t="s">
        <v>723</v>
      </c>
      <c r="K18" s="673"/>
    </row>
    <row customHeight="1" ht="33.75">
      <c r="D19" s="1775"/>
      <c r="E19" s="1801" t="s">
        <v>724</v>
      </c>
      <c r="F19" s="1787" t="s">
        <v>725</v>
      </c>
      <c r="G19" s="1780" t="s">
        <v>635</v>
      </c>
      <c r="H19" s="687"/>
      <c r="I19" s="687"/>
      <c r="J19" s="419"/>
      <c r="K19" s="673"/>
    </row>
    <row customHeight="1" ht="18.75">
      <c r="D20" s="1775"/>
      <c r="E20" s="1801" t="s">
        <v>385</v>
      </c>
      <c r="F20" s="1085" t="s">
        <v>726</v>
      </c>
      <c r="G20" s="1780" t="s">
        <v>635</v>
      </c>
      <c r="H20" s="687"/>
      <c r="I20" s="687"/>
      <c r="J20" s="419" t="s">
        <v>727</v>
      </c>
      <c r="K20" s="673"/>
    </row>
    <row customHeight="1" ht="18.75">
      <c r="D21" s="1775"/>
      <c r="E21" s="1801" t="s">
        <v>728</v>
      </c>
      <c r="F21" s="1787" t="s">
        <v>729</v>
      </c>
      <c r="G21" s="1780" t="s">
        <v>635</v>
      </c>
      <c r="H21" s="687"/>
      <c r="I21" s="687"/>
      <c r="J21" s="419"/>
      <c r="K21" s="673"/>
    </row>
    <row customHeight="1" ht="18.75">
      <c r="D22" s="1775"/>
      <c r="E22" s="1801" t="s">
        <v>730</v>
      </c>
      <c r="F22" s="1787" t="s">
        <v>731</v>
      </c>
      <c r="G22" s="1780" t="s">
        <v>635</v>
      </c>
      <c r="H22" s="687"/>
      <c r="I22" s="687"/>
      <c r="J22" s="419"/>
      <c r="K22" s="673"/>
    </row>
    <row customHeight="1" ht="22.5">
      <c r="D23" s="1775"/>
      <c r="E23" s="1801" t="s">
        <v>388</v>
      </c>
      <c r="F23" s="1085" t="s">
        <v>732</v>
      </c>
      <c r="G23" s="1780" t="s">
        <v>635</v>
      </c>
      <c r="H23" s="687"/>
      <c r="I23" s="687"/>
      <c r="J23" s="419" t="s">
        <v>733</v>
      </c>
      <c r="K23" s="673"/>
    </row>
    <row customHeight="1" ht="18.75">
      <c r="D24" s="1775"/>
      <c r="E24" s="1801" t="s">
        <v>734</v>
      </c>
      <c r="F24" s="1787" t="s">
        <v>735</v>
      </c>
      <c r="G24" s="1780" t="s">
        <v>635</v>
      </c>
      <c r="H24" s="687"/>
      <c r="I24" s="687"/>
      <c r="J24" s="419"/>
      <c r="K24" s="673"/>
    </row>
    <row customHeight="1" ht="33.75">
      <c r="D25" s="1775"/>
      <c r="E25" s="1801" t="s">
        <v>736</v>
      </c>
      <c r="F25" s="1787" t="s">
        <v>737</v>
      </c>
      <c r="G25" s="1780" t="s">
        <v>635</v>
      </c>
      <c r="H25" s="687"/>
      <c r="I25" s="687"/>
      <c r="J25" s="419"/>
      <c r="K25" s="673"/>
    </row>
    <row customHeight="1" ht="22.5">
      <c r="D26" s="1775"/>
      <c r="E26" s="1801" t="s">
        <v>738</v>
      </c>
      <c r="F26" s="1085" t="s">
        <v>739</v>
      </c>
      <c r="G26" s="1780" t="s">
        <v>635</v>
      </c>
      <c r="H26" s="687"/>
      <c r="I26" s="687"/>
      <c r="J26" s="419" t="s">
        <v>740</v>
      </c>
      <c r="K26" s="673"/>
    </row>
    <row customHeight="1" ht="18.75">
      <c r="D27" s="1775"/>
      <c r="E27" s="1812" t="s">
        <v>741</v>
      </c>
      <c r="F27" s="1787" t="s">
        <v>742</v>
      </c>
      <c r="G27" s="1791" t="s">
        <v>635</v>
      </c>
      <c r="H27" s="1813"/>
      <c r="I27" s="1813"/>
      <c r="J27" s="419"/>
      <c r="K27" s="673"/>
    </row>
    <row customHeight="1" ht="18.75">
      <c r="D28" s="1775"/>
      <c r="E28" s="1812" t="s">
        <v>743</v>
      </c>
      <c r="F28" s="1787" t="s">
        <v>744</v>
      </c>
      <c r="G28" s="1791" t="s">
        <v>635</v>
      </c>
      <c r="H28" s="1813"/>
      <c r="I28" s="1813"/>
      <c r="J28" s="419"/>
      <c r="K28" s="673"/>
    </row>
    <row customHeight="1" ht="18.75">
      <c r="D29" s="1775"/>
      <c r="E29" s="1812" t="s">
        <v>745</v>
      </c>
      <c r="F29" s="1085" t="s">
        <v>746</v>
      </c>
      <c r="G29" s="1791" t="s">
        <v>635</v>
      </c>
      <c r="H29" s="1813"/>
      <c r="I29" s="1813"/>
      <c r="J29" s="419"/>
      <c r="K29" s="673"/>
    </row>
    <row customHeight="1" ht="18.75">
      <c r="D30" s="1775"/>
      <c r="E30" s="1812" t="s">
        <v>747</v>
      </c>
      <c r="F30" s="1085" t="s">
        <v>748</v>
      </c>
      <c r="G30" s="1791" t="s">
        <v>635</v>
      </c>
      <c r="H30" s="1813"/>
      <c r="I30" s="1813"/>
      <c r="J30" s="419"/>
      <c r="K30" s="673"/>
    </row>
    <row customHeight="1" ht="18.75">
      <c r="D31" s="1775"/>
      <c r="E31" s="1812" t="s">
        <v>749</v>
      </c>
      <c r="F31" s="1085" t="s">
        <v>750</v>
      </c>
      <c r="G31" s="1791" t="s">
        <v>635</v>
      </c>
      <c r="H31" s="1813"/>
      <c r="I31" s="1813"/>
      <c r="J31" s="419"/>
      <c r="K31" s="673"/>
    </row>
    <row s="11649" customFormat="1" customHeight="1" ht="22.5">
      <c r="A32" s="1118"/>
      <c r="C32" s="1773"/>
      <c r="D32" s="1775"/>
      <c r="E32" s="1812" t="s">
        <v>751</v>
      </c>
      <c r="F32" s="1085" t="s">
        <v>752</v>
      </c>
      <c r="G32" s="1781" t="s">
        <v>635</v>
      </c>
      <c r="H32" s="709">
        <f>SUM(H33:H34)</f>
        <v>0</v>
      </c>
      <c r="I32" s="709">
        <f>SUM(I33:I34)</f>
        <v>0</v>
      </c>
      <c r="J32" s="419" t="s">
        <v>753</v>
      </c>
      <c r="K32" s="673"/>
      <c r="L32" s="1773"/>
      <c r="M32" s="1773"/>
      <c r="R32" s="1773"/>
      <c r="U32" s="674"/>
      <c r="AA32" s="1769"/>
      <c r="AB32" s="1769"/>
      <c r="AC32" s="1769"/>
      <c r="AD32" s="1769"/>
      <c r="AE32" s="1769"/>
    </row>
    <row s="11773" customFormat="1" customHeight="1" ht="0.75">
      <c r="A33" s="1299"/>
      <c r="D33" s="678"/>
      <c r="E33" s="932" t="str">
        <f>E32&amp;".0"</f>
        <v>2.8.0</v>
      </c>
      <c r="F33" s="1122"/>
      <c r="G33" s="681"/>
      <c r="H33" s="1123"/>
      <c r="I33" s="1123"/>
      <c r="J33" s="1124"/>
    </row>
    <row s="11649" customFormat="1" customHeight="1" ht="18.75">
      <c r="A34" s="1118"/>
      <c r="C34" s="1773"/>
      <c r="D34" s="1770"/>
      <c r="E34" s="700"/>
      <c r="F34" s="1803" t="s">
        <v>660</v>
      </c>
      <c r="G34" s="702"/>
      <c r="H34" s="703"/>
      <c r="I34" s="703"/>
      <c r="J34" s="431" t="s">
        <v>754</v>
      </c>
      <c r="K34" s="673"/>
      <c r="L34" s="1773"/>
      <c r="M34" s="1773"/>
      <c r="R34" s="1773"/>
      <c r="U34" s="674"/>
      <c r="AA34" s="1769"/>
      <c r="AB34" s="1769"/>
      <c r="AC34" s="1769"/>
      <c r="AD34" s="1769"/>
      <c r="AE34" s="1769"/>
    </row>
    <row customHeight="1" ht="56.25">
      <c r="D35" s="1775"/>
      <c r="E35" s="1812" t="s">
        <v>755</v>
      </c>
      <c r="F35" s="1085" t="s">
        <v>756</v>
      </c>
      <c r="G35" s="1791" t="s">
        <v>635</v>
      </c>
      <c r="H35" s="1813"/>
      <c r="I35" s="1813"/>
      <c r="J35" s="419" t="s">
        <v>757</v>
      </c>
      <c r="K35" s="673"/>
    </row>
    <row s="11649" customFormat="1" customHeight="1" ht="22.5">
      <c r="A36" s="1120" t="s">
        <v>661</v>
      </c>
      <c r="C36" s="1773"/>
      <c r="D36" s="1775"/>
      <c r="E36" s="1801" t="s">
        <v>87</v>
      </c>
      <c r="F36" s="837" t="s">
        <v>758</v>
      </c>
      <c r="G36" s="1780" t="s">
        <v>635</v>
      </c>
      <c r="H36" s="687"/>
      <c r="I36" s="687"/>
      <c r="J36" s="419" t="s">
        <v>759</v>
      </c>
      <c r="K36" s="673"/>
      <c r="L36" s="1773"/>
      <c r="M36" s="1773"/>
      <c r="R36" s="1773"/>
      <c r="U36" s="674"/>
      <c r="AA36" s="1769"/>
      <c r="AB36" s="1769"/>
      <c r="AC36" s="1769"/>
      <c r="AD36" s="1769"/>
      <c r="AE36" s="1769"/>
    </row>
    <row s="11649" customFormat="1" customHeight="1" ht="22.5">
      <c r="A37" s="1120"/>
      <c r="C37" s="1773"/>
      <c r="D37" s="1775"/>
      <c r="E37" s="1801" t="s">
        <v>404</v>
      </c>
      <c r="F37" s="1085" t="s">
        <v>760</v>
      </c>
      <c r="G37" s="1791"/>
      <c r="H37" s="687"/>
      <c r="I37" s="687"/>
      <c r="J37" s="419"/>
      <c r="K37" s="673"/>
      <c r="L37" s="1773"/>
      <c r="M37" s="1773"/>
      <c r="R37" s="1773"/>
      <c r="U37" s="674"/>
      <c r="AA37" s="1769"/>
      <c r="AB37" s="1769"/>
      <c r="AC37" s="1769"/>
      <c r="AD37" s="1769"/>
      <c r="AE37" s="1769"/>
    </row>
    <row s="11649" customFormat="1" customHeight="1" ht="18.75">
      <c r="A38" s="1118"/>
      <c r="C38" s="1773"/>
      <c r="D38" s="705"/>
      <c r="E38" s="1801" t="s">
        <v>88</v>
      </c>
      <c r="F38" s="837" t="s">
        <v>761</v>
      </c>
      <c r="G38" s="1780" t="s">
        <v>635</v>
      </c>
      <c r="H38" s="687"/>
      <c r="I38" s="687"/>
      <c r="J38" s="419" t="s">
        <v>762</v>
      </c>
      <c r="K38" s="673"/>
      <c r="L38" s="1773"/>
      <c r="M38" s="1773"/>
      <c r="R38" s="1773"/>
      <c r="U38" s="674"/>
      <c r="AA38" s="1769"/>
      <c r="AB38" s="1769"/>
      <c r="AC38" s="1769"/>
      <c r="AD38" s="1769"/>
      <c r="AE38" s="1769"/>
    </row>
    <row s="11649" customFormat="1" customHeight="1" ht="22.5">
      <c r="A39" s="1118"/>
      <c r="C39" s="1773"/>
      <c r="D39" s="705"/>
      <c r="E39" s="1801" t="s">
        <v>763</v>
      </c>
      <c r="F39" s="1085" t="s">
        <v>764</v>
      </c>
      <c r="G39" s="1791" t="s">
        <v>635</v>
      </c>
      <c r="H39" s="687"/>
      <c r="I39" s="687"/>
      <c r="J39" s="419" t="s">
        <v>765</v>
      </c>
      <c r="K39" s="673"/>
      <c r="L39" s="1773"/>
      <c r="M39" s="1773"/>
      <c r="R39" s="1773"/>
      <c r="U39" s="674"/>
      <c r="AA39" s="1769"/>
      <c r="AB39" s="1769"/>
      <c r="AC39" s="1769"/>
      <c r="AD39" s="1769"/>
      <c r="AE39" s="1769"/>
    </row>
    <row s="11649" customFormat="1" customHeight="1" ht="22.5">
      <c r="A40" s="1118"/>
      <c r="C40" s="1773"/>
      <c r="D40" s="1775"/>
      <c r="E40" s="1801" t="s">
        <v>766</v>
      </c>
      <c r="F40" s="1787" t="s">
        <v>767</v>
      </c>
      <c r="G40" s="1780" t="s">
        <v>635</v>
      </c>
      <c r="H40" s="687"/>
      <c r="I40" s="687"/>
      <c r="J40" s="419" t="s">
        <v>768</v>
      </c>
      <c r="K40" s="673"/>
      <c r="L40" s="1773"/>
      <c r="M40" s="1773"/>
      <c r="R40" s="1773"/>
      <c r="U40" s="674"/>
      <c r="AA40" s="1769"/>
      <c r="AB40" s="1769"/>
      <c r="AC40" s="1769"/>
      <c r="AD40" s="1769"/>
      <c r="AE40" s="1769"/>
    </row>
    <row s="11649" customFormat="1" customHeight="1" ht="22.5">
      <c r="A41" s="1118"/>
      <c r="C41" s="1773"/>
      <c r="D41" s="1775"/>
      <c r="E41" s="1801" t="s">
        <v>769</v>
      </c>
      <c r="F41" s="1787" t="s">
        <v>770</v>
      </c>
      <c r="G41" s="1780" t="s">
        <v>635</v>
      </c>
      <c r="H41" s="687"/>
      <c r="I41" s="687"/>
      <c r="J41" s="419" t="s">
        <v>771</v>
      </c>
      <c r="K41" s="673"/>
      <c r="L41" s="1773"/>
      <c r="M41" s="1773"/>
      <c r="R41" s="1773"/>
      <c r="U41" s="674"/>
      <c r="AA41" s="1769"/>
      <c r="AB41" s="1769"/>
      <c r="AC41" s="1769"/>
      <c r="AD41" s="1769"/>
      <c r="AE41" s="1769"/>
    </row>
    <row s="11649" customFormat="1" customHeight="1" ht="22.5">
      <c r="A42" s="1118"/>
      <c r="C42" s="1773"/>
      <c r="D42" s="1775"/>
      <c r="E42" s="1801" t="s">
        <v>772</v>
      </c>
      <c r="F42" s="1787" t="s">
        <v>773</v>
      </c>
      <c r="G42" s="1780" t="s">
        <v>635</v>
      </c>
      <c r="H42" s="687"/>
      <c r="I42" s="687"/>
      <c r="J42" s="419" t="s">
        <v>774</v>
      </c>
      <c r="K42" s="673"/>
      <c r="L42" s="1773"/>
      <c r="M42" s="1773"/>
      <c r="R42" s="1773"/>
      <c r="U42" s="674"/>
      <c r="AA42" s="1769"/>
      <c r="AB42" s="1769"/>
      <c r="AC42" s="1769"/>
      <c r="AD42" s="1769"/>
      <c r="AE42" s="1769"/>
    </row>
    <row s="11649" customFormat="1" customHeight="1" ht="33.75">
      <c r="A43" s="1118"/>
      <c r="C43" s="1773" t="s">
        <v>671</v>
      </c>
      <c r="D43" s="1775"/>
      <c r="E43" s="1801" t="s">
        <v>119</v>
      </c>
      <c r="F43" s="837" t="s">
        <v>775</v>
      </c>
      <c r="G43" s="1783" t="s">
        <v>776</v>
      </c>
      <c r="H43" s="531"/>
      <c r="I43" s="531"/>
      <c r="J43" s="419" t="s">
        <v>777</v>
      </c>
      <c r="K43" s="673"/>
      <c r="L43" s="1773"/>
      <c r="M43" s="1773"/>
      <c r="R43" s="1773"/>
      <c r="U43" s="674"/>
      <c r="AA43" s="1769"/>
      <c r="AB43" s="1769"/>
      <c r="AC43" s="1769"/>
      <c r="AD43" s="1769"/>
      <c r="AE43" s="1769"/>
    </row>
    <row s="11649" customFormat="1" customHeight="1" ht="22.5">
      <c r="A44" s="1118"/>
      <c r="C44" s="1773"/>
      <c r="D44" s="1775"/>
      <c r="E44" s="1801" t="s">
        <v>89</v>
      </c>
      <c r="F44" s="837" t="s">
        <v>778</v>
      </c>
      <c r="G44" s="1780" t="s">
        <v>779</v>
      </c>
      <c r="H44" s="675"/>
      <c r="I44" s="675"/>
      <c r="J44" s="419" t="s">
        <v>780</v>
      </c>
      <c r="K44" s="673"/>
      <c r="L44" s="1773"/>
      <c r="M44" s="1773"/>
      <c r="R44" s="1773"/>
      <c r="U44" s="674"/>
      <c r="AA44" s="1769"/>
      <c r="AB44" s="1769"/>
      <c r="AC44" s="1769"/>
      <c r="AD44" s="1769"/>
      <c r="AE44" s="1769"/>
    </row>
    <row s="11649" customFormat="1" customHeight="1" ht="22.5">
      <c r="A45" s="1118"/>
      <c r="C45" s="1773"/>
      <c r="D45" s="1775"/>
      <c r="E45" s="1801" t="s">
        <v>90</v>
      </c>
      <c r="F45" s="837" t="s">
        <v>781</v>
      </c>
      <c r="G45" s="1791" t="s">
        <v>782</v>
      </c>
      <c r="H45" s="675"/>
      <c r="I45" s="675"/>
      <c r="J45" s="419" t="s">
        <v>783</v>
      </c>
      <c r="K45" s="673"/>
      <c r="L45" s="1773"/>
      <c r="M45" s="1773"/>
      <c r="R45" s="1773"/>
      <c r="U45" s="674"/>
      <c r="AA45" s="1769"/>
      <c r="AB45" s="1769"/>
      <c r="AC45" s="1769"/>
      <c r="AD45" s="1769"/>
      <c r="AE45" s="1769"/>
    </row>
    <row s="11649" customFormat="1" customHeight="1" ht="18.75">
      <c r="A46" s="1118"/>
      <c r="C46" s="1773"/>
      <c r="D46" s="1775"/>
      <c r="E46" s="1801" t="s">
        <v>140</v>
      </c>
      <c r="F46" s="837" t="s">
        <v>784</v>
      </c>
      <c r="G46" s="1780" t="s">
        <v>673</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770"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770"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770"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770"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770"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770"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770"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770"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770"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770"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770"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770"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770"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770"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770"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770"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770"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770"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770"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770"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770"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770"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770"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770"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770"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770"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770"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770"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770"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770"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770"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770"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770"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770"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770"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770"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770"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770"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770"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770"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770"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770"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770"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770"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770"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770"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770"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770"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770"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770"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770"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770"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770"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770"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770"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770"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770"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770"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770"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770"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770"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770"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770"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770"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770"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770"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770"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770"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770"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770"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770"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770"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770"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770"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770"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770"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770"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770"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770"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770"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770"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770"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770"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770"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770"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770"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770"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770"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770"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770"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770"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770"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770"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770"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770"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770"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770"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770"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770"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770"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770"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770"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770"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770"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770"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770"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770"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770"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770"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770"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770"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770"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770"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770"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770"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770"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770"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770"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770"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770"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770"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770"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770"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770"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770"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770"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770"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770"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770"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770"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770"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770"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770"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770"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770"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770"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770"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770"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770"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770"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770"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770"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770"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770"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770"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770"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770"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770"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770"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770"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770"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770"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770"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770"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770"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770"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513A4-CFCC-1F26-B216-9E674EDC2B5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2239" width="10.7109375" hidden="1" customWidth="1"/>
    <col min="2" max="2" style="11649" width="16.8515625" hidden="1" customWidth="1"/>
    <col min="3" max="3" style="11773" width="5.57421875" hidden="1" customWidth="1"/>
    <col min="4" max="4" style="12240" width="3.7109375" customWidth="1"/>
    <col min="5" max="5" style="11775" width="7.7109375" customWidth="1"/>
    <col min="6" max="6" style="11775" width="54.57421875" customWidth="1"/>
    <col min="7" max="7" style="11775" width="10.421875" customWidth="1"/>
    <col min="8" max="8" style="11775" width="40.7109375" hidden="1" customWidth="1"/>
    <col min="9" max="9" style="11775" width="40.7109375" customWidth="1"/>
    <col min="10" max="10" style="11775" width="102.8515625" customWidth="1"/>
    <col min="11" max="11" style="11649" width="9.7109375" customWidth="1"/>
    <col min="12" max="12" style="11773" width="5.28125" customWidth="1"/>
    <col min="13" max="13" style="11773" width="3.7109375" customWidth="1"/>
    <col min="14" max="17" style="11649" width="3.7109375" customWidth="1"/>
    <col min="18" max="18" style="11773" width="10.57421875" customWidth="1"/>
    <col min="19" max="19" style="11649" width="34.7109375" customWidth="1"/>
    <col min="20" max="20" style="11649" width="9.421875" customWidth="1"/>
    <col min="21" max="21" style="12242" width="9.140625"/>
    <col min="22" max="26" style="11649" width="9.140625"/>
    <col min="27" max="31" style="12041" width="9.140625"/>
  </cols>
  <sheetData>
    <row s="11649" customFormat="1" customHeight="1" ht="11.25" hidden="1">
      <c r="A1" s="1118"/>
      <c r="C1" s="1773"/>
      <c r="D1" s="667"/>
      <c r="H1" s="1292">
        <v>4</v>
      </c>
      <c r="I1" s="1292">
        <v>4</v>
      </c>
      <c r="L1" s="1773"/>
      <c r="M1" s="1773"/>
      <c r="R1" s="1773"/>
    </row>
    <row s="11649" customFormat="1" customHeight="1" ht="22.5" hidden="1">
      <c r="A2" s="1118"/>
      <c r="C2" s="1773"/>
      <c r="D2" s="668"/>
      <c r="E2" s="1795"/>
      <c r="F2" s="670"/>
      <c r="G2" s="1794" t="s">
        <v>635</v>
      </c>
      <c r="H2" s="671"/>
      <c r="I2" s="671"/>
      <c r="J2" s="672" t="s">
        <v>638</v>
      </c>
      <c r="K2" s="673"/>
      <c r="L2" s="1773"/>
      <c r="M2" s="1773"/>
      <c r="R2" s="1773"/>
      <c r="U2" s="674"/>
      <c r="AA2" s="1769"/>
      <c r="AB2" s="1769"/>
      <c r="AC2" s="1769"/>
      <c r="AD2" s="1769"/>
      <c r="AE2" s="1769"/>
    </row>
    <row customHeight="1" ht="11.25" hidden="1"/>
    <row s="12041"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785</v>
      </c>
      <c r="F6" s="2287"/>
      <c r="G6" s="2287"/>
      <c r="H6" s="2287"/>
      <c r="I6" s="2287"/>
      <c r="J6" s="686"/>
    </row>
    <row customHeight="1" ht="24">
      <c r="E7" s="2288" t="str">
        <f>IF(org=0,"Не определено",org)</f>
        <v>АО "ДГК"</v>
      </c>
      <c r="F7" s="2288"/>
      <c r="G7" s="2288"/>
      <c r="H7" s="2288"/>
      <c r="I7" s="2288"/>
    </row>
    <row customHeight="1" ht="11.25">
      <c r="E8" s="1267"/>
      <c r="F8" s="1267"/>
      <c r="G8" s="1267"/>
      <c r="H8" s="1267"/>
      <c r="I8" s="1267"/>
    </row>
    <row s="11773" customFormat="1" customHeight="1" ht="0.75">
      <c r="A9" s="1299"/>
      <c r="D9" s="1779"/>
      <c r="H9" s="1019"/>
      <c r="I9" s="1019" t="s">
        <v>171</v>
      </c>
    </row>
    <row customHeight="1" ht="11.25">
      <c r="E10" s="841"/>
      <c r="F10" s="2396" t="s">
        <v>161</v>
      </c>
      <c r="G10" s="2397"/>
      <c r="H10" s="1796" t="str">
        <f>IF(H9="","",INDEX(DIFFERENTIATION_UNMERGE_VD,MATCH(H9,DIFFERENTIATION_ID_DIFF,0)))</f>
        <v/>
      </c>
      <c r="I10" s="1796"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67"/>
    </row>
    <row customHeight="1" ht="11.25">
      <c r="E11" s="841"/>
      <c r="F11" s="2396" t="s">
        <v>647</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648</v>
      </c>
      <c r="G12" s="2415"/>
      <c r="H12" s="1800" t="str">
        <f>IF(H9="","",INDEX(DIFFERENTIATION_UNMERGE_SYSTEM,MATCH(H9,DIFFERENTIATION_ID_DIFF,0)))</f>
        <v/>
      </c>
      <c r="I12" s="1800" t="str">
        <f>IF(I9="","",INDEX(DIFFERENTIATION_UNMERGE_SYSTEM,MATCH(I9,DIFFERENTIATION_ID_DIFF,0)))</f>
        <v>Амурская ТЭЦ-1 (г. Амурск)</v>
      </c>
      <c r="J12" s="2167"/>
    </row>
    <row customHeight="1" ht="11.25">
      <c r="E13" s="2398" t="s">
        <v>378</v>
      </c>
      <c r="F13" s="2399"/>
      <c r="G13" s="2399"/>
      <c r="H13" s="1793"/>
      <c r="I13" s="1793"/>
      <c r="J13" s="2167"/>
    </row>
    <row customHeight="1" ht="22.5">
      <c r="E14" s="1794" t="s">
        <v>85</v>
      </c>
      <c r="F14" s="1797" t="s">
        <v>380</v>
      </c>
      <c r="G14" s="1797" t="s">
        <v>649</v>
      </c>
      <c r="H14" s="1797" t="s">
        <v>381</v>
      </c>
      <c r="I14" s="1797" t="s">
        <v>381</v>
      </c>
      <c r="J14" s="2167"/>
    </row>
    <row customHeight="1" ht="18.75">
      <c r="D15" s="1775"/>
      <c r="E15" s="1767" t="s">
        <v>165</v>
      </c>
      <c r="F15" s="837" t="s">
        <v>786</v>
      </c>
      <c r="G15" s="1794" t="s">
        <v>635</v>
      </c>
      <c r="H15" s="687"/>
      <c r="I15" s="687"/>
      <c r="J15" s="419" t="s">
        <v>787</v>
      </c>
      <c r="K15" s="673" t="s">
        <v>715</v>
      </c>
    </row>
    <row customHeight="1" ht="22.5">
      <c r="D16" s="1775"/>
      <c r="E16" s="1767" t="s">
        <v>100</v>
      </c>
      <c r="F16" s="1802" t="s">
        <v>788</v>
      </c>
      <c r="G16" s="1794" t="s">
        <v>635</v>
      </c>
      <c r="H16" s="688">
        <f>SUM(H17,H20:H27)</f>
        <v>0</v>
      </c>
      <c r="I16" s="688">
        <f>SUM(I17,I20:I27)</f>
        <v>0</v>
      </c>
      <c r="J16" s="419" t="s">
        <v>789</v>
      </c>
      <c r="K16" s="673" t="s">
        <v>715</v>
      </c>
    </row>
    <row customHeight="1" ht="33.75">
      <c r="D17" s="1775"/>
      <c r="E17" s="1801" t="s">
        <v>718</v>
      </c>
      <c r="F17" s="1804" t="s">
        <v>790</v>
      </c>
      <c r="G17" s="1791" t="s">
        <v>635</v>
      </c>
      <c r="H17" s="687"/>
      <c r="I17" s="687"/>
      <c r="J17" s="419" t="s">
        <v>791</v>
      </c>
      <c r="K17" s="673"/>
    </row>
    <row customHeight="1" ht="18.75">
      <c r="D18" s="1775"/>
      <c r="E18" s="1801" t="s">
        <v>721</v>
      </c>
      <c r="F18" s="1805" t="s">
        <v>792</v>
      </c>
      <c r="G18" s="1791" t="s">
        <v>635</v>
      </c>
      <c r="H18" s="687"/>
      <c r="I18" s="687"/>
      <c r="J18" s="419"/>
      <c r="K18" s="673"/>
    </row>
    <row customHeight="1" ht="22.5">
      <c r="D19" s="1775"/>
      <c r="E19" s="1801" t="s">
        <v>724</v>
      </c>
      <c r="F19" s="1805" t="s">
        <v>793</v>
      </c>
      <c r="G19" s="1791" t="s">
        <v>635</v>
      </c>
      <c r="H19" s="687"/>
      <c r="I19" s="687"/>
      <c r="J19" s="419"/>
      <c r="K19" s="673"/>
    </row>
    <row customHeight="1" ht="33.75">
      <c r="D20" s="1775"/>
      <c r="E20" s="1801" t="s">
        <v>385</v>
      </c>
      <c r="F20" s="1804" t="s">
        <v>794</v>
      </c>
      <c r="G20" s="1791" t="s">
        <v>635</v>
      </c>
      <c r="H20" s="687"/>
      <c r="I20" s="687"/>
      <c r="J20" s="419"/>
      <c r="K20" s="673"/>
    </row>
    <row customHeight="1" ht="33.75">
      <c r="D21" s="1775"/>
      <c r="E21" s="1801" t="s">
        <v>388</v>
      </c>
      <c r="F21" s="1804" t="s">
        <v>795</v>
      </c>
      <c r="G21" s="1791" t="s">
        <v>635</v>
      </c>
      <c r="H21" s="687"/>
      <c r="I21" s="687"/>
      <c r="J21" s="419"/>
      <c r="K21" s="673"/>
    </row>
    <row customHeight="1" ht="56.25">
      <c r="D22" s="1775"/>
      <c r="E22" s="1801" t="s">
        <v>738</v>
      </c>
      <c r="F22" s="1804" t="s">
        <v>796</v>
      </c>
      <c r="G22" s="1791" t="s">
        <v>635</v>
      </c>
      <c r="H22" s="687"/>
      <c r="I22" s="687"/>
      <c r="J22" s="419"/>
      <c r="K22" s="673"/>
    </row>
    <row customHeight="1" ht="33.75">
      <c r="D23" s="1775"/>
      <c r="E23" s="1801" t="s">
        <v>745</v>
      </c>
      <c r="F23" s="1804" t="s">
        <v>797</v>
      </c>
      <c r="G23" s="1791" t="s">
        <v>635</v>
      </c>
      <c r="H23" s="687"/>
      <c r="I23" s="687"/>
      <c r="J23" s="419"/>
      <c r="K23" s="673"/>
    </row>
    <row customHeight="1" ht="33.75">
      <c r="D24" s="1775"/>
      <c r="E24" s="1801" t="s">
        <v>747</v>
      </c>
      <c r="F24" s="1804" t="s">
        <v>798</v>
      </c>
      <c r="G24" s="1791" t="s">
        <v>635</v>
      </c>
      <c r="H24" s="687"/>
      <c r="I24" s="687"/>
      <c r="J24" s="419"/>
      <c r="K24" s="673"/>
    </row>
    <row customHeight="1" ht="22.5">
      <c r="D25" s="1775"/>
      <c r="E25" s="1801" t="s">
        <v>749</v>
      </c>
      <c r="F25" s="1804" t="s">
        <v>799</v>
      </c>
      <c r="G25" s="1791" t="s">
        <v>635</v>
      </c>
      <c r="H25" s="687"/>
      <c r="I25" s="687"/>
      <c r="J25" s="419"/>
      <c r="K25" s="673"/>
    </row>
    <row customHeight="1" ht="67.5">
      <c r="D26" s="1775"/>
      <c r="E26" s="1801" t="s">
        <v>751</v>
      </c>
      <c r="F26" s="1804" t="s">
        <v>800</v>
      </c>
      <c r="G26" s="1791" t="s">
        <v>635</v>
      </c>
      <c r="H26" s="687"/>
      <c r="I26" s="687"/>
      <c r="J26" s="419"/>
      <c r="K26" s="673"/>
    </row>
    <row s="11649" customFormat="1" customHeight="1" ht="22.5">
      <c r="A27" s="1118"/>
      <c r="C27" s="1773"/>
      <c r="D27" s="1775"/>
      <c r="E27" s="1766" t="s">
        <v>755</v>
      </c>
      <c r="F27" s="1765" t="s">
        <v>801</v>
      </c>
      <c r="G27" s="1792" t="s">
        <v>635</v>
      </c>
      <c r="H27" s="709">
        <f>SUM(H28:H29)</f>
        <v>0</v>
      </c>
      <c r="I27" s="709">
        <f>SUM(I28:I29)</f>
        <v>0</v>
      </c>
      <c r="J27" s="419" t="s">
        <v>753</v>
      </c>
      <c r="K27" s="673"/>
      <c r="L27" s="1773"/>
      <c r="M27" s="1773"/>
      <c r="R27" s="1773"/>
      <c r="U27" s="674"/>
      <c r="AA27" s="1769"/>
      <c r="AB27" s="1769"/>
      <c r="AC27" s="1769"/>
      <c r="AD27" s="1769"/>
      <c r="AE27" s="1769"/>
    </row>
    <row s="11773" customFormat="1" customHeight="1" ht="0.75">
      <c r="A28" s="1299"/>
      <c r="D28" s="678"/>
      <c r="E28" s="932" t="str">
        <f>E27&amp;".0"</f>
        <v>2.9.0</v>
      </c>
      <c r="F28" s="1122"/>
      <c r="G28" s="681"/>
      <c r="H28" s="1123"/>
      <c r="I28" s="1123"/>
      <c r="J28" s="1124"/>
    </row>
    <row s="11649" customFormat="1" customHeight="1" ht="18.75">
      <c r="A29" s="1118"/>
      <c r="C29" s="1773"/>
      <c r="D29" s="1770"/>
      <c r="E29" s="700"/>
      <c r="F29" s="1803" t="s">
        <v>660</v>
      </c>
      <c r="G29" s="702"/>
      <c r="H29" s="703"/>
      <c r="I29" s="703"/>
      <c r="J29" s="431" t="s">
        <v>754</v>
      </c>
      <c r="K29" s="673"/>
      <c r="L29" s="1773"/>
      <c r="M29" s="1773"/>
      <c r="R29" s="1773"/>
      <c r="U29" s="674"/>
      <c r="AA29" s="1769"/>
      <c r="AB29" s="1769"/>
      <c r="AC29" s="1769"/>
      <c r="AD29" s="1769"/>
      <c r="AE29" s="1769"/>
    </row>
    <row s="11649" customFormat="1" customHeight="1" ht="22.5">
      <c r="A30" s="1118"/>
      <c r="C30" s="1773"/>
      <c r="D30" s="1775"/>
      <c r="E30" s="1801" t="s">
        <v>87</v>
      </c>
      <c r="F30" s="1798" t="s">
        <v>802</v>
      </c>
      <c r="G30" s="1791" t="s">
        <v>635</v>
      </c>
      <c r="H30" s="687"/>
      <c r="I30" s="687"/>
      <c r="J30" s="419"/>
      <c r="K30" s="673"/>
      <c r="L30" s="1773"/>
      <c r="M30" s="1773"/>
      <c r="R30" s="1773"/>
      <c r="U30" s="674"/>
      <c r="AA30" s="1769"/>
      <c r="AB30" s="1769"/>
      <c r="AC30" s="1769"/>
      <c r="AD30" s="1769"/>
      <c r="AE30" s="1769"/>
    </row>
    <row s="11649" customFormat="1" customHeight="1" ht="33.75">
      <c r="A31" s="1118"/>
      <c r="C31" s="1773"/>
      <c r="D31" s="705"/>
      <c r="E31" s="1801" t="s">
        <v>88</v>
      </c>
      <c r="F31" s="1798" t="s">
        <v>803</v>
      </c>
      <c r="G31" s="1791" t="s">
        <v>635</v>
      </c>
      <c r="H31" s="687"/>
      <c r="I31" s="687"/>
      <c r="J31" s="419" t="s">
        <v>804</v>
      </c>
      <c r="K31" s="673"/>
      <c r="L31" s="1773"/>
      <c r="M31" s="1773"/>
      <c r="R31" s="1773"/>
      <c r="U31" s="674"/>
      <c r="AA31" s="1769"/>
      <c r="AB31" s="1769"/>
      <c r="AC31" s="1769"/>
      <c r="AD31" s="1769"/>
      <c r="AE31" s="1769"/>
    </row>
    <row s="11649" customFormat="1" customHeight="1" ht="22.5">
      <c r="A32" s="1118"/>
      <c r="C32" s="1773"/>
      <c r="D32" s="1775"/>
      <c r="E32" s="1801" t="s">
        <v>763</v>
      </c>
      <c r="F32" s="820" t="s">
        <v>767</v>
      </c>
      <c r="G32" s="1791" t="s">
        <v>635</v>
      </c>
      <c r="H32" s="687"/>
      <c r="I32" s="687"/>
      <c r="J32" s="419" t="s">
        <v>805</v>
      </c>
      <c r="K32" s="673"/>
      <c r="L32" s="1773"/>
      <c r="M32" s="1773"/>
      <c r="R32" s="1773"/>
      <c r="U32" s="674"/>
      <c r="AA32" s="1769"/>
      <c r="AB32" s="1769"/>
      <c r="AC32" s="1769"/>
      <c r="AD32" s="1769"/>
      <c r="AE32" s="1769"/>
    </row>
    <row s="11649" customFormat="1" customHeight="1" ht="22.5">
      <c r="A33" s="1118"/>
      <c r="C33" s="1773"/>
      <c r="D33" s="1775"/>
      <c r="E33" s="1801" t="s">
        <v>806</v>
      </c>
      <c r="F33" s="820" t="s">
        <v>807</v>
      </c>
      <c r="G33" s="1791" t="s">
        <v>635</v>
      </c>
      <c r="H33" s="687"/>
      <c r="I33" s="687"/>
      <c r="J33" s="419" t="s">
        <v>808</v>
      </c>
      <c r="K33" s="673"/>
      <c r="L33" s="1773"/>
      <c r="M33" s="1773"/>
      <c r="R33" s="1773"/>
      <c r="U33" s="674"/>
      <c r="AA33" s="1769"/>
      <c r="AB33" s="1769"/>
      <c r="AC33" s="1769"/>
      <c r="AD33" s="1769"/>
      <c r="AE33" s="1769"/>
    </row>
    <row s="11649" customFormat="1" customHeight="1" ht="22.5">
      <c r="A34" s="1118"/>
      <c r="C34" s="1773"/>
      <c r="D34" s="1775"/>
      <c r="E34" s="1801" t="s">
        <v>809</v>
      </c>
      <c r="F34" s="820" t="s">
        <v>773</v>
      </c>
      <c r="G34" s="1791" t="s">
        <v>635</v>
      </c>
      <c r="H34" s="687"/>
      <c r="I34" s="687"/>
      <c r="J34" s="419" t="s">
        <v>810</v>
      </c>
      <c r="K34" s="673"/>
      <c r="L34" s="1773"/>
      <c r="M34" s="1773"/>
      <c r="R34" s="1773"/>
      <c r="U34" s="674"/>
      <c r="AA34" s="1769"/>
      <c r="AB34" s="1769"/>
      <c r="AC34" s="1769"/>
      <c r="AD34" s="1769"/>
      <c r="AE34" s="1769"/>
    </row>
    <row s="11649" customFormat="1" customHeight="1" ht="33.75">
      <c r="A35" s="1118"/>
      <c r="C35" s="1773" t="s">
        <v>671</v>
      </c>
      <c r="D35" s="1775"/>
      <c r="E35" s="1801" t="s">
        <v>119</v>
      </c>
      <c r="F35" s="1798" t="s">
        <v>775</v>
      </c>
      <c r="G35" s="1794" t="s">
        <v>384</v>
      </c>
      <c r="H35" s="531"/>
      <c r="I35" s="531"/>
      <c r="J35" s="419" t="s">
        <v>811</v>
      </c>
      <c r="K35" s="673"/>
      <c r="L35" s="1773"/>
      <c r="M35" s="1773"/>
      <c r="R35" s="1773"/>
      <c r="U35" s="674"/>
      <c r="AA35" s="1769"/>
      <c r="AB35" s="1769"/>
      <c r="AC35" s="1769"/>
      <c r="AD35" s="1769"/>
      <c r="AE35" s="1769"/>
    </row>
    <row s="11649" customFormat="1" customHeight="1" ht="22.5">
      <c r="A36" s="1118"/>
      <c r="C36" s="1773"/>
      <c r="D36" s="1775"/>
      <c r="E36" s="1801" t="s">
        <v>89</v>
      </c>
      <c r="F36" s="1798" t="s">
        <v>812</v>
      </c>
      <c r="G36" s="1791" t="s">
        <v>779</v>
      </c>
      <c r="H36" s="675"/>
      <c r="I36" s="675"/>
      <c r="J36" s="419" t="s">
        <v>780</v>
      </c>
      <c r="K36" s="673"/>
      <c r="L36" s="1773"/>
      <c r="M36" s="1773"/>
      <c r="R36" s="1773"/>
      <c r="U36" s="674"/>
      <c r="AA36" s="1769"/>
      <c r="AB36" s="1769"/>
      <c r="AC36" s="1769"/>
      <c r="AD36" s="1769"/>
      <c r="AE36" s="1769"/>
    </row>
    <row s="11649" customFormat="1" customHeight="1" ht="22.5">
      <c r="A37" s="1118"/>
      <c r="C37" s="1773"/>
      <c r="D37" s="1775"/>
      <c r="E37" s="1801" t="s">
        <v>90</v>
      </c>
      <c r="F37" s="1798" t="s">
        <v>813</v>
      </c>
      <c r="G37" s="1791" t="s">
        <v>782</v>
      </c>
      <c r="H37" s="675"/>
      <c r="I37" s="675"/>
      <c r="J37" s="419" t="s">
        <v>783</v>
      </c>
      <c r="K37" s="673"/>
      <c r="L37" s="1773"/>
      <c r="M37" s="1773"/>
      <c r="R37" s="1773"/>
      <c r="U37" s="674"/>
      <c r="AA37" s="1769"/>
      <c r="AB37" s="1769"/>
      <c r="AC37" s="1769"/>
      <c r="AD37" s="1769"/>
      <c r="AE37" s="1769"/>
    </row>
    <row customHeight="1" ht="11.25">
      <c r="D38" s="1775"/>
    </row>
    <row customHeight="1" ht="26.25">
      <c r="D39" s="1775"/>
      <c r="E39" s="1389" t="s">
        <v>814</v>
      </c>
      <c r="F39" s="2324" t="s">
        <v>815</v>
      </c>
      <c r="G39" s="2324"/>
      <c r="H39" s="2324"/>
      <c r="I39" s="2324"/>
      <c r="J39" s="2324"/>
    </row>
    <row s="11770" customFormat="1" customHeight="1" ht="37.5">
      <c r="A40" s="1118"/>
      <c r="B40" s="1773"/>
      <c r="C40" s="1773"/>
      <c r="D40" s="481"/>
      <c r="F40" s="2324" t="s">
        <v>816</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770"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770"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770"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770"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770"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770"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770"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770"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770"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770"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770"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770"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770"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770"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770"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770"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770"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770"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770"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770"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770"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770"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770"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770"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770"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770"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770"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770"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770"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770"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770"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770"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770"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770"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770"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770"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770"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770"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770"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770"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770"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770"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770"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770"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770"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770"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770"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770"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770"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770"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770"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770"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770"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770"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770"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770"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770"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770"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770"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770"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770"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770"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770"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770"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770"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770"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770"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770"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770"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770"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770"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770"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770"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770"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770"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770"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770"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770"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770"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770"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770"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770"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770"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770"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770"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770"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770"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770"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770"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770"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770"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770"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770"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770"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770"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770"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770"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770"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770"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770"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770"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770"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770"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770"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770"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770"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770"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770"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770"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770"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770"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770"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770"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770"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770"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770"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770"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770"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770"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770"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770"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770"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770"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770"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770"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770"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770"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770"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770"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770"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770"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770"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770"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770"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770"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770"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770"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770"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770"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770"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770"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770"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770"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770"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770"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770"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770"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770"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770"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770"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770"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770"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770"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770"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770"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D658D-9B38-2968-A0BB-109EED5B931B}" mc:Ignorable="x14ac xr xr2 xr3">
  <sheetPr>
    <tabColor theme="9" tint="-0.25"/>
  </sheetPr>
  <dimension ref="A1:AW101"/>
  <sheetViews>
    <sheetView topLeftCell="C2" showGridLines="0" zoomScale="90" workbookViewId="0">
      <selection activeCell="AI1" sqref="AI1:AJ101"/>
    </sheetView>
  </sheetViews>
  <sheetFormatPr defaultColWidth="10.57421875" customHeight="1" defaultRowHeight="11.25"/>
  <cols>
    <col min="1" max="1" style="12462" width="9.140625" hidden="1" customWidth="1"/>
    <col min="2" max="2" style="11721" width="3.57421875" hidden="1" customWidth="1"/>
    <col min="3" max="3" style="11506" width="3.7109375" customWidth="1"/>
    <col min="4" max="4" style="11506" width="7.7109375" customWidth="1"/>
    <col min="5" max="5" style="11506" width="69.8515625" customWidth="1"/>
    <col min="6" max="6" style="11506" width="11.140625" customWidth="1"/>
    <col min="7" max="8" style="11506" width="44.00390625" hidden="1" customWidth="1"/>
    <col min="9" max="10" style="11055" width="44.00390625" customWidth="1"/>
    <col min="11" max="36" style="12241" width="44.00390625" customWidth="1"/>
    <col min="37" max="37" style="11506" width="74.00390625" customWidth="1"/>
    <col min="38" max="38" style="11506" width="3.7109375" customWidth="1"/>
    <col min="39" max="49" style="11506" width="10.57421875"/>
  </cols>
  <sheetData>
    <row s="11056" customFormat="1" customHeight="1" ht="11.25" hidden="1">
      <c r="A1" s="666"/>
      <c r="B1" s="641"/>
      <c r="G1" s="547">
        <v>4</v>
      </c>
      <c r="I1" s="547">
        <v>4</v>
      </c>
      <c r="K1" s="6321">
        <v>4</v>
      </c>
      <c r="L1" s="6321"/>
      <c r="M1" s="6321">
        <v>4</v>
      </c>
      <c r="N1" s="6321"/>
      <c r="O1" s="6321">
        <v>4</v>
      </c>
      <c r="P1" s="6321"/>
      <c r="Q1" s="6321">
        <v>4</v>
      </c>
      <c r="R1" s="6321"/>
      <c r="S1" s="6321">
        <v>4</v>
      </c>
      <c r="T1" s="6321"/>
      <c r="U1" s="6321">
        <v>4</v>
      </c>
      <c r="V1" s="6321"/>
      <c r="W1" s="6321">
        <v>4</v>
      </c>
      <c r="X1" s="6321"/>
      <c r="Y1" s="6321">
        <v>4</v>
      </c>
      <c r="Z1" s="6321"/>
      <c r="AA1" s="6321">
        <v>4</v>
      </c>
      <c r="AB1" s="6321"/>
      <c r="AC1" s="6321">
        <v>4</v>
      </c>
      <c r="AD1" s="6321"/>
      <c r="AE1" s="6321">
        <v>4</v>
      </c>
      <c r="AF1" s="6321"/>
      <c r="AG1" s="6321">
        <v>4</v>
      </c>
      <c r="AH1" s="6321"/>
      <c r="AI1" s="6321">
        <v>4</v>
      </c>
      <c r="AJ1" s="6321"/>
      <c r="AK1" s="547">
        <v>5</v>
      </c>
    </row>
    <row customHeight="1" ht="3">
      <c r="K2" s="6300"/>
      <c r="L2" s="6300"/>
      <c r="M2" s="6300"/>
      <c r="N2" s="6300"/>
      <c r="O2" s="6300"/>
      <c r="P2" s="6300"/>
      <c r="Q2" s="6300"/>
      <c r="R2" s="6300"/>
      <c r="S2" s="6300"/>
      <c r="T2" s="6300"/>
      <c r="U2" s="6300"/>
      <c r="V2" s="6300"/>
      <c r="W2" s="6300"/>
      <c r="X2" s="6300"/>
      <c r="Y2" s="6300"/>
      <c r="Z2" s="6300"/>
      <c r="AA2" s="6300"/>
      <c r="AB2" s="6300"/>
      <c r="AC2" s="6300"/>
      <c r="AD2" s="6300"/>
      <c r="AE2" s="6300"/>
      <c r="AF2" s="6300"/>
      <c r="AG2" s="6300"/>
      <c r="AH2" s="6300"/>
      <c r="AI2" s="6300"/>
      <c r="AJ2" s="6300"/>
    </row>
    <row customHeight="1" ht="75">
      <c r="D3" s="22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8"/>
      <c r="F3" s="2279"/>
      <c r="K3" s="6300"/>
      <c r="L3" s="6300"/>
      <c r="M3" s="6300"/>
      <c r="N3" s="6300"/>
      <c r="O3" s="6300"/>
      <c r="P3" s="6300"/>
      <c r="Q3" s="6300"/>
      <c r="R3" s="6300"/>
      <c r="S3" s="6300"/>
      <c r="T3" s="6300"/>
      <c r="U3" s="6300"/>
      <c r="V3" s="6300"/>
      <c r="W3" s="6300"/>
      <c r="X3" s="6300"/>
      <c r="Y3" s="6300"/>
      <c r="Z3" s="6300"/>
      <c r="AA3" s="6300"/>
      <c r="AB3" s="6300"/>
      <c r="AC3" s="6300"/>
      <c r="AD3" s="6300"/>
      <c r="AE3" s="6300"/>
      <c r="AF3" s="6300"/>
      <c r="AG3" s="6300"/>
      <c r="AH3" s="6300"/>
      <c r="AI3" s="6300"/>
      <c r="AJ3" s="6300"/>
    </row>
    <row s="11055" customFormat="1" customHeight="1" ht="20.25">
      <c r="A4" s="1082"/>
      <c r="B4" s="641"/>
      <c r="D4" s="2253" t="str">
        <f>IF(org=0,"Не определено",org)</f>
        <v>АО "ДГК"</v>
      </c>
      <c r="E4" s="2254"/>
      <c r="F4" s="2255"/>
      <c r="K4" s="6300"/>
      <c r="L4" s="6300"/>
      <c r="M4" s="6300"/>
      <c r="N4" s="6300"/>
      <c r="O4" s="6300"/>
      <c r="P4" s="6300"/>
      <c r="Q4" s="6300"/>
      <c r="R4" s="6300"/>
      <c r="S4" s="6300"/>
      <c r="T4" s="6300"/>
      <c r="U4" s="6300"/>
      <c r="V4" s="6300"/>
      <c r="W4" s="6300"/>
      <c r="X4" s="6300"/>
      <c r="Y4" s="6300"/>
      <c r="Z4" s="6300"/>
      <c r="AA4" s="6300"/>
      <c r="AB4" s="6300"/>
      <c r="AC4" s="6300"/>
      <c r="AD4" s="6300"/>
      <c r="AE4" s="6300"/>
      <c r="AF4" s="6300"/>
      <c r="AG4" s="6300"/>
      <c r="AH4" s="6300"/>
      <c r="AI4" s="6300"/>
      <c r="AJ4" s="6300"/>
    </row>
    <row customHeight="1" ht="11.25">
      <c r="C5" s="639"/>
      <c r="D5" s="718"/>
      <c r="E5" s="718"/>
      <c r="F5" s="718"/>
      <c r="G5" s="718"/>
      <c r="H5" s="882"/>
      <c r="I5" s="718"/>
      <c r="J5" s="882"/>
      <c r="K5" s="6300"/>
      <c r="L5" s="6651"/>
      <c r="M5" s="6300"/>
      <c r="N5" s="6651"/>
      <c r="O5" s="6300"/>
      <c r="P5" s="6651"/>
      <c r="Q5" s="6300"/>
      <c r="R5" s="6651"/>
      <c r="S5" s="6300"/>
      <c r="T5" s="6651"/>
      <c r="U5" s="6300"/>
      <c r="V5" s="6651"/>
      <c r="W5" s="6300"/>
      <c r="X5" s="6651"/>
      <c r="Y5" s="6300"/>
      <c r="Z5" s="6651"/>
      <c r="AA5" s="6300"/>
      <c r="AB5" s="6651"/>
      <c r="AC5" s="6300"/>
      <c r="AD5" s="6651"/>
      <c r="AE5" s="6300"/>
      <c r="AF5" s="6651"/>
      <c r="AG5" s="6300"/>
      <c r="AH5" s="6651"/>
      <c r="AI5" s="6300"/>
      <c r="AJ5" s="6651"/>
      <c r="AK5" s="718"/>
    </row>
    <row customHeight="1" ht="0.75">
      <c r="C6" s="639"/>
      <c r="D6" s="639"/>
      <c r="E6" s="652"/>
      <c r="F6" s="744"/>
      <c r="G6" s="1153"/>
      <c r="H6" s="1153"/>
      <c r="I6" s="1153" t="s">
        <v>171</v>
      </c>
      <c r="J6" s="1153"/>
      <c r="K6" s="6653" t="s">
        <v>176</v>
      </c>
      <c r="L6" s="6653"/>
      <c r="M6" s="6653" t="s">
        <v>178</v>
      </c>
      <c r="N6" s="6653"/>
      <c r="O6" s="6653" t="s">
        <v>180</v>
      </c>
      <c r="P6" s="6653"/>
      <c r="Q6" s="6653" t="s">
        <v>182</v>
      </c>
      <c r="R6" s="6653"/>
      <c r="S6" s="6653" t="s">
        <v>184</v>
      </c>
      <c r="T6" s="6653"/>
      <c r="U6" s="6653" t="s">
        <v>186</v>
      </c>
      <c r="V6" s="6653"/>
      <c r="W6" s="6653" t="s">
        <v>188</v>
      </c>
      <c r="X6" s="6653"/>
      <c r="Y6" s="6653" t="s">
        <v>190</v>
      </c>
      <c r="Z6" s="6653"/>
      <c r="AA6" s="6653" t="s">
        <v>192</v>
      </c>
      <c r="AB6" s="6653"/>
      <c r="AC6" s="6653" t="s">
        <v>194</v>
      </c>
      <c r="AD6" s="6653"/>
      <c r="AE6" s="6653" t="s">
        <v>196</v>
      </c>
      <c r="AF6" s="6653"/>
      <c r="AG6" s="6653" t="s">
        <v>198</v>
      </c>
      <c r="AH6" s="6653"/>
      <c r="AI6" s="6653" t="s">
        <v>200</v>
      </c>
      <c r="AJ6" s="6653"/>
    </row>
    <row customHeight="1" ht="11.25">
      <c r="D7" s="841"/>
      <c r="E7" s="2396" t="s">
        <v>161</v>
      </c>
      <c r="F7" s="2397"/>
      <c r="G7" s="2418" t="str">
        <f>IF(G6="","",INDEX(DIFFERENTIATION_UNMERGE_VD,MATCH(G6,DIFFERENTIATION_ID_DIFF,0)))</f>
        <v/>
      </c>
      <c r="H7" s="2419"/>
      <c r="I7" s="2418" t="str">
        <f>IF(I6="","",INDEX(DIFFERENTIATION_UNMERGE_VD,MATCH(I6,DIFFERENTIATION_ID_DIFF,0)))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419"/>
      <c r="K7" s="6344" t="str">
        <f>IF(K6="","",INDEX(DIFFERENTIATION_UNMERGE_VD,MATCH(K6,DIFFERENTIATION_ID_DIFF,0)))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6656"/>
      <c r="M7" s="6344" t="str">
        <f>IF(M6="","",INDEX(DIFFERENTIATION_UNMERGE_VD,MATCH(M6,DIFFERENTIATION_ID_DIFF,0)))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6656"/>
      <c r="O7" s="6344" t="str">
        <f>IF(O6="","",INDEX(DIFFERENTIATION_UNMERGE_VD,MATCH(O6,DIFFERENTIATION_ID_DIFF,0)))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7" s="6656"/>
      <c r="Q7" s="6344" t="str">
        <f>IF(Q6="","",INDEX(DIFFERENTIATION_UNMERGE_VD,MATCH(Q6,DIFFERENTIATION_ID_DIFF,0)))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6656"/>
      <c r="S7" s="6344" t="str">
        <f>IF(S6="","",INDEX(DIFFERENTIATION_UNMERGE_VD,MATCH(S6,DIFFERENTIATION_ID_DIFF,0)))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6656"/>
      <c r="U7" s="6344" t="str">
        <f>IF(U6="","",INDEX(DIFFERENTIATION_UNMERGE_VD,MATCH(U6,DIFFERENTIATION_ID_DIFF,0)))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7" s="6656"/>
      <c r="W7" s="6344" t="str">
        <f>IF(W6="","",INDEX(DIFFERENTIATION_UNMERGE_VD,MATCH(W6,DIFFERENTIATION_ID_DIFF,0)))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7" s="6656"/>
      <c r="Y7" s="6344" t="str">
        <f>IF(Y6="","",INDEX(DIFFERENTIATION_UNMERGE_VD,MATCH(Y6,DIFFERENTIATION_ID_DIFF,0)))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7" s="6656"/>
      <c r="AA7" s="6344" t="str">
        <f>IF(AA6="","",INDEX(DIFFERENTIATION_UNMERGE_VD,MATCH(AA6,DIFFERENTIATION_ID_DIFF,0)))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7" s="6656"/>
      <c r="AC7" s="6344" t="str">
        <f>IF(AC6="","",INDEX(DIFFERENTIATION_UNMERGE_VD,MATCH(AC6,DIFFERENTIATION_ID_DIFF,0)))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7" s="6656"/>
      <c r="AE7" s="6344" t="str">
        <f>IF(AE6="","",INDEX(DIFFERENTIATION_UNMERGE_VD,MATCH(AE6,DIFFERENTIATION_ID_DIFF,0)))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7" s="6656"/>
      <c r="AG7" s="6344" t="str">
        <f>IF(AG6="","",INDEX(DIFFERENTIATION_UNMERGE_VD,MATCH(AG6,DIFFERENTIATION_ID_DIFF,0)))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7" s="6656"/>
      <c r="AI7" s="6344" t="str">
        <f>IF(AI6="","",INDEX(DIFFERENTIATION_UNMERGE_VD,MATCH(AI6,DIFFERENTIATION_ID_DIFF,0)))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7" s="6656"/>
      <c r="AK7" s="2213"/>
      <c r="AL7" s="639"/>
    </row>
    <row customHeight="1" ht="11.25">
      <c r="A8" s="834"/>
      <c r="D8" s="841"/>
      <c r="E8" s="2396" t="s">
        <v>647</v>
      </c>
      <c r="F8" s="2397"/>
      <c r="G8" s="2418" t="str">
        <f>IF(G6="","",INDEX(DIFFERENTIATION_UNMERGE_AREA,MATCH(G6,DIFFERENTIATION_ID_DIFF,0)))</f>
        <v/>
      </c>
      <c r="H8" s="2419"/>
      <c r="I8" s="2418" t="str">
        <f>IF(I6="","",INDEX(DIFFERENTIATION_UNMERGE_AREA,MATCH(I6,DIFFERENTIATION_ID_DIFF,0)))</f>
        <v>Территория 1</v>
      </c>
      <c r="J8" s="2419"/>
      <c r="K8" s="6344" t="str">
        <f>IF(K6="","",INDEX(DIFFERENTIATION_UNMERGE_AREA,MATCH(K6,DIFFERENTIATION_ID_DIFF,0)))</f>
        <v>Территория 2</v>
      </c>
      <c r="L8" s="6656"/>
      <c r="M8" s="6344" t="str">
        <f>IF(M6="","",INDEX(DIFFERENTIATION_UNMERGE_AREA,MATCH(M6,DIFFERENTIATION_ID_DIFF,0)))</f>
        <v>Территория 3</v>
      </c>
      <c r="N8" s="6656"/>
      <c r="O8" s="6344" t="str">
        <f>IF(O6="","",INDEX(DIFFERENTIATION_UNMERGE_AREA,MATCH(O6,DIFFERENTIATION_ID_DIFF,0)))</f>
        <v>Территория 3</v>
      </c>
      <c r="P8" s="6656"/>
      <c r="Q8" s="6344" t="str">
        <f>IF(Q6="","",INDEX(DIFFERENTIATION_UNMERGE_AREA,MATCH(Q6,DIFFERENTIATION_ID_DIFF,0)))</f>
        <v>Территория 3</v>
      </c>
      <c r="R8" s="6656"/>
      <c r="S8" s="6344" t="str">
        <f>IF(S6="","",INDEX(DIFFERENTIATION_UNMERGE_AREA,MATCH(S6,DIFFERENTIATION_ID_DIFF,0)))</f>
        <v>Территория 3</v>
      </c>
      <c r="T8" s="6656"/>
      <c r="U8" s="6344" t="str">
        <f>IF(U6="","",INDEX(DIFFERENTIATION_UNMERGE_AREA,MATCH(U6,DIFFERENTIATION_ID_DIFF,0)))</f>
        <v>Территория 4</v>
      </c>
      <c r="V8" s="6656"/>
      <c r="W8" s="6344" t="str">
        <f>IF(W6="","",INDEX(DIFFERENTIATION_UNMERGE_AREA,MATCH(W6,DIFFERENTIATION_ID_DIFF,0)))</f>
        <v>Территория 4</v>
      </c>
      <c r="X8" s="6656"/>
      <c r="Y8" s="6344" t="str">
        <f>IF(Y6="","",INDEX(DIFFERENTIATION_UNMERGE_AREA,MATCH(Y6,DIFFERENTIATION_ID_DIFF,0)))</f>
        <v>Территория 5</v>
      </c>
      <c r="Z8" s="6656"/>
      <c r="AA8" s="6344" t="str">
        <f>IF(AA6="","",INDEX(DIFFERENTIATION_UNMERGE_AREA,MATCH(AA6,DIFFERENTIATION_ID_DIFF,0)))</f>
        <v>Территория 6</v>
      </c>
      <c r="AB8" s="6656"/>
      <c r="AC8" s="6344" t="str">
        <f>IF(AC6="","",INDEX(DIFFERENTIATION_UNMERGE_AREA,MATCH(AC6,DIFFERENTIATION_ID_DIFF,0)))</f>
        <v>Территория 7</v>
      </c>
      <c r="AD8" s="6656"/>
      <c r="AE8" s="6344" t="str">
        <f>IF(AE6="","",INDEX(DIFFERENTIATION_UNMERGE_AREA,MATCH(AE6,DIFFERENTIATION_ID_DIFF,0)))</f>
        <v>Территория 7</v>
      </c>
      <c r="AF8" s="6656"/>
      <c r="AG8" s="6344" t="str">
        <f>IF(AG6="","",INDEX(DIFFERENTIATION_UNMERGE_AREA,MATCH(AG6,DIFFERENTIATION_ID_DIFF,0)))</f>
        <v>Территория 8</v>
      </c>
      <c r="AH8" s="6656"/>
      <c r="AI8" s="6344" t="str">
        <f>IF(AI6="","",INDEX(DIFFERENTIATION_UNMERGE_AREA,MATCH(AI6,DIFFERENTIATION_ID_DIFF,0)))</f>
        <v>Территория 9</v>
      </c>
      <c r="AJ8" s="6656"/>
      <c r="AK8" s="2237"/>
      <c r="AL8" s="639"/>
    </row>
    <row customHeight="1" ht="11.25">
      <c r="A9" s="834"/>
      <c r="D9" s="841"/>
      <c r="E9" s="2396" t="s">
        <v>648</v>
      </c>
      <c r="F9" s="2397"/>
      <c r="G9" s="2418" t="str">
        <f>IF(G6="","",INDEX(DIFFERENTIATION_UNMERGE_SYSTEM,MATCH(G6,DIFFERENTIATION_ID_DIFF,0)))</f>
        <v/>
      </c>
      <c r="H9" s="2419"/>
      <c r="I9" s="2418" t="str">
        <f>IF(I6="","",INDEX(DIFFERENTIATION_UNMERGE_SYSTEM,MATCH(I6,DIFFERENTIATION_ID_DIFF,0)))</f>
        <v>Амурская ТЭЦ-1 (г. Амурск)</v>
      </c>
      <c r="J9" s="2419"/>
      <c r="K9" s="6344" t="str">
        <f>IF(K6="","",INDEX(DIFFERENTIATION_UNMERGE_SYSTEM,MATCH(K6,DIFFERENTIATION_ID_DIFF,0)))</f>
        <v>Николаевская ТЭЦ (г. Николаевск)</v>
      </c>
      <c r="L9" s="6656"/>
      <c r="M9" s="6344" t="str">
        <f>IF(M6="","",INDEX(DIFFERENTIATION_UNMERGE_SYSTEM,MATCH(M6,DIFFERENTIATION_ID_DIFF,0)))</f>
        <v>Комсомольская ТЭЦ-1 (г. Комсомольск)</v>
      </c>
      <c r="N9" s="6656"/>
      <c r="O9" s="6344" t="str">
        <f>IF(O6="","",INDEX(DIFFERENTIATION_UNMERGE_SYSTEM,MATCH(O6,DIFFERENTIATION_ID_DIFF,0)))</f>
        <v>Комсомольская ТЭЦ-2 (г. Комсомольск)</v>
      </c>
      <c r="P9" s="6656"/>
      <c r="Q9" s="6344" t="str">
        <f>IF(Q6="","",INDEX(DIFFERENTIATION_UNMERGE_SYSTEM,MATCH(Q6,DIFFERENTIATION_ID_DIFF,0)))</f>
        <v>Комсомольская ТЭЦ-3 (г. Комсомольск)</v>
      </c>
      <c r="R9" s="6656"/>
      <c r="S9" s="6344" t="str">
        <f>IF(S6="","",INDEX(DIFFERENTIATION_UNMERGE_SYSTEM,MATCH(S6,DIFFERENTIATION_ID_DIFF,0)))</f>
        <v>ВК "Дземги" (г. Комсомольск)</v>
      </c>
      <c r="T9" s="6656"/>
      <c r="U9" s="6344" t="str">
        <f>IF(U6="","",INDEX(DIFFERENTIATION_UNMERGE_SYSTEM,MATCH(U6,DIFFERENTIATION_ID_DIFF,0)))</f>
        <v>ТЭЦ в г. Советская Гавань (г. Советская Гавань)</v>
      </c>
      <c r="V9" s="6656"/>
      <c r="W9" s="6344" t="str">
        <f>IF(W6="","",INDEX(DIFFERENTIATION_UNMERGE_SYSTEM,MATCH(W6,DIFFERENTIATION_ID_DIFF,0)))</f>
        <v>Майская котельная </v>
      </c>
      <c r="X9" s="6656"/>
      <c r="Y9" s="6344" t="str">
        <f>IF(Y6="","",INDEX(DIFFERENTIATION_UNMERGE_SYSTEM,MATCH(Y6,DIFFERENTIATION_ID_DIFF,0)))</f>
        <v>Ургальская котельная (п. Чегдомын)</v>
      </c>
      <c r="Z9" s="6656"/>
      <c r="AA9" s="6344" t="str">
        <f>IF(AA6="","",INDEX(DIFFERENTIATION_UNMERGE_SYSTEM,MATCH(AA6,DIFFERENTIATION_ID_DIFF,0)))</f>
        <v>Хабаровская ТЭЦ-1 (г. Хабаровск, с. Ильинское, п. Корфовский, с. Ракитненское)</v>
      </c>
      <c r="AB9" s="6656"/>
      <c r="AC9" s="6344" t="str">
        <f>IF(AC6="","",INDEX(DIFFERENTIATION_UNMERGE_SYSTEM,MATCH(AC6,DIFFERENTIATION_ID_DIFF,0)))</f>
        <v>Хабаровская ТЭЦ-2 (г. Хабаровск)</v>
      </c>
      <c r="AD9" s="6656"/>
      <c r="AE9" s="6344" t="str">
        <f>IF(AE6="","",INDEX(DIFFERENTIATION_UNMERGE_SYSTEM,MATCH(AE6,DIFFERENTIATION_ID_DIFF,0)))</f>
        <v>Котельная в Волочаевском городке</v>
      </c>
      <c r="AF9" s="6656"/>
      <c r="AG9" s="6344" t="str">
        <f>IF(AG6="","",INDEX(DIFFERENTIATION_UNMERGE_SYSTEM,MATCH(AG6,DIFFERENTIATION_ID_DIFF,0)))</f>
        <v>Хабаровская ТЭЦ-3 (г. Хабаровск, с. Восточное, с. Мирненское, с. Тополевское)</v>
      </c>
      <c r="AH9" s="6656"/>
      <c r="AI9" s="6344" t="str">
        <f>IF(AI6="","",INDEX(DIFFERENTIATION_UNMERGE_SYSTEM,MATCH(AI6,DIFFERENTIATION_ID_DIFF,0)))</f>
        <v>Котельная в с. Некрасовка (с. Дружбинское, с. Некрасовское) </v>
      </c>
      <c r="AJ9" s="6656"/>
      <c r="AK9" s="2237"/>
      <c r="AL9" s="639"/>
    </row>
    <row s="11055" customFormat="1" customHeight="1" ht="11.25">
      <c r="A10" s="1152"/>
      <c r="B10" s="641"/>
      <c r="D10" s="2141" t="s">
        <v>378</v>
      </c>
      <c r="E10" s="2142"/>
      <c r="F10" s="2142"/>
      <c r="G10" s="2142"/>
      <c r="H10" s="2142"/>
      <c r="I10" s="2142"/>
      <c r="J10" s="2143"/>
      <c r="K10" s="6659"/>
      <c r="L10" s="6659"/>
      <c r="M10" s="6659"/>
      <c r="N10" s="6659"/>
      <c r="O10" s="6659"/>
      <c r="P10" s="6659"/>
      <c r="Q10" s="6659"/>
      <c r="R10" s="6659"/>
      <c r="S10" s="6659"/>
      <c r="T10" s="6659"/>
      <c r="U10" s="6659"/>
      <c r="V10" s="6659"/>
      <c r="W10" s="6659"/>
      <c r="X10" s="6659"/>
      <c r="Y10" s="6659"/>
      <c r="Z10" s="6659"/>
      <c r="AA10" s="6659"/>
      <c r="AB10" s="6659"/>
      <c r="AC10" s="6659"/>
      <c r="AD10" s="6659"/>
      <c r="AE10" s="6659"/>
      <c r="AF10" s="6659"/>
      <c r="AG10" s="6659"/>
      <c r="AH10" s="6659"/>
      <c r="AI10" s="6659"/>
      <c r="AJ10" s="6659"/>
      <c r="AK10" s="2237"/>
      <c r="AL10" s="639"/>
    </row>
    <row s="12259" customFormat="1" customHeight="1" ht="22.5">
      <c r="A11" s="2417"/>
      <c r="B11" s="2417"/>
      <c r="C11" s="787"/>
      <c r="D11" s="833" t="s">
        <v>85</v>
      </c>
      <c r="E11" s="835" t="s">
        <v>817</v>
      </c>
      <c r="F11" s="835" t="s">
        <v>649</v>
      </c>
      <c r="G11" s="595" t="s">
        <v>381</v>
      </c>
      <c r="H11" s="595" t="s">
        <v>470</v>
      </c>
      <c r="I11" s="937" t="s">
        <v>381</v>
      </c>
      <c r="J11" s="938" t="s">
        <v>470</v>
      </c>
      <c r="K11" s="6306" t="s">
        <v>381</v>
      </c>
      <c r="L11" s="6306" t="s">
        <v>470</v>
      </c>
      <c r="M11" s="6306" t="s">
        <v>381</v>
      </c>
      <c r="N11" s="6306" t="s">
        <v>470</v>
      </c>
      <c r="O11" s="6306" t="s">
        <v>381</v>
      </c>
      <c r="P11" s="6306" t="s">
        <v>470</v>
      </c>
      <c r="Q11" s="6306" t="s">
        <v>381</v>
      </c>
      <c r="R11" s="6306" t="s">
        <v>470</v>
      </c>
      <c r="S11" s="6306" t="s">
        <v>381</v>
      </c>
      <c r="T11" s="6306" t="s">
        <v>470</v>
      </c>
      <c r="U11" s="6306" t="s">
        <v>381</v>
      </c>
      <c r="V11" s="6306" t="s">
        <v>470</v>
      </c>
      <c r="W11" s="6306" t="s">
        <v>381</v>
      </c>
      <c r="X11" s="6306" t="s">
        <v>470</v>
      </c>
      <c r="Y11" s="6306" t="s">
        <v>381</v>
      </c>
      <c r="Z11" s="6306" t="s">
        <v>470</v>
      </c>
      <c r="AA11" s="6306" t="s">
        <v>381</v>
      </c>
      <c r="AB11" s="6306" t="s">
        <v>470</v>
      </c>
      <c r="AC11" s="6306" t="s">
        <v>381</v>
      </c>
      <c r="AD11" s="6306" t="s">
        <v>470</v>
      </c>
      <c r="AE11" s="6306" t="s">
        <v>381</v>
      </c>
      <c r="AF11" s="6306" t="s">
        <v>470</v>
      </c>
      <c r="AG11" s="6306" t="s">
        <v>381</v>
      </c>
      <c r="AH11" s="6306" t="s">
        <v>470</v>
      </c>
      <c r="AI11" s="6306" t="s">
        <v>381</v>
      </c>
      <c r="AJ11" s="6306" t="s">
        <v>470</v>
      </c>
      <c r="AK11" s="2271"/>
      <c r="AL11" s="788"/>
    </row>
    <row s="11721" customFormat="1" customHeight="1" ht="10.5">
      <c r="A12" s="1083"/>
      <c r="D12" s="1156" t="s">
        <v>165</v>
      </c>
      <c r="E12" s="1156" t="s">
        <v>100</v>
      </c>
      <c r="F12" s="1156" t="s">
        <v>87</v>
      </c>
      <c r="G12" s="1157" t="str">
        <f>G1&amp;".1"</f>
        <v>4.1</v>
      </c>
      <c r="H12" s="1157" t="str">
        <f>G1&amp;".2"</f>
        <v>4.2</v>
      </c>
      <c r="I12" s="1157" t="str">
        <f>I1&amp;".1"</f>
        <v>4.1</v>
      </c>
      <c r="J12" s="1157" t="str">
        <f>I1&amp;".2"</f>
        <v>4.2</v>
      </c>
      <c r="K12" s="6669" t="str">
        <f>K1&amp;".1"</f>
        <v>4.1</v>
      </c>
      <c r="L12" s="6669" t="str">
        <f>K1&amp;".2"</f>
        <v>4.2</v>
      </c>
      <c r="M12" s="6669" t="str">
        <f>M1&amp;".1"</f>
        <v>4.1</v>
      </c>
      <c r="N12" s="6669" t="str">
        <f>M1&amp;".2"</f>
        <v>4.2</v>
      </c>
      <c r="O12" s="6669" t="str">
        <f>O1&amp;".1"</f>
        <v>4.1</v>
      </c>
      <c r="P12" s="6669" t="str">
        <f>O1&amp;".2"</f>
        <v>4.2</v>
      </c>
      <c r="Q12" s="6669" t="str">
        <f>Q1&amp;".1"</f>
        <v>4.1</v>
      </c>
      <c r="R12" s="6669" t="str">
        <f>Q1&amp;".2"</f>
        <v>4.2</v>
      </c>
      <c r="S12" s="6669" t="str">
        <f>S1&amp;".1"</f>
        <v>4.1</v>
      </c>
      <c r="T12" s="6669" t="str">
        <f>S1&amp;".2"</f>
        <v>4.2</v>
      </c>
      <c r="U12" s="6669" t="str">
        <f>U1&amp;".1"</f>
        <v>4.1</v>
      </c>
      <c r="V12" s="6669" t="str">
        <f>U1&amp;".2"</f>
        <v>4.2</v>
      </c>
      <c r="W12" s="6669" t="str">
        <f>W1&amp;".1"</f>
        <v>4.1</v>
      </c>
      <c r="X12" s="6669" t="str">
        <f>W1&amp;".2"</f>
        <v>4.2</v>
      </c>
      <c r="Y12" s="6669" t="str">
        <f>Y1&amp;".1"</f>
        <v>4.1</v>
      </c>
      <c r="Z12" s="6669" t="str">
        <f>Y1&amp;".2"</f>
        <v>4.2</v>
      </c>
      <c r="AA12" s="6669" t="str">
        <f>AA1&amp;".1"</f>
        <v>4.1</v>
      </c>
      <c r="AB12" s="6669" t="str">
        <f>AA1&amp;".2"</f>
        <v>4.2</v>
      </c>
      <c r="AC12" s="6669" t="str">
        <f>AC1&amp;".1"</f>
        <v>4.1</v>
      </c>
      <c r="AD12" s="6669" t="str">
        <f>AC1&amp;".2"</f>
        <v>4.2</v>
      </c>
      <c r="AE12" s="6669" t="str">
        <f>AE1&amp;".1"</f>
        <v>4.1</v>
      </c>
      <c r="AF12" s="6669" t="str">
        <f>AE1&amp;".2"</f>
        <v>4.2</v>
      </c>
      <c r="AG12" s="6669" t="str">
        <f>AG1&amp;".1"</f>
        <v>4.1</v>
      </c>
      <c r="AH12" s="6669" t="str">
        <f>AG1&amp;".2"</f>
        <v>4.2</v>
      </c>
      <c r="AI12" s="6669" t="str">
        <f>AI1&amp;".1"</f>
        <v>4.1</v>
      </c>
      <c r="AJ12" s="6669" t="str">
        <f>AI1&amp;".2"</f>
        <v>4.2</v>
      </c>
      <c r="AK12" s="1157"/>
    </row>
    <row customHeight="1" ht="22.5">
      <c r="A13" s="2416" t="s">
        <v>818</v>
      </c>
      <c r="D13" s="1084" t="s">
        <v>165</v>
      </c>
      <c r="E13" s="409" t="s">
        <v>819</v>
      </c>
      <c r="F13" s="790" t="s">
        <v>820</v>
      </c>
      <c r="G13" s="687"/>
      <c r="H13" s="791"/>
      <c r="I13" s="687"/>
      <c r="J13" s="791"/>
      <c r="K13" s="6352"/>
      <c r="L13" s="6675"/>
      <c r="M13" s="6352"/>
      <c r="N13" s="6675"/>
      <c r="O13" s="6352"/>
      <c r="P13" s="6675"/>
      <c r="Q13" s="6352"/>
      <c r="R13" s="6675"/>
      <c r="S13" s="6352"/>
      <c r="T13" s="6675"/>
      <c r="U13" s="6352"/>
      <c r="V13" s="6675"/>
      <c r="W13" s="6352"/>
      <c r="X13" s="6675"/>
      <c r="Y13" s="6352"/>
      <c r="Z13" s="6675"/>
      <c r="AA13" s="6352"/>
      <c r="AB13" s="6675"/>
      <c r="AC13" s="6352"/>
      <c r="AD13" s="6675"/>
      <c r="AE13" s="6352"/>
      <c r="AF13" s="6675"/>
      <c r="AG13" s="6352"/>
      <c r="AH13" s="6675"/>
      <c r="AI13" s="6352"/>
      <c r="AJ13" s="6675"/>
      <c r="AK13" s="419" t="s">
        <v>821</v>
      </c>
      <c r="AL13" s="850"/>
    </row>
    <row customHeight="1" ht="22.5">
      <c r="A14" s="2416"/>
      <c r="D14" s="669" t="s">
        <v>100</v>
      </c>
      <c r="E14" s="409" t="s">
        <v>822</v>
      </c>
      <c r="F14" s="790" t="s">
        <v>823</v>
      </c>
      <c r="G14" s="687"/>
      <c r="H14" s="792"/>
      <c r="I14" s="687"/>
      <c r="J14" s="792"/>
      <c r="K14" s="6352"/>
      <c r="L14" s="6675"/>
      <c r="M14" s="6352"/>
      <c r="N14" s="6675"/>
      <c r="O14" s="6352"/>
      <c r="P14" s="6675"/>
      <c r="Q14" s="6352"/>
      <c r="R14" s="6675"/>
      <c r="S14" s="6352"/>
      <c r="T14" s="6675"/>
      <c r="U14" s="6352"/>
      <c r="V14" s="6675"/>
      <c r="W14" s="6352"/>
      <c r="X14" s="6675"/>
      <c r="Y14" s="6352"/>
      <c r="Z14" s="6675"/>
      <c r="AA14" s="6352"/>
      <c r="AB14" s="6675"/>
      <c r="AC14" s="6352"/>
      <c r="AD14" s="6675"/>
      <c r="AE14" s="6352"/>
      <c r="AF14" s="6675"/>
      <c r="AG14" s="6352"/>
      <c r="AH14" s="6675"/>
      <c r="AI14" s="6352"/>
      <c r="AJ14" s="6675"/>
      <c r="AK14" s="419" t="s">
        <v>824</v>
      </c>
      <c r="AL14" s="850"/>
    </row>
    <row s="11055" customFormat="1" customHeight="1" ht="78.75">
      <c r="A15" s="2416"/>
      <c r="B15" s="641"/>
      <c r="D15" s="1084" t="s">
        <v>87</v>
      </c>
      <c r="E15" s="837" t="s">
        <v>825</v>
      </c>
      <c r="F15" s="1081" t="s">
        <v>384</v>
      </c>
      <c r="G15" s="1081" t="s">
        <v>384</v>
      </c>
      <c r="H15" s="236"/>
      <c r="I15" s="1081" t="s">
        <v>384</v>
      </c>
      <c r="J15" s="236"/>
      <c r="K15" s="6306" t="s">
        <v>384</v>
      </c>
      <c r="L15" s="6681"/>
      <c r="M15" s="6306" t="s">
        <v>384</v>
      </c>
      <c r="N15" s="6681"/>
      <c r="O15" s="6306" t="s">
        <v>384</v>
      </c>
      <c r="P15" s="6681"/>
      <c r="Q15" s="6306" t="s">
        <v>384</v>
      </c>
      <c r="R15" s="6681"/>
      <c r="S15" s="6306" t="s">
        <v>384</v>
      </c>
      <c r="T15" s="6681"/>
      <c r="U15" s="6306" t="s">
        <v>384</v>
      </c>
      <c r="V15" s="6681"/>
      <c r="W15" s="6306" t="s">
        <v>384</v>
      </c>
      <c r="X15" s="6681"/>
      <c r="Y15" s="6306" t="s">
        <v>384</v>
      </c>
      <c r="Z15" s="6681"/>
      <c r="AA15" s="6306" t="s">
        <v>384</v>
      </c>
      <c r="AB15" s="6681"/>
      <c r="AC15" s="6306" t="s">
        <v>384</v>
      </c>
      <c r="AD15" s="6681"/>
      <c r="AE15" s="6306" t="s">
        <v>384</v>
      </c>
      <c r="AF15" s="6681"/>
      <c r="AG15" s="6306" t="s">
        <v>384</v>
      </c>
      <c r="AH15" s="6681"/>
      <c r="AI15" s="6306" t="s">
        <v>384</v>
      </c>
      <c r="AJ15" s="6681"/>
      <c r="AK15" s="419" t="s">
        <v>826</v>
      </c>
      <c r="AL15" s="850"/>
    </row>
    <row s="11055" customFormat="1" customHeight="1" ht="22.5">
      <c r="A16" s="2416"/>
      <c r="B16" s="641"/>
      <c r="D16" s="1084" t="s">
        <v>404</v>
      </c>
      <c r="E16" s="1085" t="s">
        <v>827</v>
      </c>
      <c r="F16" s="1081" t="s">
        <v>828</v>
      </c>
      <c r="G16" s="947"/>
      <c r="H16" s="236"/>
      <c r="I16" s="947"/>
      <c r="J16" s="236"/>
      <c r="K16" s="6683"/>
      <c r="L16" s="6681"/>
      <c r="M16" s="6683"/>
      <c r="N16" s="6681"/>
      <c r="O16" s="6683"/>
      <c r="P16" s="6681"/>
      <c r="Q16" s="6683"/>
      <c r="R16" s="6681"/>
      <c r="S16" s="6683"/>
      <c r="T16" s="6681"/>
      <c r="U16" s="6683"/>
      <c r="V16" s="6681"/>
      <c r="W16" s="6683"/>
      <c r="X16" s="6681"/>
      <c r="Y16" s="6683"/>
      <c r="Z16" s="6681"/>
      <c r="AA16" s="6683"/>
      <c r="AB16" s="6681"/>
      <c r="AC16" s="6683"/>
      <c r="AD16" s="6681"/>
      <c r="AE16" s="6683"/>
      <c r="AF16" s="6681"/>
      <c r="AG16" s="6683"/>
      <c r="AH16" s="6681"/>
      <c r="AI16" s="6683"/>
      <c r="AJ16" s="6681"/>
      <c r="AK16" s="419"/>
      <c r="AL16" s="850"/>
    </row>
    <row s="11055" customFormat="1" customHeight="1" ht="22.5">
      <c r="A17" s="2416"/>
      <c r="B17" s="641"/>
      <c r="D17" s="1084" t="s">
        <v>412</v>
      </c>
      <c r="E17" s="1085" t="s">
        <v>829</v>
      </c>
      <c r="F17" s="1081" t="s">
        <v>830</v>
      </c>
      <c r="G17" s="947"/>
      <c r="H17" s="236"/>
      <c r="I17" s="947"/>
      <c r="J17" s="236"/>
      <c r="K17" s="6683"/>
      <c r="L17" s="6681"/>
      <c r="M17" s="6683"/>
      <c r="N17" s="6681"/>
      <c r="O17" s="6683"/>
      <c r="P17" s="6681"/>
      <c r="Q17" s="6683"/>
      <c r="R17" s="6681"/>
      <c r="S17" s="6683"/>
      <c r="T17" s="6681"/>
      <c r="U17" s="6683"/>
      <c r="V17" s="6681"/>
      <c r="W17" s="6683"/>
      <c r="X17" s="6681"/>
      <c r="Y17" s="6683"/>
      <c r="Z17" s="6681"/>
      <c r="AA17" s="6683"/>
      <c r="AB17" s="6681"/>
      <c r="AC17" s="6683"/>
      <c r="AD17" s="6681"/>
      <c r="AE17" s="6683"/>
      <c r="AF17" s="6681"/>
      <c r="AG17" s="6683"/>
      <c r="AH17" s="6681"/>
      <c r="AI17" s="6683"/>
      <c r="AJ17" s="6681"/>
      <c r="AK17" s="419"/>
      <c r="AL17" s="850"/>
    </row>
    <row s="11055" customFormat="1" customHeight="1" ht="33.75">
      <c r="A18" s="2416"/>
      <c r="B18" s="641"/>
      <c r="D18" s="1084" t="s">
        <v>414</v>
      </c>
      <c r="E18" s="1085" t="s">
        <v>831</v>
      </c>
      <c r="F18" s="1081" t="s">
        <v>654</v>
      </c>
      <c r="G18" s="810"/>
      <c r="H18" s="236"/>
      <c r="I18" s="810"/>
      <c r="J18" s="236"/>
      <c r="K18" s="6685"/>
      <c r="L18" s="6681"/>
      <c r="M18" s="6685"/>
      <c r="N18" s="6681"/>
      <c r="O18" s="6685"/>
      <c r="P18" s="6681"/>
      <c r="Q18" s="6685"/>
      <c r="R18" s="6681"/>
      <c r="S18" s="6685"/>
      <c r="T18" s="6681"/>
      <c r="U18" s="6685"/>
      <c r="V18" s="6681"/>
      <c r="W18" s="6685"/>
      <c r="X18" s="6681"/>
      <c r="Y18" s="6685"/>
      <c r="Z18" s="6681"/>
      <c r="AA18" s="6685"/>
      <c r="AB18" s="6681"/>
      <c r="AC18" s="6685"/>
      <c r="AD18" s="6681"/>
      <c r="AE18" s="6685"/>
      <c r="AF18" s="6681"/>
      <c r="AG18" s="6685"/>
      <c r="AH18" s="6681"/>
      <c r="AI18" s="6685"/>
      <c r="AJ18" s="6681"/>
      <c r="AK18" s="419"/>
      <c r="AL18" s="850"/>
    </row>
    <row customHeight="1" ht="101.25">
      <c r="A19" s="2416"/>
      <c r="D19" s="1084" t="s">
        <v>88</v>
      </c>
      <c r="E19" s="409" t="s">
        <v>832</v>
      </c>
      <c r="F19" s="790" t="s">
        <v>629</v>
      </c>
      <c r="G19" s="793"/>
      <c r="H19" s="792"/>
      <c r="I19" s="1086"/>
      <c r="J19" s="792"/>
      <c r="K19" s="6688"/>
      <c r="L19" s="6675"/>
      <c r="M19" s="6688"/>
      <c r="N19" s="6675"/>
      <c r="O19" s="6688"/>
      <c r="P19" s="6675"/>
      <c r="Q19" s="6688"/>
      <c r="R19" s="6675"/>
      <c r="S19" s="6688"/>
      <c r="T19" s="6675"/>
      <c r="U19" s="6688"/>
      <c r="V19" s="6675"/>
      <c r="W19" s="6688"/>
      <c r="X19" s="6675"/>
      <c r="Y19" s="6688"/>
      <c r="Z19" s="6675"/>
      <c r="AA19" s="6688"/>
      <c r="AB19" s="6675"/>
      <c r="AC19" s="6688"/>
      <c r="AD19" s="6675"/>
      <c r="AE19" s="6688"/>
      <c r="AF19" s="6675"/>
      <c r="AG19" s="6688"/>
      <c r="AH19" s="6675"/>
      <c r="AI19" s="6688"/>
      <c r="AJ19" s="6675"/>
      <c r="AK19" s="419" t="s">
        <v>833</v>
      </c>
      <c r="AL19" s="850"/>
    </row>
    <row s="11055" customFormat="1" customHeight="1" ht="18.75">
      <c r="A20" s="2416"/>
      <c r="C20" s="1087"/>
      <c r="D20" s="1084" t="s">
        <v>763</v>
      </c>
      <c r="E20" s="1085" t="s">
        <v>834</v>
      </c>
      <c r="F20" s="1081" t="s">
        <v>384</v>
      </c>
      <c r="G20" s="1081" t="s">
        <v>384</v>
      </c>
      <c r="H20" s="1080" t="s">
        <v>384</v>
      </c>
      <c r="I20" s="1081" t="s">
        <v>384</v>
      </c>
      <c r="J20" s="1080" t="s">
        <v>384</v>
      </c>
      <c r="K20" s="6306" t="s">
        <v>384</v>
      </c>
      <c r="L20" s="6691" t="s">
        <v>384</v>
      </c>
      <c r="M20" s="6306" t="s">
        <v>384</v>
      </c>
      <c r="N20" s="6691" t="s">
        <v>384</v>
      </c>
      <c r="O20" s="6306" t="s">
        <v>384</v>
      </c>
      <c r="P20" s="6691" t="s">
        <v>384</v>
      </c>
      <c r="Q20" s="6306" t="s">
        <v>384</v>
      </c>
      <c r="R20" s="6691" t="s">
        <v>384</v>
      </c>
      <c r="S20" s="6306" t="s">
        <v>384</v>
      </c>
      <c r="T20" s="6691" t="s">
        <v>384</v>
      </c>
      <c r="U20" s="6306" t="s">
        <v>384</v>
      </c>
      <c r="V20" s="6691" t="s">
        <v>384</v>
      </c>
      <c r="W20" s="6306" t="s">
        <v>384</v>
      </c>
      <c r="X20" s="6691" t="s">
        <v>384</v>
      </c>
      <c r="Y20" s="6306" t="s">
        <v>384</v>
      </c>
      <c r="Z20" s="6691" t="s">
        <v>384</v>
      </c>
      <c r="AA20" s="6306" t="s">
        <v>384</v>
      </c>
      <c r="AB20" s="6691" t="s">
        <v>384</v>
      </c>
      <c r="AC20" s="6306" t="s">
        <v>384</v>
      </c>
      <c r="AD20" s="6691" t="s">
        <v>384</v>
      </c>
      <c r="AE20" s="6306" t="s">
        <v>384</v>
      </c>
      <c r="AF20" s="6691" t="s">
        <v>384</v>
      </c>
      <c r="AG20" s="6306" t="s">
        <v>384</v>
      </c>
      <c r="AH20" s="6691" t="s">
        <v>384</v>
      </c>
      <c r="AI20" s="6306" t="s">
        <v>384</v>
      </c>
      <c r="AJ20" s="6691" t="s">
        <v>384</v>
      </c>
      <c r="AK20" s="1079"/>
      <c r="AL20" s="850"/>
      <c r="AW20" s="805"/>
    </row>
    <row s="11055" customFormat="1" customHeight="1" ht="33.75">
      <c r="A21" s="2416"/>
      <c r="C21" s="1087"/>
      <c r="D21" s="1084" t="s">
        <v>766</v>
      </c>
      <c r="E21" s="706" t="s">
        <v>835</v>
      </c>
      <c r="F21" s="1081" t="s">
        <v>836</v>
      </c>
      <c r="G21" s="1073"/>
      <c r="H21" s="236"/>
      <c r="I21" s="1073"/>
      <c r="J21" s="236"/>
      <c r="K21" s="6696"/>
      <c r="L21" s="6681"/>
      <c r="M21" s="6696"/>
      <c r="N21" s="6681"/>
      <c r="O21" s="6696"/>
      <c r="P21" s="6681"/>
      <c r="Q21" s="6696"/>
      <c r="R21" s="6681"/>
      <c r="S21" s="6696"/>
      <c r="T21" s="6681"/>
      <c r="U21" s="6696"/>
      <c r="V21" s="6681"/>
      <c r="W21" s="6696"/>
      <c r="X21" s="6681"/>
      <c r="Y21" s="6696"/>
      <c r="Z21" s="6681"/>
      <c r="AA21" s="6696"/>
      <c r="AB21" s="6681"/>
      <c r="AC21" s="6696"/>
      <c r="AD21" s="6681"/>
      <c r="AE21" s="6696"/>
      <c r="AF21" s="6681"/>
      <c r="AG21" s="6696"/>
      <c r="AH21" s="6681"/>
      <c r="AI21" s="6696"/>
      <c r="AJ21" s="6681"/>
      <c r="AK21" s="1079"/>
      <c r="AL21" s="850"/>
      <c r="AW21" s="805"/>
    </row>
    <row s="11055" customFormat="1" customHeight="1" ht="33.75">
      <c r="A22" s="2416"/>
      <c r="C22" s="1087"/>
      <c r="D22" s="1084" t="s">
        <v>769</v>
      </c>
      <c r="E22" s="706" t="s">
        <v>837</v>
      </c>
      <c r="F22" s="1081" t="s">
        <v>838</v>
      </c>
      <c r="G22" s="1073"/>
      <c r="H22" s="236"/>
      <c r="I22" s="1073"/>
      <c r="J22" s="236"/>
      <c r="K22" s="6696"/>
      <c r="L22" s="6681"/>
      <c r="M22" s="6696"/>
      <c r="N22" s="6681"/>
      <c r="O22" s="6696"/>
      <c r="P22" s="6681"/>
      <c r="Q22" s="6696"/>
      <c r="R22" s="6681"/>
      <c r="S22" s="6696"/>
      <c r="T22" s="6681"/>
      <c r="U22" s="6696"/>
      <c r="V22" s="6681"/>
      <c r="W22" s="6696"/>
      <c r="X22" s="6681"/>
      <c r="Y22" s="6696"/>
      <c r="Z22" s="6681"/>
      <c r="AA22" s="6696"/>
      <c r="AB22" s="6681"/>
      <c r="AC22" s="6696"/>
      <c r="AD22" s="6681"/>
      <c r="AE22" s="6696"/>
      <c r="AF22" s="6681"/>
      <c r="AG22" s="6696"/>
      <c r="AH22" s="6681"/>
      <c r="AI22" s="6696"/>
      <c r="AJ22" s="6681"/>
      <c r="AK22" s="1079"/>
      <c r="AL22" s="850"/>
      <c r="AW22" s="805"/>
    </row>
    <row s="11055" customFormat="1" customHeight="1" ht="22.5">
      <c r="A23" s="2416"/>
      <c r="C23" s="1087"/>
      <c r="D23" s="1084" t="s">
        <v>806</v>
      </c>
      <c r="E23" s="1085" t="s">
        <v>839</v>
      </c>
      <c r="F23" s="1081" t="s">
        <v>384</v>
      </c>
      <c r="G23" s="1081" t="s">
        <v>384</v>
      </c>
      <c r="H23" s="1080" t="s">
        <v>384</v>
      </c>
      <c r="I23" s="1081" t="s">
        <v>384</v>
      </c>
      <c r="J23" s="1080" t="s">
        <v>384</v>
      </c>
      <c r="K23" s="6306" t="s">
        <v>384</v>
      </c>
      <c r="L23" s="6691" t="s">
        <v>384</v>
      </c>
      <c r="M23" s="6306" t="s">
        <v>384</v>
      </c>
      <c r="N23" s="6691" t="s">
        <v>384</v>
      </c>
      <c r="O23" s="6306" t="s">
        <v>384</v>
      </c>
      <c r="P23" s="6691" t="s">
        <v>384</v>
      </c>
      <c r="Q23" s="6306" t="s">
        <v>384</v>
      </c>
      <c r="R23" s="6691" t="s">
        <v>384</v>
      </c>
      <c r="S23" s="6306" t="s">
        <v>384</v>
      </c>
      <c r="T23" s="6691" t="s">
        <v>384</v>
      </c>
      <c r="U23" s="6306" t="s">
        <v>384</v>
      </c>
      <c r="V23" s="6691" t="s">
        <v>384</v>
      </c>
      <c r="W23" s="6306" t="s">
        <v>384</v>
      </c>
      <c r="X23" s="6691" t="s">
        <v>384</v>
      </c>
      <c r="Y23" s="6306" t="s">
        <v>384</v>
      </c>
      <c r="Z23" s="6691" t="s">
        <v>384</v>
      </c>
      <c r="AA23" s="6306" t="s">
        <v>384</v>
      </c>
      <c r="AB23" s="6691" t="s">
        <v>384</v>
      </c>
      <c r="AC23" s="6306" t="s">
        <v>384</v>
      </c>
      <c r="AD23" s="6691" t="s">
        <v>384</v>
      </c>
      <c r="AE23" s="6306" t="s">
        <v>384</v>
      </c>
      <c r="AF23" s="6691" t="s">
        <v>384</v>
      </c>
      <c r="AG23" s="6306" t="s">
        <v>384</v>
      </c>
      <c r="AH23" s="6691" t="s">
        <v>384</v>
      </c>
      <c r="AI23" s="6306" t="s">
        <v>384</v>
      </c>
      <c r="AJ23" s="6691" t="s">
        <v>384</v>
      </c>
      <c r="AK23" s="1079"/>
      <c r="AL23" s="850"/>
      <c r="AW23" s="805"/>
    </row>
    <row s="11055" customFormat="1" customHeight="1" ht="22.5">
      <c r="A24" s="2416"/>
      <c r="C24" s="1087"/>
      <c r="D24" s="1084" t="s">
        <v>840</v>
      </c>
      <c r="E24" s="706" t="s">
        <v>841</v>
      </c>
      <c r="F24" s="1081" t="s">
        <v>842</v>
      </c>
      <c r="G24" s="1073"/>
      <c r="H24" s="816"/>
      <c r="I24" s="1073"/>
      <c r="J24" s="816"/>
      <c r="K24" s="6696"/>
      <c r="L24" s="6698"/>
      <c r="M24" s="6696"/>
      <c r="N24" s="6698"/>
      <c r="O24" s="6696"/>
      <c r="P24" s="6698"/>
      <c r="Q24" s="6696"/>
      <c r="R24" s="6698"/>
      <c r="S24" s="6696"/>
      <c r="T24" s="6698"/>
      <c r="U24" s="6696"/>
      <c r="V24" s="6698"/>
      <c r="W24" s="6696"/>
      <c r="X24" s="6698"/>
      <c r="Y24" s="6696"/>
      <c r="Z24" s="6698"/>
      <c r="AA24" s="6696"/>
      <c r="AB24" s="6698"/>
      <c r="AC24" s="6696"/>
      <c r="AD24" s="6698"/>
      <c r="AE24" s="6696"/>
      <c r="AF24" s="6698"/>
      <c r="AG24" s="6696"/>
      <c r="AH24" s="6698"/>
      <c r="AI24" s="6696"/>
      <c r="AJ24" s="6698"/>
      <c r="AK24" s="1079"/>
      <c r="AL24" s="850"/>
      <c r="AW24" s="805"/>
    </row>
    <row s="11055" customFormat="1" customHeight="1" ht="22.5">
      <c r="A25" s="2416"/>
      <c r="C25" s="1087"/>
      <c r="D25" s="1084" t="s">
        <v>843</v>
      </c>
      <c r="E25" s="706" t="s">
        <v>844</v>
      </c>
      <c r="F25" s="1081" t="s">
        <v>384</v>
      </c>
      <c r="G25" s="1081" t="s">
        <v>384</v>
      </c>
      <c r="H25" s="1080" t="s">
        <v>384</v>
      </c>
      <c r="I25" s="1081" t="s">
        <v>384</v>
      </c>
      <c r="J25" s="1080" t="s">
        <v>384</v>
      </c>
      <c r="K25" s="6306" t="s">
        <v>384</v>
      </c>
      <c r="L25" s="6691" t="s">
        <v>384</v>
      </c>
      <c r="M25" s="6306" t="s">
        <v>384</v>
      </c>
      <c r="N25" s="6691" t="s">
        <v>384</v>
      </c>
      <c r="O25" s="6306" t="s">
        <v>384</v>
      </c>
      <c r="P25" s="6691" t="s">
        <v>384</v>
      </c>
      <c r="Q25" s="6306" t="s">
        <v>384</v>
      </c>
      <c r="R25" s="6691" t="s">
        <v>384</v>
      </c>
      <c r="S25" s="6306" t="s">
        <v>384</v>
      </c>
      <c r="T25" s="6691" t="s">
        <v>384</v>
      </c>
      <c r="U25" s="6306" t="s">
        <v>384</v>
      </c>
      <c r="V25" s="6691" t="s">
        <v>384</v>
      </c>
      <c r="W25" s="6306" t="s">
        <v>384</v>
      </c>
      <c r="X25" s="6691" t="s">
        <v>384</v>
      </c>
      <c r="Y25" s="6306" t="s">
        <v>384</v>
      </c>
      <c r="Z25" s="6691" t="s">
        <v>384</v>
      </c>
      <c r="AA25" s="6306" t="s">
        <v>384</v>
      </c>
      <c r="AB25" s="6691" t="s">
        <v>384</v>
      </c>
      <c r="AC25" s="6306" t="s">
        <v>384</v>
      </c>
      <c r="AD25" s="6691" t="s">
        <v>384</v>
      </c>
      <c r="AE25" s="6306" t="s">
        <v>384</v>
      </c>
      <c r="AF25" s="6691" t="s">
        <v>384</v>
      </c>
      <c r="AG25" s="6306" t="s">
        <v>384</v>
      </c>
      <c r="AH25" s="6691" t="s">
        <v>384</v>
      </c>
      <c r="AI25" s="6306" t="s">
        <v>384</v>
      </c>
      <c r="AJ25" s="6691" t="s">
        <v>384</v>
      </c>
      <c r="AK25" s="1079"/>
      <c r="AL25" s="850"/>
      <c r="AW25" s="805"/>
    </row>
    <row s="11055" customFormat="1" customHeight="1" ht="18.75">
      <c r="A26" s="2416"/>
      <c r="C26" s="1087"/>
      <c r="D26" s="1084" t="s">
        <v>845</v>
      </c>
      <c r="E26" s="683" t="s">
        <v>846</v>
      </c>
      <c r="F26" s="1081" t="s">
        <v>847</v>
      </c>
      <c r="G26" s="810"/>
      <c r="H26" s="816"/>
      <c r="I26" s="810"/>
      <c r="J26" s="816"/>
      <c r="K26" s="6685"/>
      <c r="L26" s="6698"/>
      <c r="M26" s="6685"/>
      <c r="N26" s="6698"/>
      <c r="O26" s="6685"/>
      <c r="P26" s="6698"/>
      <c r="Q26" s="6685"/>
      <c r="R26" s="6698"/>
      <c r="S26" s="6685"/>
      <c r="T26" s="6698"/>
      <c r="U26" s="6685"/>
      <c r="V26" s="6698"/>
      <c r="W26" s="6685"/>
      <c r="X26" s="6698"/>
      <c r="Y26" s="6685"/>
      <c r="Z26" s="6698"/>
      <c r="AA26" s="6685"/>
      <c r="AB26" s="6698"/>
      <c r="AC26" s="6685"/>
      <c r="AD26" s="6698"/>
      <c r="AE26" s="6685"/>
      <c r="AF26" s="6698"/>
      <c r="AG26" s="6685"/>
      <c r="AH26" s="6698"/>
      <c r="AI26" s="6685"/>
      <c r="AJ26" s="6698"/>
      <c r="AK26" s="1079"/>
      <c r="AL26" s="850"/>
      <c r="AW26" s="805"/>
    </row>
    <row s="11055" customFormat="1" customHeight="1" ht="18.75">
      <c r="A27" s="2416"/>
      <c r="C27" s="1087"/>
      <c r="D27" s="1084" t="s">
        <v>848</v>
      </c>
      <c r="E27" s="683" t="s">
        <v>849</v>
      </c>
      <c r="F27" s="1081" t="s">
        <v>850</v>
      </c>
      <c r="G27" s="810"/>
      <c r="H27" s="816"/>
      <c r="I27" s="810"/>
      <c r="J27" s="816"/>
      <c r="K27" s="6685"/>
      <c r="L27" s="6698"/>
      <c r="M27" s="6685"/>
      <c r="N27" s="6698"/>
      <c r="O27" s="6685"/>
      <c r="P27" s="6698"/>
      <c r="Q27" s="6685"/>
      <c r="R27" s="6698"/>
      <c r="S27" s="6685"/>
      <c r="T27" s="6698"/>
      <c r="U27" s="6685"/>
      <c r="V27" s="6698"/>
      <c r="W27" s="6685"/>
      <c r="X27" s="6698"/>
      <c r="Y27" s="6685"/>
      <c r="Z27" s="6698"/>
      <c r="AA27" s="6685"/>
      <c r="AB27" s="6698"/>
      <c r="AC27" s="6685"/>
      <c r="AD27" s="6698"/>
      <c r="AE27" s="6685"/>
      <c r="AF27" s="6698"/>
      <c r="AG27" s="6685"/>
      <c r="AH27" s="6698"/>
      <c r="AI27" s="6685"/>
      <c r="AJ27" s="6698"/>
      <c r="AK27" s="1079"/>
      <c r="AL27" s="850"/>
      <c r="AW27" s="805"/>
    </row>
    <row s="11055" customFormat="1" customHeight="1" ht="18.75">
      <c r="A28" s="2416"/>
      <c r="C28" s="1087"/>
      <c r="D28" s="1084" t="s">
        <v>851</v>
      </c>
      <c r="E28" s="706" t="s">
        <v>852</v>
      </c>
      <c r="F28" s="1081" t="s">
        <v>384</v>
      </c>
      <c r="G28" s="1081" t="s">
        <v>384</v>
      </c>
      <c r="H28" s="1080" t="s">
        <v>384</v>
      </c>
      <c r="I28" s="1081" t="s">
        <v>384</v>
      </c>
      <c r="J28" s="1080" t="s">
        <v>384</v>
      </c>
      <c r="K28" s="6306" t="s">
        <v>384</v>
      </c>
      <c r="L28" s="6691" t="s">
        <v>384</v>
      </c>
      <c r="M28" s="6306" t="s">
        <v>384</v>
      </c>
      <c r="N28" s="6691" t="s">
        <v>384</v>
      </c>
      <c r="O28" s="6306" t="s">
        <v>384</v>
      </c>
      <c r="P28" s="6691" t="s">
        <v>384</v>
      </c>
      <c r="Q28" s="6306" t="s">
        <v>384</v>
      </c>
      <c r="R28" s="6691" t="s">
        <v>384</v>
      </c>
      <c r="S28" s="6306" t="s">
        <v>384</v>
      </c>
      <c r="T28" s="6691" t="s">
        <v>384</v>
      </c>
      <c r="U28" s="6306" t="s">
        <v>384</v>
      </c>
      <c r="V28" s="6691" t="s">
        <v>384</v>
      </c>
      <c r="W28" s="6306" t="s">
        <v>384</v>
      </c>
      <c r="X28" s="6691" t="s">
        <v>384</v>
      </c>
      <c r="Y28" s="6306" t="s">
        <v>384</v>
      </c>
      <c r="Z28" s="6691" t="s">
        <v>384</v>
      </c>
      <c r="AA28" s="6306" t="s">
        <v>384</v>
      </c>
      <c r="AB28" s="6691" t="s">
        <v>384</v>
      </c>
      <c r="AC28" s="6306" t="s">
        <v>384</v>
      </c>
      <c r="AD28" s="6691" t="s">
        <v>384</v>
      </c>
      <c r="AE28" s="6306" t="s">
        <v>384</v>
      </c>
      <c r="AF28" s="6691" t="s">
        <v>384</v>
      </c>
      <c r="AG28" s="6306" t="s">
        <v>384</v>
      </c>
      <c r="AH28" s="6691" t="s">
        <v>384</v>
      </c>
      <c r="AI28" s="6306" t="s">
        <v>384</v>
      </c>
      <c r="AJ28" s="6691" t="s">
        <v>384</v>
      </c>
      <c r="AK28" s="1079"/>
      <c r="AL28" s="850"/>
      <c r="AW28" s="805"/>
    </row>
    <row s="11055" customFormat="1" customHeight="1" ht="18.75">
      <c r="A29" s="2416"/>
      <c r="C29" s="1087"/>
      <c r="D29" s="1084" t="s">
        <v>853</v>
      </c>
      <c r="E29" s="683" t="s">
        <v>846</v>
      </c>
      <c r="F29" s="1081" t="s">
        <v>854</v>
      </c>
      <c r="G29" s="810"/>
      <c r="H29" s="816"/>
      <c r="I29" s="810"/>
      <c r="J29" s="816"/>
      <c r="K29" s="6685"/>
      <c r="L29" s="6698"/>
      <c r="M29" s="6685"/>
      <c r="N29" s="6698"/>
      <c r="O29" s="6685"/>
      <c r="P29" s="6698"/>
      <c r="Q29" s="6685"/>
      <c r="R29" s="6698"/>
      <c r="S29" s="6685"/>
      <c r="T29" s="6698"/>
      <c r="U29" s="6685"/>
      <c r="V29" s="6698"/>
      <c r="W29" s="6685"/>
      <c r="X29" s="6698"/>
      <c r="Y29" s="6685"/>
      <c r="Z29" s="6698"/>
      <c r="AA29" s="6685"/>
      <c r="AB29" s="6698"/>
      <c r="AC29" s="6685"/>
      <c r="AD29" s="6698"/>
      <c r="AE29" s="6685"/>
      <c r="AF29" s="6698"/>
      <c r="AG29" s="6685"/>
      <c r="AH29" s="6698"/>
      <c r="AI29" s="6685"/>
      <c r="AJ29" s="6698"/>
      <c r="AK29" s="1079"/>
      <c r="AL29" s="850"/>
      <c r="AW29" s="805"/>
    </row>
    <row s="11055" customFormat="1" customHeight="1" ht="18.75">
      <c r="A30" s="2416"/>
      <c r="C30" s="1087"/>
      <c r="D30" s="1084" t="s">
        <v>855</v>
      </c>
      <c r="E30" s="683" t="s">
        <v>856</v>
      </c>
      <c r="F30" s="1081" t="s">
        <v>857</v>
      </c>
      <c r="G30" s="810"/>
      <c r="H30" s="816"/>
      <c r="I30" s="810"/>
      <c r="J30" s="816"/>
      <c r="K30" s="6685"/>
      <c r="L30" s="6698"/>
      <c r="M30" s="6685"/>
      <c r="N30" s="6698"/>
      <c r="O30" s="6685"/>
      <c r="P30" s="6698"/>
      <c r="Q30" s="6685"/>
      <c r="R30" s="6698"/>
      <c r="S30" s="6685"/>
      <c r="T30" s="6698"/>
      <c r="U30" s="6685"/>
      <c r="V30" s="6698"/>
      <c r="W30" s="6685"/>
      <c r="X30" s="6698"/>
      <c r="Y30" s="6685"/>
      <c r="Z30" s="6698"/>
      <c r="AA30" s="6685"/>
      <c r="AB30" s="6698"/>
      <c r="AC30" s="6685"/>
      <c r="AD30" s="6698"/>
      <c r="AE30" s="6685"/>
      <c r="AF30" s="6698"/>
      <c r="AG30" s="6685"/>
      <c r="AH30" s="6698"/>
      <c r="AI30" s="6685"/>
      <c r="AJ30" s="6698"/>
      <c r="AK30" s="1079"/>
      <c r="AL30" s="850"/>
      <c r="AW30" s="805"/>
    </row>
    <row customHeight="1" ht="126.75">
      <c r="A31" s="2416"/>
      <c r="D31" s="1084" t="s">
        <v>119</v>
      </c>
      <c r="E31" s="409" t="s">
        <v>858</v>
      </c>
      <c r="F31" s="790" t="s">
        <v>641</v>
      </c>
      <c r="G31" s="687"/>
      <c r="H31" s="792"/>
      <c r="I31" s="687"/>
      <c r="J31" s="792"/>
      <c r="K31" s="6352"/>
      <c r="L31" s="6675"/>
      <c r="M31" s="6352"/>
      <c r="N31" s="6675"/>
      <c r="O31" s="6352"/>
      <c r="P31" s="6675"/>
      <c r="Q31" s="6352"/>
      <c r="R31" s="6675"/>
      <c r="S31" s="6352"/>
      <c r="T31" s="6675"/>
      <c r="U31" s="6352"/>
      <c r="V31" s="6675"/>
      <c r="W31" s="6352"/>
      <c r="X31" s="6675"/>
      <c r="Y31" s="6352"/>
      <c r="Z31" s="6675"/>
      <c r="AA31" s="6352"/>
      <c r="AB31" s="6675"/>
      <c r="AC31" s="6352"/>
      <c r="AD31" s="6675"/>
      <c r="AE31" s="6352"/>
      <c r="AF31" s="6675"/>
      <c r="AG31" s="6352"/>
      <c r="AH31" s="6675"/>
      <c r="AI31" s="6352"/>
      <c r="AJ31" s="6675"/>
      <c r="AK31" s="419" t="s">
        <v>859</v>
      </c>
      <c r="AL31" s="850"/>
    </row>
    <row customHeight="1" ht="56.25">
      <c r="A32" s="2416"/>
      <c r="D32" s="1084" t="s">
        <v>89</v>
      </c>
      <c r="E32" s="409" t="s">
        <v>860</v>
      </c>
      <c r="F32" s="669" t="s">
        <v>830</v>
      </c>
      <c r="G32" s="687"/>
      <c r="H32" s="792"/>
      <c r="I32" s="687"/>
      <c r="J32" s="792"/>
      <c r="K32" s="6352"/>
      <c r="L32" s="6675"/>
      <c r="M32" s="6352"/>
      <c r="N32" s="6675"/>
      <c r="O32" s="6352"/>
      <c r="P32" s="6675"/>
      <c r="Q32" s="6352"/>
      <c r="R32" s="6675"/>
      <c r="S32" s="6352"/>
      <c r="T32" s="6675"/>
      <c r="U32" s="6352"/>
      <c r="V32" s="6675"/>
      <c r="W32" s="6352"/>
      <c r="X32" s="6675"/>
      <c r="Y32" s="6352"/>
      <c r="Z32" s="6675"/>
      <c r="AA32" s="6352"/>
      <c r="AB32" s="6675"/>
      <c r="AC32" s="6352"/>
      <c r="AD32" s="6675"/>
      <c r="AE32" s="6352"/>
      <c r="AF32" s="6675"/>
      <c r="AG32" s="6352"/>
      <c r="AH32" s="6675"/>
      <c r="AI32" s="6352"/>
      <c r="AJ32" s="6675"/>
      <c r="AK32" s="419" t="s">
        <v>861</v>
      </c>
      <c r="AL32" s="850"/>
    </row>
    <row customHeight="1" ht="11.25">
      <c r="A33" s="2416"/>
      <c r="E33" s="794"/>
      <c r="F33" s="311"/>
      <c r="G33" s="311"/>
      <c r="H33" s="311"/>
      <c r="I33" s="311"/>
      <c r="J33" s="311"/>
      <c r="K33" s="6700"/>
      <c r="L33" s="6700"/>
      <c r="M33" s="6700"/>
      <c r="N33" s="6700"/>
      <c r="O33" s="6700"/>
      <c r="P33" s="6700"/>
      <c r="Q33" s="6700"/>
      <c r="R33" s="6700"/>
      <c r="S33" s="6700"/>
      <c r="T33" s="6700"/>
      <c r="U33" s="6700"/>
      <c r="V33" s="6700"/>
      <c r="W33" s="6700"/>
      <c r="X33" s="6700"/>
      <c r="Y33" s="6700"/>
      <c r="Z33" s="6700"/>
      <c r="AA33" s="6700"/>
      <c r="AB33" s="6700"/>
      <c r="AC33" s="6700"/>
      <c r="AD33" s="6700"/>
      <c r="AE33" s="6700"/>
      <c r="AF33" s="6700"/>
      <c r="AG33" s="6700"/>
      <c r="AH33" s="6700"/>
      <c r="AI33" s="6700"/>
      <c r="AJ33" s="6700"/>
      <c r="AK33" s="311"/>
    </row>
    <row customHeight="1" ht="12.75">
      <c r="A34" s="2416"/>
      <c r="D34" s="193">
        <v>1</v>
      </c>
      <c r="E34" s="465" t="s">
        <v>862</v>
      </c>
      <c r="K34" s="6300"/>
      <c r="L34" s="6300"/>
      <c r="M34" s="6300"/>
      <c r="N34" s="6300"/>
      <c r="O34" s="6300"/>
      <c r="P34" s="6300"/>
      <c r="Q34" s="6300"/>
      <c r="R34" s="6300"/>
      <c r="S34" s="6300"/>
      <c r="T34" s="6300"/>
      <c r="U34" s="6300"/>
      <c r="V34" s="6300"/>
      <c r="W34" s="6300"/>
      <c r="X34" s="6300"/>
      <c r="Y34" s="6300"/>
      <c r="Z34" s="6300"/>
      <c r="AA34" s="6300"/>
      <c r="AB34" s="6300"/>
      <c r="AC34" s="6300"/>
      <c r="AD34" s="6300"/>
      <c r="AE34" s="6300"/>
      <c r="AF34" s="6300"/>
      <c r="AG34" s="6300"/>
      <c r="AH34" s="6300"/>
      <c r="AI34" s="6300"/>
      <c r="AJ34" s="6300"/>
    </row>
    <row customHeight="1" ht="11.25">
      <c r="A35" s="2416"/>
      <c r="D35" s="499"/>
      <c r="E35" s="465" t="s">
        <v>863</v>
      </c>
      <c r="K35" s="6300"/>
      <c r="L35" s="6300"/>
      <c r="M35" s="6300"/>
      <c r="N35" s="6300"/>
      <c r="O35" s="6300"/>
      <c r="P35" s="6300"/>
      <c r="Q35" s="6300"/>
      <c r="R35" s="6300"/>
      <c r="S35" s="6300"/>
      <c r="T35" s="6300"/>
      <c r="U35" s="6300"/>
      <c r="V35" s="6300"/>
      <c r="W35" s="6300"/>
      <c r="X35" s="6300"/>
      <c r="Y35" s="6300"/>
      <c r="Z35" s="6300"/>
      <c r="AA35" s="6300"/>
      <c r="AB35" s="6300"/>
      <c r="AC35" s="6300"/>
      <c r="AD35" s="6300"/>
      <c r="AE35" s="6300"/>
      <c r="AF35" s="6300"/>
      <c r="AG35" s="6300"/>
      <c r="AH35" s="6300"/>
      <c r="AI35" s="6300"/>
      <c r="AJ35" s="6300"/>
    </row>
    <row s="12259" customFormat="1" customHeight="1" ht="11.25">
      <c r="A36" s="1164"/>
      <c r="B36" s="648"/>
      <c r="D36" s="1165"/>
      <c r="E36" s="1166"/>
      <c r="K36" s="6300"/>
      <c r="L36" s="6300"/>
      <c r="M36" s="6300"/>
      <c r="N36" s="6300"/>
      <c r="O36" s="6300"/>
      <c r="P36" s="6300"/>
      <c r="Q36" s="6300"/>
      <c r="R36" s="6300"/>
      <c r="S36" s="6300"/>
      <c r="T36" s="6300"/>
      <c r="U36" s="6300"/>
      <c r="V36" s="6300"/>
      <c r="W36" s="6300"/>
      <c r="X36" s="6300"/>
      <c r="Y36" s="6300"/>
      <c r="Z36" s="6300"/>
      <c r="AA36" s="6300"/>
      <c r="AB36" s="6300"/>
      <c r="AC36" s="6300"/>
      <c r="AD36" s="6300"/>
      <c r="AE36" s="6300"/>
      <c r="AF36" s="6300"/>
      <c r="AG36" s="6300"/>
      <c r="AH36" s="6300"/>
      <c r="AI36" s="6300"/>
      <c r="AJ36" s="6300"/>
    </row>
    <row s="11055" customFormat="1" customHeight="1" ht="22.5" hidden="1">
      <c r="A37" s="2416" t="s">
        <v>864</v>
      </c>
      <c r="B37" s="641"/>
      <c r="D37" s="1084">
        <v>1</v>
      </c>
      <c r="E37" s="837" t="s">
        <v>865</v>
      </c>
      <c r="F37" s="790" t="s">
        <v>820</v>
      </c>
      <c r="G37" s="687"/>
      <c r="H37" s="649"/>
      <c r="I37" s="687"/>
      <c r="J37" s="649"/>
      <c r="K37" s="6352"/>
      <c r="L37" s="6707"/>
      <c r="M37" s="6352"/>
      <c r="N37" s="6707"/>
      <c r="O37" s="6352"/>
      <c r="P37" s="6707"/>
      <c r="Q37" s="6352"/>
      <c r="R37" s="6707"/>
      <c r="S37" s="6352"/>
      <c r="T37" s="6707"/>
      <c r="U37" s="6352"/>
      <c r="V37" s="6707"/>
      <c r="W37" s="6352"/>
      <c r="X37" s="6707"/>
      <c r="Y37" s="6352"/>
      <c r="Z37" s="6707"/>
      <c r="AA37" s="6352"/>
      <c r="AB37" s="6707"/>
      <c r="AC37" s="6352"/>
      <c r="AD37" s="6707"/>
      <c r="AE37" s="6352"/>
      <c r="AF37" s="6707"/>
      <c r="AG37" s="6352"/>
      <c r="AH37" s="6707"/>
      <c r="AI37" s="6352"/>
      <c r="AJ37" s="6707"/>
      <c r="AK37" s="419" t="s">
        <v>866</v>
      </c>
    </row>
    <row s="11055" customFormat="1" customHeight="1" ht="22.5" hidden="1">
      <c r="A38" s="2416"/>
      <c r="B38" s="641"/>
      <c r="D38" s="799" t="s">
        <v>100</v>
      </c>
      <c r="E38" s="1163" t="s">
        <v>867</v>
      </c>
      <c r="F38" s="1167" t="s">
        <v>629</v>
      </c>
      <c r="G38" s="1167" t="s">
        <v>629</v>
      </c>
      <c r="H38" s="1161"/>
      <c r="I38" s="1167" t="s">
        <v>629</v>
      </c>
      <c r="J38" s="1161"/>
      <c r="K38" s="6712" t="s">
        <v>629</v>
      </c>
      <c r="L38" s="6713"/>
      <c r="M38" s="6712" t="s">
        <v>629</v>
      </c>
      <c r="N38" s="6713"/>
      <c r="O38" s="6712" t="s">
        <v>629</v>
      </c>
      <c r="P38" s="6713"/>
      <c r="Q38" s="6712" t="s">
        <v>629</v>
      </c>
      <c r="R38" s="6713"/>
      <c r="S38" s="6712" t="s">
        <v>629</v>
      </c>
      <c r="T38" s="6713"/>
      <c r="U38" s="6712" t="s">
        <v>629</v>
      </c>
      <c r="V38" s="6713"/>
      <c r="W38" s="6712" t="s">
        <v>629</v>
      </c>
      <c r="X38" s="6713"/>
      <c r="Y38" s="6712" t="s">
        <v>629</v>
      </c>
      <c r="Z38" s="6713"/>
      <c r="AA38" s="6712" t="s">
        <v>629</v>
      </c>
      <c r="AB38" s="6713"/>
      <c r="AC38" s="6712" t="s">
        <v>629</v>
      </c>
      <c r="AD38" s="6713"/>
      <c r="AE38" s="6712" t="s">
        <v>629</v>
      </c>
      <c r="AF38" s="6713"/>
      <c r="AG38" s="6712" t="s">
        <v>629</v>
      </c>
      <c r="AH38" s="6713"/>
      <c r="AI38" s="6712" t="s">
        <v>629</v>
      </c>
      <c r="AJ38" s="6713"/>
      <c r="AK38" s="1162"/>
    </row>
    <row s="11055" customFormat="1" customHeight="1" ht="33.75" hidden="1">
      <c r="A39" s="2416"/>
      <c r="B39" s="641"/>
      <c r="D39" s="795" t="s">
        <v>721</v>
      </c>
      <c r="E39" s="853" t="s">
        <v>868</v>
      </c>
      <c r="F39" s="790" t="s">
        <v>869</v>
      </c>
      <c r="G39" s="798"/>
      <c r="H39" s="1154"/>
      <c r="I39" s="798"/>
      <c r="J39" s="1154"/>
      <c r="K39" s="6718"/>
      <c r="L39" s="6719"/>
      <c r="M39" s="6718"/>
      <c r="N39" s="6719"/>
      <c r="O39" s="6718"/>
      <c r="P39" s="6719"/>
      <c r="Q39" s="6718"/>
      <c r="R39" s="6719"/>
      <c r="S39" s="6718"/>
      <c r="T39" s="6719"/>
      <c r="U39" s="6718"/>
      <c r="V39" s="6719"/>
      <c r="W39" s="6718"/>
      <c r="X39" s="6719"/>
      <c r="Y39" s="6718"/>
      <c r="Z39" s="6719"/>
      <c r="AA39" s="6718"/>
      <c r="AB39" s="6719"/>
      <c r="AC39" s="6718"/>
      <c r="AD39" s="6719"/>
      <c r="AE39" s="6718"/>
      <c r="AF39" s="6719"/>
      <c r="AG39" s="6718"/>
      <c r="AH39" s="6719"/>
      <c r="AI39" s="6718"/>
      <c r="AJ39" s="6719"/>
      <c r="AK39" s="419" t="s">
        <v>870</v>
      </c>
    </row>
    <row s="11055" customFormat="1" customHeight="1" ht="33.75" hidden="1">
      <c r="A40" s="2416"/>
      <c r="B40" s="641"/>
      <c r="D40" s="795" t="s">
        <v>724</v>
      </c>
      <c r="E40" s="853" t="s">
        <v>871</v>
      </c>
      <c r="F40" s="1158" t="s">
        <v>872</v>
      </c>
      <c r="G40" s="871"/>
      <c r="H40" s="1154"/>
      <c r="I40" s="871"/>
      <c r="J40" s="1154"/>
      <c r="K40" s="6722"/>
      <c r="L40" s="6719"/>
      <c r="M40" s="6722"/>
      <c r="N40" s="6719"/>
      <c r="O40" s="6722"/>
      <c r="P40" s="6719"/>
      <c r="Q40" s="6722"/>
      <c r="R40" s="6719"/>
      <c r="S40" s="6722"/>
      <c r="T40" s="6719"/>
      <c r="U40" s="6722"/>
      <c r="V40" s="6719"/>
      <c r="W40" s="6722"/>
      <c r="X40" s="6719"/>
      <c r="Y40" s="6722"/>
      <c r="Z40" s="6719"/>
      <c r="AA40" s="6722"/>
      <c r="AB40" s="6719"/>
      <c r="AC40" s="6722"/>
      <c r="AD40" s="6719"/>
      <c r="AE40" s="6722"/>
      <c r="AF40" s="6719"/>
      <c r="AG40" s="6722"/>
      <c r="AH40" s="6719"/>
      <c r="AI40" s="6722"/>
      <c r="AJ40" s="6719"/>
      <c r="AK40" s="419" t="s">
        <v>873</v>
      </c>
    </row>
    <row s="11055" customFormat="1" customHeight="1" ht="22.5" hidden="1">
      <c r="A41" s="2416"/>
      <c r="B41" s="641"/>
      <c r="D41" s="795" t="s">
        <v>87</v>
      </c>
      <c r="E41" s="852" t="s">
        <v>874</v>
      </c>
      <c r="F41" s="790" t="s">
        <v>629</v>
      </c>
      <c r="G41" s="790" t="s">
        <v>629</v>
      </c>
      <c r="H41" s="1155"/>
      <c r="I41" s="790" t="s">
        <v>629</v>
      </c>
      <c r="J41" s="1155"/>
      <c r="K41" s="6725" t="s">
        <v>629</v>
      </c>
      <c r="L41" s="6726"/>
      <c r="M41" s="6725" t="s">
        <v>629</v>
      </c>
      <c r="N41" s="6726"/>
      <c r="O41" s="6725" t="s">
        <v>629</v>
      </c>
      <c r="P41" s="6726"/>
      <c r="Q41" s="6725" t="s">
        <v>629</v>
      </c>
      <c r="R41" s="6726"/>
      <c r="S41" s="6725" t="s">
        <v>629</v>
      </c>
      <c r="T41" s="6726"/>
      <c r="U41" s="6725" t="s">
        <v>629</v>
      </c>
      <c r="V41" s="6726"/>
      <c r="W41" s="6725" t="s">
        <v>629</v>
      </c>
      <c r="X41" s="6726"/>
      <c r="Y41" s="6725" t="s">
        <v>629</v>
      </c>
      <c r="Z41" s="6726"/>
      <c r="AA41" s="6725" t="s">
        <v>629</v>
      </c>
      <c r="AB41" s="6726"/>
      <c r="AC41" s="6725" t="s">
        <v>629</v>
      </c>
      <c r="AD41" s="6726"/>
      <c r="AE41" s="6725" t="s">
        <v>629</v>
      </c>
      <c r="AF41" s="6726"/>
      <c r="AG41" s="6725" t="s">
        <v>629</v>
      </c>
      <c r="AH41" s="6726"/>
      <c r="AI41" s="6725" t="s">
        <v>629</v>
      </c>
      <c r="AJ41" s="6726"/>
      <c r="AK41" s="432"/>
    </row>
    <row s="11055" customFormat="1" customHeight="1" ht="45" hidden="1">
      <c r="A42" s="2416"/>
      <c r="B42" s="641"/>
      <c r="D42" s="795" t="s">
        <v>404</v>
      </c>
      <c r="E42" s="853" t="s">
        <v>875</v>
      </c>
      <c r="F42" s="790" t="s">
        <v>641</v>
      </c>
      <c r="G42" s="687"/>
      <c r="H42" s="1155"/>
      <c r="I42" s="687"/>
      <c r="J42" s="1155"/>
      <c r="K42" s="6352"/>
      <c r="L42" s="6726"/>
      <c r="M42" s="6352"/>
      <c r="N42" s="6726"/>
      <c r="O42" s="6352"/>
      <c r="P42" s="6726"/>
      <c r="Q42" s="6352"/>
      <c r="R42" s="6726"/>
      <c r="S42" s="6352"/>
      <c r="T42" s="6726"/>
      <c r="U42" s="6352"/>
      <c r="V42" s="6726"/>
      <c r="W42" s="6352"/>
      <c r="X42" s="6726"/>
      <c r="Y42" s="6352"/>
      <c r="Z42" s="6726"/>
      <c r="AA42" s="6352"/>
      <c r="AB42" s="6726"/>
      <c r="AC42" s="6352"/>
      <c r="AD42" s="6726"/>
      <c r="AE42" s="6352"/>
      <c r="AF42" s="6726"/>
      <c r="AG42" s="6352"/>
      <c r="AH42" s="6726"/>
      <c r="AI42" s="6352"/>
      <c r="AJ42" s="6726"/>
      <c r="AK42" s="432" t="s">
        <v>876</v>
      </c>
    </row>
    <row s="11055" customFormat="1" customHeight="1" ht="45" hidden="1">
      <c r="A43" s="2416"/>
      <c r="B43" s="641"/>
      <c r="D43" s="795" t="s">
        <v>412</v>
      </c>
      <c r="E43" s="797" t="s">
        <v>877</v>
      </c>
      <c r="F43" s="1159" t="s">
        <v>641</v>
      </c>
      <c r="G43" s="872"/>
      <c r="H43" s="1154"/>
      <c r="I43" s="872"/>
      <c r="J43" s="1154"/>
      <c r="K43" s="6729"/>
      <c r="L43" s="6719"/>
      <c r="M43" s="6729"/>
      <c r="N43" s="6719"/>
      <c r="O43" s="6729"/>
      <c r="P43" s="6719"/>
      <c r="Q43" s="6729"/>
      <c r="R43" s="6719"/>
      <c r="S43" s="6729"/>
      <c r="T43" s="6719"/>
      <c r="U43" s="6729"/>
      <c r="V43" s="6719"/>
      <c r="W43" s="6729"/>
      <c r="X43" s="6719"/>
      <c r="Y43" s="6729"/>
      <c r="Z43" s="6719"/>
      <c r="AA43" s="6729"/>
      <c r="AB43" s="6719"/>
      <c r="AC43" s="6729"/>
      <c r="AD43" s="6719"/>
      <c r="AE43" s="6729"/>
      <c r="AF43" s="6719"/>
      <c r="AG43" s="6729"/>
      <c r="AH43" s="6719"/>
      <c r="AI43" s="6729"/>
      <c r="AJ43" s="6719"/>
      <c r="AK43" s="432" t="s">
        <v>878</v>
      </c>
    </row>
    <row s="11055" customFormat="1" customHeight="1" ht="11.25" hidden="1">
      <c r="A44" s="2416"/>
      <c r="B44" s="641"/>
      <c r="D44" s="795" t="s">
        <v>88</v>
      </c>
      <c r="E44" s="796" t="s">
        <v>879</v>
      </c>
      <c r="F44" s="790" t="s">
        <v>869</v>
      </c>
      <c r="G44" s="798"/>
      <c r="H44" s="1154"/>
      <c r="I44" s="798"/>
      <c r="J44" s="1154"/>
      <c r="K44" s="6718"/>
      <c r="L44" s="6719"/>
      <c r="M44" s="6718"/>
      <c r="N44" s="6719"/>
      <c r="O44" s="6718"/>
      <c r="P44" s="6719"/>
      <c r="Q44" s="6718"/>
      <c r="R44" s="6719"/>
      <c r="S44" s="6718"/>
      <c r="T44" s="6719"/>
      <c r="U44" s="6718"/>
      <c r="V44" s="6719"/>
      <c r="W44" s="6718"/>
      <c r="X44" s="6719"/>
      <c r="Y44" s="6718"/>
      <c r="Z44" s="6719"/>
      <c r="AA44" s="6718"/>
      <c r="AB44" s="6719"/>
      <c r="AC44" s="6718"/>
      <c r="AD44" s="6719"/>
      <c r="AE44" s="6718"/>
      <c r="AF44" s="6719"/>
      <c r="AG44" s="6718"/>
      <c r="AH44" s="6719"/>
      <c r="AI44" s="6718"/>
      <c r="AJ44" s="6719"/>
      <c r="AK44" s="419"/>
    </row>
    <row s="11055" customFormat="1" customHeight="1" ht="11.25" hidden="1">
      <c r="A45" s="2416"/>
      <c r="B45" s="641"/>
      <c r="D45" s="795" t="s">
        <v>763</v>
      </c>
      <c r="E45" s="797" t="s">
        <v>880</v>
      </c>
      <c r="F45" s="790" t="s">
        <v>869</v>
      </c>
      <c r="G45" s="798"/>
      <c r="H45" s="1154"/>
      <c r="I45" s="798"/>
      <c r="J45" s="1154"/>
      <c r="K45" s="6718"/>
      <c r="L45" s="6719"/>
      <c r="M45" s="6718"/>
      <c r="N45" s="6719"/>
      <c r="O45" s="6718"/>
      <c r="P45" s="6719"/>
      <c r="Q45" s="6718"/>
      <c r="R45" s="6719"/>
      <c r="S45" s="6718"/>
      <c r="T45" s="6719"/>
      <c r="U45" s="6718"/>
      <c r="V45" s="6719"/>
      <c r="W45" s="6718"/>
      <c r="X45" s="6719"/>
      <c r="Y45" s="6718"/>
      <c r="Z45" s="6719"/>
      <c r="AA45" s="6718"/>
      <c r="AB45" s="6719"/>
      <c r="AC45" s="6718"/>
      <c r="AD45" s="6719"/>
      <c r="AE45" s="6718"/>
      <c r="AF45" s="6719"/>
      <c r="AG45" s="6718"/>
      <c r="AH45" s="6719"/>
      <c r="AI45" s="6718"/>
      <c r="AJ45" s="6719"/>
      <c r="AK45" s="419"/>
    </row>
    <row s="11055" customFormat="1" customHeight="1" ht="11.25" hidden="1">
      <c r="A46" s="2416"/>
      <c r="B46" s="641"/>
      <c r="D46" s="795" t="s">
        <v>806</v>
      </c>
      <c r="E46" s="797" t="s">
        <v>881</v>
      </c>
      <c r="F46" s="790" t="s">
        <v>869</v>
      </c>
      <c r="G46" s="798"/>
      <c r="H46" s="1154"/>
      <c r="I46" s="798"/>
      <c r="J46" s="1154"/>
      <c r="K46" s="6718"/>
      <c r="L46" s="6719"/>
      <c r="M46" s="6718"/>
      <c r="N46" s="6719"/>
      <c r="O46" s="6718"/>
      <c r="P46" s="6719"/>
      <c r="Q46" s="6718"/>
      <c r="R46" s="6719"/>
      <c r="S46" s="6718"/>
      <c r="T46" s="6719"/>
      <c r="U46" s="6718"/>
      <c r="V46" s="6719"/>
      <c r="W46" s="6718"/>
      <c r="X46" s="6719"/>
      <c r="Y46" s="6718"/>
      <c r="Z46" s="6719"/>
      <c r="AA46" s="6718"/>
      <c r="AB46" s="6719"/>
      <c r="AC46" s="6718"/>
      <c r="AD46" s="6719"/>
      <c r="AE46" s="6718"/>
      <c r="AF46" s="6719"/>
      <c r="AG46" s="6718"/>
      <c r="AH46" s="6719"/>
      <c r="AI46" s="6718"/>
      <c r="AJ46" s="6719"/>
      <c r="AK46" s="419"/>
    </row>
    <row s="11055" customFormat="1" customHeight="1" ht="11.25" hidden="1">
      <c r="A47" s="2416"/>
      <c r="B47" s="641"/>
      <c r="D47" s="795" t="s">
        <v>809</v>
      </c>
      <c r="E47" s="797" t="s">
        <v>882</v>
      </c>
      <c r="F47" s="790" t="s">
        <v>869</v>
      </c>
      <c r="G47" s="798"/>
      <c r="H47" s="1154"/>
      <c r="I47" s="798"/>
      <c r="J47" s="1154"/>
      <c r="K47" s="6718"/>
      <c r="L47" s="6719"/>
      <c r="M47" s="6718"/>
      <c r="N47" s="6719"/>
      <c r="O47" s="6718"/>
      <c r="P47" s="6719"/>
      <c r="Q47" s="6718"/>
      <c r="R47" s="6719"/>
      <c r="S47" s="6718"/>
      <c r="T47" s="6719"/>
      <c r="U47" s="6718"/>
      <c r="V47" s="6719"/>
      <c r="W47" s="6718"/>
      <c r="X47" s="6719"/>
      <c r="Y47" s="6718"/>
      <c r="Z47" s="6719"/>
      <c r="AA47" s="6718"/>
      <c r="AB47" s="6719"/>
      <c r="AC47" s="6718"/>
      <c r="AD47" s="6719"/>
      <c r="AE47" s="6718"/>
      <c r="AF47" s="6719"/>
      <c r="AG47" s="6718"/>
      <c r="AH47" s="6719"/>
      <c r="AI47" s="6718"/>
      <c r="AJ47" s="6719"/>
      <c r="AK47" s="419"/>
    </row>
    <row s="11055" customFormat="1" customHeight="1" ht="11.25" hidden="1">
      <c r="A48" s="2416"/>
      <c r="B48" s="641"/>
      <c r="D48" s="795" t="s">
        <v>883</v>
      </c>
      <c r="E48" s="801" t="s">
        <v>884</v>
      </c>
      <c r="F48" s="790" t="s">
        <v>869</v>
      </c>
      <c r="G48" s="798"/>
      <c r="H48" s="1154"/>
      <c r="I48" s="798"/>
      <c r="J48" s="1154"/>
      <c r="K48" s="6718"/>
      <c r="L48" s="6719"/>
      <c r="M48" s="6718"/>
      <c r="N48" s="6719"/>
      <c r="O48" s="6718"/>
      <c r="P48" s="6719"/>
      <c r="Q48" s="6718"/>
      <c r="R48" s="6719"/>
      <c r="S48" s="6718"/>
      <c r="T48" s="6719"/>
      <c r="U48" s="6718"/>
      <c r="V48" s="6719"/>
      <c r="W48" s="6718"/>
      <c r="X48" s="6719"/>
      <c r="Y48" s="6718"/>
      <c r="Z48" s="6719"/>
      <c r="AA48" s="6718"/>
      <c r="AB48" s="6719"/>
      <c r="AC48" s="6718"/>
      <c r="AD48" s="6719"/>
      <c r="AE48" s="6718"/>
      <c r="AF48" s="6719"/>
      <c r="AG48" s="6718"/>
      <c r="AH48" s="6719"/>
      <c r="AI48" s="6718"/>
      <c r="AJ48" s="6719"/>
      <c r="AK48" s="419"/>
    </row>
    <row s="11055" customFormat="1" customHeight="1" ht="11.25" hidden="1">
      <c r="A49" s="2416"/>
      <c r="B49" s="641"/>
      <c r="D49" s="795" t="s">
        <v>885</v>
      </c>
      <c r="E49" s="801" t="s">
        <v>886</v>
      </c>
      <c r="F49" s="790" t="s">
        <v>869</v>
      </c>
      <c r="G49" s="798"/>
      <c r="H49" s="1154"/>
      <c r="I49" s="798"/>
      <c r="J49" s="1154"/>
      <c r="K49" s="6718"/>
      <c r="L49" s="6719"/>
      <c r="M49" s="6718"/>
      <c r="N49" s="6719"/>
      <c r="O49" s="6718"/>
      <c r="P49" s="6719"/>
      <c r="Q49" s="6718"/>
      <c r="R49" s="6719"/>
      <c r="S49" s="6718"/>
      <c r="T49" s="6719"/>
      <c r="U49" s="6718"/>
      <c r="V49" s="6719"/>
      <c r="W49" s="6718"/>
      <c r="X49" s="6719"/>
      <c r="Y49" s="6718"/>
      <c r="Z49" s="6719"/>
      <c r="AA49" s="6718"/>
      <c r="AB49" s="6719"/>
      <c r="AC49" s="6718"/>
      <c r="AD49" s="6719"/>
      <c r="AE49" s="6718"/>
      <c r="AF49" s="6719"/>
      <c r="AG49" s="6718"/>
      <c r="AH49" s="6719"/>
      <c r="AI49" s="6718"/>
      <c r="AJ49" s="6719"/>
      <c r="AK49" s="419"/>
    </row>
    <row s="11055" customFormat="1" customHeight="1" ht="11.25" hidden="1">
      <c r="A50" s="2416"/>
      <c r="B50" s="641"/>
      <c r="D50" s="795" t="s">
        <v>887</v>
      </c>
      <c r="E50" s="797" t="s">
        <v>888</v>
      </c>
      <c r="F50" s="790" t="s">
        <v>869</v>
      </c>
      <c r="G50" s="798"/>
      <c r="H50" s="1154"/>
      <c r="I50" s="798"/>
      <c r="J50" s="1154"/>
      <c r="K50" s="6718"/>
      <c r="L50" s="6719"/>
      <c r="M50" s="6718"/>
      <c r="N50" s="6719"/>
      <c r="O50" s="6718"/>
      <c r="P50" s="6719"/>
      <c r="Q50" s="6718"/>
      <c r="R50" s="6719"/>
      <c r="S50" s="6718"/>
      <c r="T50" s="6719"/>
      <c r="U50" s="6718"/>
      <c r="V50" s="6719"/>
      <c r="W50" s="6718"/>
      <c r="X50" s="6719"/>
      <c r="Y50" s="6718"/>
      <c r="Z50" s="6719"/>
      <c r="AA50" s="6718"/>
      <c r="AB50" s="6719"/>
      <c r="AC50" s="6718"/>
      <c r="AD50" s="6719"/>
      <c r="AE50" s="6718"/>
      <c r="AF50" s="6719"/>
      <c r="AG50" s="6718"/>
      <c r="AH50" s="6719"/>
      <c r="AI50" s="6718"/>
      <c r="AJ50" s="6719"/>
      <c r="AK50" s="419"/>
    </row>
    <row s="11055" customFormat="1" customHeight="1" ht="11.25" hidden="1">
      <c r="A51" s="2416"/>
      <c r="B51" s="641"/>
      <c r="D51" s="795" t="s">
        <v>889</v>
      </c>
      <c r="E51" s="797" t="s">
        <v>890</v>
      </c>
      <c r="F51" s="790" t="s">
        <v>869</v>
      </c>
      <c r="G51" s="798"/>
      <c r="H51" s="1154"/>
      <c r="I51" s="798"/>
      <c r="J51" s="1154"/>
      <c r="K51" s="6718"/>
      <c r="L51" s="6719"/>
      <c r="M51" s="6718"/>
      <c r="N51" s="6719"/>
      <c r="O51" s="6718"/>
      <c r="P51" s="6719"/>
      <c r="Q51" s="6718"/>
      <c r="R51" s="6719"/>
      <c r="S51" s="6718"/>
      <c r="T51" s="6719"/>
      <c r="U51" s="6718"/>
      <c r="V51" s="6719"/>
      <c r="W51" s="6718"/>
      <c r="X51" s="6719"/>
      <c r="Y51" s="6718"/>
      <c r="Z51" s="6719"/>
      <c r="AA51" s="6718"/>
      <c r="AB51" s="6719"/>
      <c r="AC51" s="6718"/>
      <c r="AD51" s="6719"/>
      <c r="AE51" s="6718"/>
      <c r="AF51" s="6719"/>
      <c r="AG51" s="6718"/>
      <c r="AH51" s="6719"/>
      <c r="AI51" s="6718"/>
      <c r="AJ51" s="6719"/>
      <c r="AK51" s="419"/>
    </row>
    <row s="11055" customFormat="1" customHeight="1" ht="45" hidden="1">
      <c r="A52" s="2416"/>
      <c r="B52" s="641"/>
      <c r="D52" s="795" t="s">
        <v>119</v>
      </c>
      <c r="E52" s="796" t="s">
        <v>891</v>
      </c>
      <c r="F52" s="790" t="s">
        <v>869</v>
      </c>
      <c r="G52" s="798"/>
      <c r="H52" s="1154"/>
      <c r="I52" s="798"/>
      <c r="J52" s="1154"/>
      <c r="K52" s="6718"/>
      <c r="L52" s="6719"/>
      <c r="M52" s="6718"/>
      <c r="N52" s="6719"/>
      <c r="O52" s="6718"/>
      <c r="P52" s="6719"/>
      <c r="Q52" s="6718"/>
      <c r="R52" s="6719"/>
      <c r="S52" s="6718"/>
      <c r="T52" s="6719"/>
      <c r="U52" s="6718"/>
      <c r="V52" s="6719"/>
      <c r="W52" s="6718"/>
      <c r="X52" s="6719"/>
      <c r="Y52" s="6718"/>
      <c r="Z52" s="6719"/>
      <c r="AA52" s="6718"/>
      <c r="AB52" s="6719"/>
      <c r="AC52" s="6718"/>
      <c r="AD52" s="6719"/>
      <c r="AE52" s="6718"/>
      <c r="AF52" s="6719"/>
      <c r="AG52" s="6718"/>
      <c r="AH52" s="6719"/>
      <c r="AI52" s="6718"/>
      <c r="AJ52" s="6719"/>
      <c r="AK52" s="419"/>
    </row>
    <row s="11055" customFormat="1" customHeight="1" ht="11.25" hidden="1">
      <c r="A53" s="2416"/>
      <c r="B53" s="641"/>
      <c r="D53" s="795" t="s">
        <v>393</v>
      </c>
      <c r="E53" s="797" t="s">
        <v>880</v>
      </c>
      <c r="F53" s="790" t="s">
        <v>869</v>
      </c>
      <c r="G53" s="798"/>
      <c r="H53" s="1154"/>
      <c r="I53" s="798"/>
      <c r="J53" s="1154"/>
      <c r="K53" s="6718"/>
      <c r="L53" s="6719"/>
      <c r="M53" s="6718"/>
      <c r="N53" s="6719"/>
      <c r="O53" s="6718"/>
      <c r="P53" s="6719"/>
      <c r="Q53" s="6718"/>
      <c r="R53" s="6719"/>
      <c r="S53" s="6718"/>
      <c r="T53" s="6719"/>
      <c r="U53" s="6718"/>
      <c r="V53" s="6719"/>
      <c r="W53" s="6718"/>
      <c r="X53" s="6719"/>
      <c r="Y53" s="6718"/>
      <c r="Z53" s="6719"/>
      <c r="AA53" s="6718"/>
      <c r="AB53" s="6719"/>
      <c r="AC53" s="6718"/>
      <c r="AD53" s="6719"/>
      <c r="AE53" s="6718"/>
      <c r="AF53" s="6719"/>
      <c r="AG53" s="6718"/>
      <c r="AH53" s="6719"/>
      <c r="AI53" s="6718"/>
      <c r="AJ53" s="6719"/>
      <c r="AK53" s="419"/>
    </row>
    <row s="11055" customFormat="1" customHeight="1" ht="11.25" hidden="1">
      <c r="A54" s="2416"/>
      <c r="B54" s="641"/>
      <c r="D54" s="795" t="s">
        <v>395</v>
      </c>
      <c r="E54" s="797" t="s">
        <v>881</v>
      </c>
      <c r="F54" s="790" t="s">
        <v>869</v>
      </c>
      <c r="G54" s="798"/>
      <c r="H54" s="1154"/>
      <c r="I54" s="798"/>
      <c r="J54" s="1154"/>
      <c r="K54" s="6718"/>
      <c r="L54" s="6719"/>
      <c r="M54" s="6718"/>
      <c r="N54" s="6719"/>
      <c r="O54" s="6718"/>
      <c r="P54" s="6719"/>
      <c r="Q54" s="6718"/>
      <c r="R54" s="6719"/>
      <c r="S54" s="6718"/>
      <c r="T54" s="6719"/>
      <c r="U54" s="6718"/>
      <c r="V54" s="6719"/>
      <c r="W54" s="6718"/>
      <c r="X54" s="6719"/>
      <c r="Y54" s="6718"/>
      <c r="Z54" s="6719"/>
      <c r="AA54" s="6718"/>
      <c r="AB54" s="6719"/>
      <c r="AC54" s="6718"/>
      <c r="AD54" s="6719"/>
      <c r="AE54" s="6718"/>
      <c r="AF54" s="6719"/>
      <c r="AG54" s="6718"/>
      <c r="AH54" s="6719"/>
      <c r="AI54" s="6718"/>
      <c r="AJ54" s="6719"/>
      <c r="AK54" s="419"/>
    </row>
    <row s="11055" customFormat="1" customHeight="1" ht="11.25" hidden="1">
      <c r="A55" s="2416"/>
      <c r="B55" s="641"/>
      <c r="D55" s="795" t="s">
        <v>398</v>
      </c>
      <c r="E55" s="797" t="s">
        <v>882</v>
      </c>
      <c r="F55" s="790" t="s">
        <v>869</v>
      </c>
      <c r="G55" s="798"/>
      <c r="H55" s="1154"/>
      <c r="I55" s="798"/>
      <c r="J55" s="1154"/>
      <c r="K55" s="6718"/>
      <c r="L55" s="6719"/>
      <c r="M55" s="6718"/>
      <c r="N55" s="6719"/>
      <c r="O55" s="6718"/>
      <c r="P55" s="6719"/>
      <c r="Q55" s="6718"/>
      <c r="R55" s="6719"/>
      <c r="S55" s="6718"/>
      <c r="T55" s="6719"/>
      <c r="U55" s="6718"/>
      <c r="V55" s="6719"/>
      <c r="W55" s="6718"/>
      <c r="X55" s="6719"/>
      <c r="Y55" s="6718"/>
      <c r="Z55" s="6719"/>
      <c r="AA55" s="6718"/>
      <c r="AB55" s="6719"/>
      <c r="AC55" s="6718"/>
      <c r="AD55" s="6719"/>
      <c r="AE55" s="6718"/>
      <c r="AF55" s="6719"/>
      <c r="AG55" s="6718"/>
      <c r="AH55" s="6719"/>
      <c r="AI55" s="6718"/>
      <c r="AJ55" s="6719"/>
      <c r="AK55" s="419"/>
    </row>
    <row s="11055" customFormat="1" customHeight="1" ht="11.25" hidden="1">
      <c r="A56" s="2416"/>
      <c r="B56" s="641"/>
      <c r="D56" s="795" t="s">
        <v>892</v>
      </c>
      <c r="E56" s="801" t="s">
        <v>884</v>
      </c>
      <c r="F56" s="790" t="s">
        <v>869</v>
      </c>
      <c r="G56" s="798"/>
      <c r="H56" s="1154"/>
      <c r="I56" s="798"/>
      <c r="J56" s="1154"/>
      <c r="K56" s="6718"/>
      <c r="L56" s="6719"/>
      <c r="M56" s="6718"/>
      <c r="N56" s="6719"/>
      <c r="O56" s="6718"/>
      <c r="P56" s="6719"/>
      <c r="Q56" s="6718"/>
      <c r="R56" s="6719"/>
      <c r="S56" s="6718"/>
      <c r="T56" s="6719"/>
      <c r="U56" s="6718"/>
      <c r="V56" s="6719"/>
      <c r="W56" s="6718"/>
      <c r="X56" s="6719"/>
      <c r="Y56" s="6718"/>
      <c r="Z56" s="6719"/>
      <c r="AA56" s="6718"/>
      <c r="AB56" s="6719"/>
      <c r="AC56" s="6718"/>
      <c r="AD56" s="6719"/>
      <c r="AE56" s="6718"/>
      <c r="AF56" s="6719"/>
      <c r="AG56" s="6718"/>
      <c r="AH56" s="6719"/>
      <c r="AI56" s="6718"/>
      <c r="AJ56" s="6719"/>
      <c r="AK56" s="419"/>
    </row>
    <row s="11055" customFormat="1" customHeight="1" ht="11.25" hidden="1">
      <c r="A57" s="2416"/>
      <c r="B57" s="641"/>
      <c r="D57" s="795" t="s">
        <v>893</v>
      </c>
      <c r="E57" s="801" t="s">
        <v>886</v>
      </c>
      <c r="F57" s="790" t="s">
        <v>869</v>
      </c>
      <c r="G57" s="798"/>
      <c r="H57" s="1154"/>
      <c r="I57" s="798"/>
      <c r="J57" s="1154"/>
      <c r="K57" s="6718"/>
      <c r="L57" s="6719"/>
      <c r="M57" s="6718"/>
      <c r="N57" s="6719"/>
      <c r="O57" s="6718"/>
      <c r="P57" s="6719"/>
      <c r="Q57" s="6718"/>
      <c r="R57" s="6719"/>
      <c r="S57" s="6718"/>
      <c r="T57" s="6719"/>
      <c r="U57" s="6718"/>
      <c r="V57" s="6719"/>
      <c r="W57" s="6718"/>
      <c r="X57" s="6719"/>
      <c r="Y57" s="6718"/>
      <c r="Z57" s="6719"/>
      <c r="AA57" s="6718"/>
      <c r="AB57" s="6719"/>
      <c r="AC57" s="6718"/>
      <c r="AD57" s="6719"/>
      <c r="AE57" s="6718"/>
      <c r="AF57" s="6719"/>
      <c r="AG57" s="6718"/>
      <c r="AH57" s="6719"/>
      <c r="AI57" s="6718"/>
      <c r="AJ57" s="6719"/>
      <c r="AK57" s="419"/>
    </row>
    <row s="11055" customFormat="1" customHeight="1" ht="11.25" hidden="1">
      <c r="A58" s="2416"/>
      <c r="B58" s="641"/>
      <c r="D58" s="795" t="s">
        <v>400</v>
      </c>
      <c r="E58" s="797" t="s">
        <v>888</v>
      </c>
      <c r="F58" s="790" t="s">
        <v>869</v>
      </c>
      <c r="G58" s="798"/>
      <c r="H58" s="1154"/>
      <c r="I58" s="798"/>
      <c r="J58" s="1154"/>
      <c r="K58" s="6718"/>
      <c r="L58" s="6719"/>
      <c r="M58" s="6718"/>
      <c r="N58" s="6719"/>
      <c r="O58" s="6718"/>
      <c r="P58" s="6719"/>
      <c r="Q58" s="6718"/>
      <c r="R58" s="6719"/>
      <c r="S58" s="6718"/>
      <c r="T58" s="6719"/>
      <c r="U58" s="6718"/>
      <c r="V58" s="6719"/>
      <c r="W58" s="6718"/>
      <c r="X58" s="6719"/>
      <c r="Y58" s="6718"/>
      <c r="Z58" s="6719"/>
      <c r="AA58" s="6718"/>
      <c r="AB58" s="6719"/>
      <c r="AC58" s="6718"/>
      <c r="AD58" s="6719"/>
      <c r="AE58" s="6718"/>
      <c r="AF58" s="6719"/>
      <c r="AG58" s="6718"/>
      <c r="AH58" s="6719"/>
      <c r="AI58" s="6718"/>
      <c r="AJ58" s="6719"/>
      <c r="AK58" s="419"/>
    </row>
    <row s="11055" customFormat="1" customHeight="1" ht="11.25" hidden="1">
      <c r="A59" s="2416"/>
      <c r="B59" s="641"/>
      <c r="D59" s="795" t="s">
        <v>894</v>
      </c>
      <c r="E59" s="797" t="s">
        <v>890</v>
      </c>
      <c r="F59" s="790" t="s">
        <v>869</v>
      </c>
      <c r="G59" s="798"/>
      <c r="H59" s="1154"/>
      <c r="I59" s="798"/>
      <c r="J59" s="1154"/>
      <c r="K59" s="6718"/>
      <c r="L59" s="6719"/>
      <c r="M59" s="6718"/>
      <c r="N59" s="6719"/>
      <c r="O59" s="6718"/>
      <c r="P59" s="6719"/>
      <c r="Q59" s="6718"/>
      <c r="R59" s="6719"/>
      <c r="S59" s="6718"/>
      <c r="T59" s="6719"/>
      <c r="U59" s="6718"/>
      <c r="V59" s="6719"/>
      <c r="W59" s="6718"/>
      <c r="X59" s="6719"/>
      <c r="Y59" s="6718"/>
      <c r="Z59" s="6719"/>
      <c r="AA59" s="6718"/>
      <c r="AB59" s="6719"/>
      <c r="AC59" s="6718"/>
      <c r="AD59" s="6719"/>
      <c r="AE59" s="6718"/>
      <c r="AF59" s="6719"/>
      <c r="AG59" s="6718"/>
      <c r="AH59" s="6719"/>
      <c r="AI59" s="6718"/>
      <c r="AJ59" s="6719"/>
      <c r="AK59" s="419"/>
    </row>
    <row s="11055" customFormat="1" customHeight="1" ht="33.75" hidden="1">
      <c r="A60" s="2416"/>
      <c r="B60" s="641"/>
      <c r="D60" s="795" t="s">
        <v>89</v>
      </c>
      <c r="E60" s="796" t="s">
        <v>895</v>
      </c>
      <c r="F60" s="851" t="s">
        <v>641</v>
      </c>
      <c r="G60" s="872"/>
      <c r="H60" s="1154"/>
      <c r="I60" s="872"/>
      <c r="J60" s="1154"/>
      <c r="K60" s="6729"/>
      <c r="L60" s="6719"/>
      <c r="M60" s="6729"/>
      <c r="N60" s="6719"/>
      <c r="O60" s="6729"/>
      <c r="P60" s="6719"/>
      <c r="Q60" s="6729"/>
      <c r="R60" s="6719"/>
      <c r="S60" s="6729"/>
      <c r="T60" s="6719"/>
      <c r="U60" s="6729"/>
      <c r="V60" s="6719"/>
      <c r="W60" s="6729"/>
      <c r="X60" s="6719"/>
      <c r="Y60" s="6729"/>
      <c r="Z60" s="6719"/>
      <c r="AA60" s="6729"/>
      <c r="AB60" s="6719"/>
      <c r="AC60" s="6729"/>
      <c r="AD60" s="6719"/>
      <c r="AE60" s="6729"/>
      <c r="AF60" s="6719"/>
      <c r="AG60" s="6729"/>
      <c r="AH60" s="6719"/>
      <c r="AI60" s="6729"/>
      <c r="AJ60" s="6719"/>
      <c r="AK60" s="432" t="s">
        <v>896</v>
      </c>
    </row>
    <row s="11055" customFormat="1" customHeight="1" ht="33.75" hidden="1">
      <c r="A61" s="2416"/>
      <c r="B61" s="641"/>
      <c r="D61" s="795" t="s">
        <v>90</v>
      </c>
      <c r="E61" s="796" t="s">
        <v>897</v>
      </c>
      <c r="F61" s="856" t="s">
        <v>830</v>
      </c>
      <c r="G61" s="798"/>
      <c r="H61" s="1154"/>
      <c r="I61" s="798"/>
      <c r="J61" s="1154"/>
      <c r="K61" s="6718"/>
      <c r="L61" s="6719"/>
      <c r="M61" s="6718"/>
      <c r="N61" s="6719"/>
      <c r="O61" s="6718"/>
      <c r="P61" s="6719"/>
      <c r="Q61" s="6718"/>
      <c r="R61" s="6719"/>
      <c r="S61" s="6718"/>
      <c r="T61" s="6719"/>
      <c r="U61" s="6718"/>
      <c r="V61" s="6719"/>
      <c r="W61" s="6718"/>
      <c r="X61" s="6719"/>
      <c r="Y61" s="6718"/>
      <c r="Z61" s="6719"/>
      <c r="AA61" s="6718"/>
      <c r="AB61" s="6719"/>
      <c r="AC61" s="6718"/>
      <c r="AD61" s="6719"/>
      <c r="AE61" s="6718"/>
      <c r="AF61" s="6719"/>
      <c r="AG61" s="6718"/>
      <c r="AH61" s="6719"/>
      <c r="AI61" s="6718"/>
      <c r="AJ61" s="6719"/>
      <c r="AK61" s="419"/>
    </row>
    <row s="11055" customFormat="1" customHeight="1" ht="22.5" hidden="1">
      <c r="A62" s="2416"/>
      <c r="B62" s="641" t="s">
        <v>671</v>
      </c>
      <c r="D62" s="795" t="s">
        <v>140</v>
      </c>
      <c r="E62" s="796" t="s">
        <v>898</v>
      </c>
      <c r="F62" s="856" t="s">
        <v>384</v>
      </c>
      <c r="G62" s="512"/>
      <c r="H62" s="1154"/>
      <c r="I62" s="512"/>
      <c r="J62" s="1154"/>
      <c r="K62" s="6735"/>
      <c r="L62" s="6719"/>
      <c r="M62" s="6735"/>
      <c r="N62" s="6719"/>
      <c r="O62" s="6735"/>
      <c r="P62" s="6719"/>
      <c r="Q62" s="6735"/>
      <c r="R62" s="6719"/>
      <c r="S62" s="6735"/>
      <c r="T62" s="6719"/>
      <c r="U62" s="6735"/>
      <c r="V62" s="6719"/>
      <c r="W62" s="6735"/>
      <c r="X62" s="6719"/>
      <c r="Y62" s="6735"/>
      <c r="Z62" s="6719"/>
      <c r="AA62" s="6735"/>
      <c r="AB62" s="6719"/>
      <c r="AC62" s="6735"/>
      <c r="AD62" s="6719"/>
      <c r="AE62" s="6735"/>
      <c r="AF62" s="6719"/>
      <c r="AG62" s="6735"/>
      <c r="AH62" s="6719"/>
      <c r="AI62" s="6735"/>
      <c r="AJ62" s="6719"/>
      <c r="AK62" s="419" t="s">
        <v>899</v>
      </c>
    </row>
    <row s="11055" customFormat="1" customHeight="1" ht="45" hidden="1">
      <c r="A63" s="2416"/>
      <c r="B63" s="641" t="s">
        <v>671</v>
      </c>
      <c r="D63" s="795" t="s">
        <v>900</v>
      </c>
      <c r="E63" s="797" t="s">
        <v>901</v>
      </c>
      <c r="F63" s="851" t="s">
        <v>384</v>
      </c>
      <c r="G63" s="512"/>
      <c r="H63" s="1154"/>
      <c r="I63" s="512"/>
      <c r="J63" s="1154"/>
      <c r="K63" s="6735"/>
      <c r="L63" s="6719"/>
      <c r="M63" s="6735"/>
      <c r="N63" s="6719"/>
      <c r="O63" s="6735"/>
      <c r="P63" s="6719"/>
      <c r="Q63" s="6735"/>
      <c r="R63" s="6719"/>
      <c r="S63" s="6735"/>
      <c r="T63" s="6719"/>
      <c r="U63" s="6735"/>
      <c r="V63" s="6719"/>
      <c r="W63" s="6735"/>
      <c r="X63" s="6719"/>
      <c r="Y63" s="6735"/>
      <c r="Z63" s="6719"/>
      <c r="AA63" s="6735"/>
      <c r="AB63" s="6719"/>
      <c r="AC63" s="6735"/>
      <c r="AD63" s="6719"/>
      <c r="AE63" s="6735"/>
      <c r="AF63" s="6719"/>
      <c r="AG63" s="6735"/>
      <c r="AH63" s="6719"/>
      <c r="AI63" s="6735"/>
      <c r="AJ63" s="6719"/>
      <c r="AK63" s="419" t="s">
        <v>899</v>
      </c>
    </row>
    <row s="12259" customFormat="1" customHeight="1" ht="11.25">
      <c r="A64" s="1164"/>
      <c r="B64" s="648"/>
      <c r="D64" s="1165"/>
      <c r="E64" s="1166"/>
      <c r="K64" s="6300"/>
      <c r="L64" s="6300"/>
      <c r="M64" s="6300"/>
      <c r="N64" s="6300"/>
      <c r="O64" s="6300"/>
      <c r="P64" s="6300"/>
      <c r="Q64" s="6300"/>
      <c r="R64" s="6300"/>
      <c r="S64" s="6300"/>
      <c r="T64" s="6300"/>
      <c r="U64" s="6300"/>
      <c r="V64" s="6300"/>
      <c r="W64" s="6300"/>
      <c r="X64" s="6300"/>
      <c r="Y64" s="6300"/>
      <c r="Z64" s="6300"/>
      <c r="AA64" s="6300"/>
      <c r="AB64" s="6300"/>
      <c r="AC64" s="6300"/>
      <c r="AD64" s="6300"/>
      <c r="AE64" s="6300"/>
      <c r="AF64" s="6300"/>
      <c r="AG64" s="6300"/>
      <c r="AH64" s="6300"/>
      <c r="AI64" s="6300"/>
      <c r="AJ64" s="6300"/>
    </row>
    <row s="11055" customFormat="1" customHeight="1" ht="22.5" hidden="1">
      <c r="A65" s="2416" t="s">
        <v>902</v>
      </c>
      <c r="B65" s="641"/>
      <c r="D65" s="795">
        <v>1</v>
      </c>
      <c r="E65" s="874" t="s">
        <v>903</v>
      </c>
      <c r="F65" s="870" t="s">
        <v>820</v>
      </c>
      <c r="G65" s="871"/>
      <c r="H65" s="1160"/>
      <c r="I65" s="871"/>
      <c r="J65" s="1160"/>
      <c r="K65" s="6722"/>
      <c r="L65" s="6739"/>
      <c r="M65" s="6722"/>
      <c r="N65" s="6739"/>
      <c r="O65" s="6722"/>
      <c r="P65" s="6739"/>
      <c r="Q65" s="6722"/>
      <c r="R65" s="6739"/>
      <c r="S65" s="6722"/>
      <c r="T65" s="6739"/>
      <c r="U65" s="6722"/>
      <c r="V65" s="6739"/>
      <c r="W65" s="6722"/>
      <c r="X65" s="6739"/>
      <c r="Y65" s="6722"/>
      <c r="Z65" s="6739"/>
      <c r="AA65" s="6722"/>
      <c r="AB65" s="6739"/>
      <c r="AC65" s="6722"/>
      <c r="AD65" s="6739"/>
      <c r="AE65" s="6722"/>
      <c r="AF65" s="6739"/>
      <c r="AG65" s="6722"/>
      <c r="AH65" s="6739"/>
      <c r="AI65" s="6722"/>
      <c r="AJ65" s="6739"/>
      <c r="AK65" s="431" t="s">
        <v>904</v>
      </c>
    </row>
    <row s="11055" customFormat="1" customHeight="1" ht="56.25" hidden="1">
      <c r="A66" s="2416"/>
      <c r="B66" s="641"/>
      <c r="D66" s="873" t="s">
        <v>100</v>
      </c>
      <c r="E66" s="837" t="s">
        <v>905</v>
      </c>
      <c r="F66" s="790" t="s">
        <v>629</v>
      </c>
      <c r="G66" s="790" t="s">
        <v>629</v>
      </c>
      <c r="H66" s="649"/>
      <c r="I66" s="790" t="s">
        <v>629</v>
      </c>
      <c r="J66" s="649"/>
      <c r="K66" s="6725" t="s">
        <v>629</v>
      </c>
      <c r="L66" s="6707"/>
      <c r="M66" s="6725" t="s">
        <v>629</v>
      </c>
      <c r="N66" s="6707"/>
      <c r="O66" s="6725" t="s">
        <v>629</v>
      </c>
      <c r="P66" s="6707"/>
      <c r="Q66" s="6725" t="s">
        <v>629</v>
      </c>
      <c r="R66" s="6707"/>
      <c r="S66" s="6725" t="s">
        <v>629</v>
      </c>
      <c r="T66" s="6707"/>
      <c r="U66" s="6725" t="s">
        <v>629</v>
      </c>
      <c r="V66" s="6707"/>
      <c r="W66" s="6725" t="s">
        <v>629</v>
      </c>
      <c r="X66" s="6707"/>
      <c r="Y66" s="6725" t="s">
        <v>629</v>
      </c>
      <c r="Z66" s="6707"/>
      <c r="AA66" s="6725" t="s">
        <v>629</v>
      </c>
      <c r="AB66" s="6707"/>
      <c r="AC66" s="6725" t="s">
        <v>629</v>
      </c>
      <c r="AD66" s="6707"/>
      <c r="AE66" s="6725" t="s">
        <v>629</v>
      </c>
      <c r="AF66" s="6707"/>
      <c r="AG66" s="6725" t="s">
        <v>629</v>
      </c>
      <c r="AH66" s="6707"/>
      <c r="AI66" s="6725" t="s">
        <v>629</v>
      </c>
      <c r="AJ66" s="6707"/>
      <c r="AK66" s="419"/>
    </row>
    <row s="11055" customFormat="1" customHeight="1" ht="33.75" hidden="1">
      <c r="A67" s="2416"/>
      <c r="B67" s="641"/>
      <c r="D67" s="873" t="s">
        <v>718</v>
      </c>
      <c r="E67" s="1085" t="s">
        <v>906</v>
      </c>
      <c r="F67" s="790" t="s">
        <v>872</v>
      </c>
      <c r="G67" s="857"/>
      <c r="H67" s="649"/>
      <c r="I67" s="857"/>
      <c r="J67" s="649"/>
      <c r="K67" s="6742"/>
      <c r="L67" s="6707"/>
      <c r="M67" s="6742"/>
      <c r="N67" s="6707"/>
      <c r="O67" s="6742"/>
      <c r="P67" s="6707"/>
      <c r="Q67" s="6742"/>
      <c r="R67" s="6707"/>
      <c r="S67" s="6742"/>
      <c r="T67" s="6707"/>
      <c r="U67" s="6742"/>
      <c r="V67" s="6707"/>
      <c r="W67" s="6742"/>
      <c r="X67" s="6707"/>
      <c r="Y67" s="6742"/>
      <c r="Z67" s="6707"/>
      <c r="AA67" s="6742"/>
      <c r="AB67" s="6707"/>
      <c r="AC67" s="6742"/>
      <c r="AD67" s="6707"/>
      <c r="AE67" s="6742"/>
      <c r="AF67" s="6707"/>
      <c r="AG67" s="6742"/>
      <c r="AH67" s="6707"/>
      <c r="AI67" s="6742"/>
      <c r="AJ67" s="6707"/>
      <c r="AK67" s="419"/>
    </row>
    <row s="11055" customFormat="1" customHeight="1" ht="22.5" hidden="1">
      <c r="A68" s="2416"/>
      <c r="B68" s="641"/>
      <c r="D68" s="873" t="s">
        <v>385</v>
      </c>
      <c r="E68" s="1085" t="s">
        <v>907</v>
      </c>
      <c r="F68" s="790" t="s">
        <v>872</v>
      </c>
      <c r="G68" s="857"/>
      <c r="H68" s="649"/>
      <c r="I68" s="857"/>
      <c r="J68" s="649"/>
      <c r="K68" s="6742"/>
      <c r="L68" s="6707"/>
      <c r="M68" s="6742"/>
      <c r="N68" s="6707"/>
      <c r="O68" s="6742"/>
      <c r="P68" s="6707"/>
      <c r="Q68" s="6742"/>
      <c r="R68" s="6707"/>
      <c r="S68" s="6742"/>
      <c r="T68" s="6707"/>
      <c r="U68" s="6742"/>
      <c r="V68" s="6707"/>
      <c r="W68" s="6742"/>
      <c r="X68" s="6707"/>
      <c r="Y68" s="6742"/>
      <c r="Z68" s="6707"/>
      <c r="AA68" s="6742"/>
      <c r="AB68" s="6707"/>
      <c r="AC68" s="6742"/>
      <c r="AD68" s="6707"/>
      <c r="AE68" s="6742"/>
      <c r="AF68" s="6707"/>
      <c r="AG68" s="6742"/>
      <c r="AH68" s="6707"/>
      <c r="AI68" s="6742"/>
      <c r="AJ68" s="6707"/>
      <c r="AK68" s="419"/>
    </row>
    <row s="11055" customFormat="1" customHeight="1" ht="22.5" hidden="1">
      <c r="A69" s="2416"/>
      <c r="B69" s="641"/>
      <c r="D69" s="873" t="s">
        <v>388</v>
      </c>
      <c r="E69" s="1085" t="s">
        <v>908</v>
      </c>
      <c r="F69" s="851" t="s">
        <v>641</v>
      </c>
      <c r="G69" s="872"/>
      <c r="H69" s="649"/>
      <c r="I69" s="872"/>
      <c r="J69" s="649"/>
      <c r="K69" s="6729"/>
      <c r="L69" s="6707"/>
      <c r="M69" s="6729"/>
      <c r="N69" s="6707"/>
      <c r="O69" s="6729"/>
      <c r="P69" s="6707"/>
      <c r="Q69" s="6729"/>
      <c r="R69" s="6707"/>
      <c r="S69" s="6729"/>
      <c r="T69" s="6707"/>
      <c r="U69" s="6729"/>
      <c r="V69" s="6707"/>
      <c r="W69" s="6729"/>
      <c r="X69" s="6707"/>
      <c r="Y69" s="6729"/>
      <c r="Z69" s="6707"/>
      <c r="AA69" s="6729"/>
      <c r="AB69" s="6707"/>
      <c r="AC69" s="6729"/>
      <c r="AD69" s="6707"/>
      <c r="AE69" s="6729"/>
      <c r="AF69" s="6707"/>
      <c r="AG69" s="6729"/>
      <c r="AH69" s="6707"/>
      <c r="AI69" s="6729"/>
      <c r="AJ69" s="6707"/>
      <c r="AK69" s="419"/>
    </row>
    <row s="11055" customFormat="1" customHeight="1" ht="22.5" hidden="1">
      <c r="A70" s="2416"/>
      <c r="B70" s="641"/>
      <c r="D70" s="873" t="s">
        <v>738</v>
      </c>
      <c r="E70" s="1085" t="s">
        <v>909</v>
      </c>
      <c r="F70" s="851" t="s">
        <v>641</v>
      </c>
      <c r="G70" s="872"/>
      <c r="H70" s="649"/>
      <c r="I70" s="872"/>
      <c r="J70" s="649"/>
      <c r="K70" s="6729"/>
      <c r="L70" s="6707"/>
      <c r="M70" s="6729"/>
      <c r="N70" s="6707"/>
      <c r="O70" s="6729"/>
      <c r="P70" s="6707"/>
      <c r="Q70" s="6729"/>
      <c r="R70" s="6707"/>
      <c r="S70" s="6729"/>
      <c r="T70" s="6707"/>
      <c r="U70" s="6729"/>
      <c r="V70" s="6707"/>
      <c r="W70" s="6729"/>
      <c r="X70" s="6707"/>
      <c r="Y70" s="6729"/>
      <c r="Z70" s="6707"/>
      <c r="AA70" s="6729"/>
      <c r="AB70" s="6707"/>
      <c r="AC70" s="6729"/>
      <c r="AD70" s="6707"/>
      <c r="AE70" s="6729"/>
      <c r="AF70" s="6707"/>
      <c r="AG70" s="6729"/>
      <c r="AH70" s="6707"/>
      <c r="AI70" s="6729"/>
      <c r="AJ70" s="6707"/>
      <c r="AK70" s="419"/>
    </row>
    <row s="11055" customFormat="1" customHeight="1" ht="22.5" hidden="1">
      <c r="A71" s="2416"/>
      <c r="B71" s="641"/>
      <c r="D71" s="795" t="s">
        <v>87</v>
      </c>
      <c r="E71" s="796" t="s">
        <v>910</v>
      </c>
      <c r="F71" s="790" t="s">
        <v>872</v>
      </c>
      <c r="G71" s="687"/>
      <c r="H71" s="1161"/>
      <c r="I71" s="687"/>
      <c r="J71" s="1161"/>
      <c r="K71" s="6352"/>
      <c r="L71" s="6713"/>
      <c r="M71" s="6352"/>
      <c r="N71" s="6713"/>
      <c r="O71" s="6352"/>
      <c r="P71" s="6713"/>
      <c r="Q71" s="6352"/>
      <c r="R71" s="6713"/>
      <c r="S71" s="6352"/>
      <c r="T71" s="6713"/>
      <c r="U71" s="6352"/>
      <c r="V71" s="6713"/>
      <c r="W71" s="6352"/>
      <c r="X71" s="6713"/>
      <c r="Y71" s="6352"/>
      <c r="Z71" s="6713"/>
      <c r="AA71" s="6352"/>
      <c r="AB71" s="6713"/>
      <c r="AC71" s="6352"/>
      <c r="AD71" s="6713"/>
      <c r="AE71" s="6352"/>
      <c r="AF71" s="6713"/>
      <c r="AG71" s="6352"/>
      <c r="AH71" s="6713"/>
      <c r="AI71" s="6352"/>
      <c r="AJ71" s="6713"/>
      <c r="AK71" s="432"/>
    </row>
    <row s="11055" customFormat="1" customHeight="1" ht="56.25" hidden="1">
      <c r="A72" s="2416"/>
      <c r="B72" s="641"/>
      <c r="D72" s="795" t="s">
        <v>88</v>
      </c>
      <c r="E72" s="796" t="s">
        <v>911</v>
      </c>
      <c r="F72" s="851" t="s">
        <v>641</v>
      </c>
      <c r="G72" s="872"/>
      <c r="H72" s="1154"/>
      <c r="I72" s="872"/>
      <c r="J72" s="1154"/>
      <c r="K72" s="6729"/>
      <c r="L72" s="6719"/>
      <c r="M72" s="6729"/>
      <c r="N72" s="6719"/>
      <c r="O72" s="6729"/>
      <c r="P72" s="6719"/>
      <c r="Q72" s="6729"/>
      <c r="R72" s="6719"/>
      <c r="S72" s="6729"/>
      <c r="T72" s="6719"/>
      <c r="U72" s="6729"/>
      <c r="V72" s="6719"/>
      <c r="W72" s="6729"/>
      <c r="X72" s="6719"/>
      <c r="Y72" s="6729"/>
      <c r="Z72" s="6719"/>
      <c r="AA72" s="6729"/>
      <c r="AB72" s="6719"/>
      <c r="AC72" s="6729"/>
      <c r="AD72" s="6719"/>
      <c r="AE72" s="6729"/>
      <c r="AF72" s="6719"/>
      <c r="AG72" s="6729"/>
      <c r="AH72" s="6719"/>
      <c r="AI72" s="6729"/>
      <c r="AJ72" s="6719"/>
      <c r="AK72" s="432"/>
    </row>
    <row s="11055" customFormat="1" customHeight="1" ht="33.75" hidden="1">
      <c r="A73" s="2416"/>
      <c r="B73" s="641"/>
      <c r="D73" s="795" t="s">
        <v>119</v>
      </c>
      <c r="E73" s="796" t="s">
        <v>912</v>
      </c>
      <c r="F73" s="856" t="s">
        <v>830</v>
      </c>
      <c r="G73" s="798"/>
      <c r="H73" s="1154"/>
      <c r="I73" s="798"/>
      <c r="J73" s="1154"/>
      <c r="K73" s="6718"/>
      <c r="L73" s="6719"/>
      <c r="M73" s="6718"/>
      <c r="N73" s="6719"/>
      <c r="O73" s="6718"/>
      <c r="P73" s="6719"/>
      <c r="Q73" s="6718"/>
      <c r="R73" s="6719"/>
      <c r="S73" s="6718"/>
      <c r="T73" s="6719"/>
      <c r="U73" s="6718"/>
      <c r="V73" s="6719"/>
      <c r="W73" s="6718"/>
      <c r="X73" s="6719"/>
      <c r="Y73" s="6718"/>
      <c r="Z73" s="6719"/>
      <c r="AA73" s="6718"/>
      <c r="AB73" s="6719"/>
      <c r="AC73" s="6718"/>
      <c r="AD73" s="6719"/>
      <c r="AE73" s="6718"/>
      <c r="AF73" s="6719"/>
      <c r="AG73" s="6718"/>
      <c r="AH73" s="6719"/>
      <c r="AI73" s="6718"/>
      <c r="AJ73" s="6719"/>
      <c r="AK73" s="419"/>
    </row>
    <row s="11055" customFormat="1" customHeight="1" ht="22.5" hidden="1">
      <c r="A74" s="2416"/>
      <c r="B74" s="641" t="s">
        <v>671</v>
      </c>
      <c r="D74" s="795" t="s">
        <v>89</v>
      </c>
      <c r="E74" s="796" t="s">
        <v>913</v>
      </c>
      <c r="F74" s="856" t="s">
        <v>384</v>
      </c>
      <c r="G74" s="512"/>
      <c r="H74" s="1154"/>
      <c r="I74" s="512"/>
      <c r="J74" s="1154"/>
      <c r="K74" s="6735"/>
      <c r="L74" s="6719"/>
      <c r="M74" s="6735"/>
      <c r="N74" s="6719"/>
      <c r="O74" s="6735"/>
      <c r="P74" s="6719"/>
      <c r="Q74" s="6735"/>
      <c r="R74" s="6719"/>
      <c r="S74" s="6735"/>
      <c r="T74" s="6719"/>
      <c r="U74" s="6735"/>
      <c r="V74" s="6719"/>
      <c r="W74" s="6735"/>
      <c r="X74" s="6719"/>
      <c r="Y74" s="6735"/>
      <c r="Z74" s="6719"/>
      <c r="AA74" s="6735"/>
      <c r="AB74" s="6719"/>
      <c r="AC74" s="6735"/>
      <c r="AD74" s="6719"/>
      <c r="AE74" s="6735"/>
      <c r="AF74" s="6719"/>
      <c r="AG74" s="6735"/>
      <c r="AH74" s="6719"/>
      <c r="AI74" s="6735"/>
      <c r="AJ74" s="6719"/>
      <c r="AK74" s="419" t="s">
        <v>899</v>
      </c>
    </row>
    <row s="11055" customFormat="1" customHeight="1" ht="45" hidden="1">
      <c r="A75" s="2416"/>
      <c r="B75" s="641" t="s">
        <v>671</v>
      </c>
      <c r="D75" s="795" t="s">
        <v>914</v>
      </c>
      <c r="E75" s="797" t="s">
        <v>915</v>
      </c>
      <c r="F75" s="851" t="s">
        <v>384</v>
      </c>
      <c r="G75" s="512"/>
      <c r="H75" s="1154"/>
      <c r="I75" s="512"/>
      <c r="J75" s="1154"/>
      <c r="K75" s="6735"/>
      <c r="L75" s="6719"/>
      <c r="M75" s="6735"/>
      <c r="N75" s="6719"/>
      <c r="O75" s="6735"/>
      <c r="P75" s="6719"/>
      <c r="Q75" s="6735"/>
      <c r="R75" s="6719"/>
      <c r="S75" s="6735"/>
      <c r="T75" s="6719"/>
      <c r="U75" s="6735"/>
      <c r="V75" s="6719"/>
      <c r="W75" s="6735"/>
      <c r="X75" s="6719"/>
      <c r="Y75" s="6735"/>
      <c r="Z75" s="6719"/>
      <c r="AA75" s="6735"/>
      <c r="AB75" s="6719"/>
      <c r="AC75" s="6735"/>
      <c r="AD75" s="6719"/>
      <c r="AE75" s="6735"/>
      <c r="AF75" s="6719"/>
      <c r="AG75" s="6735"/>
      <c r="AH75" s="6719"/>
      <c r="AI75" s="6735"/>
      <c r="AJ75" s="6719"/>
      <c r="AK75" s="419" t="s">
        <v>899</v>
      </c>
    </row>
    <row s="12259" customFormat="1" customHeight="1" ht="11.25">
      <c r="A76" s="1164"/>
      <c r="B76" s="648"/>
      <c r="D76" s="1165"/>
      <c r="E76" s="1166"/>
      <c r="K76" s="6300"/>
      <c r="L76" s="6300"/>
      <c r="M76" s="6300"/>
      <c r="N76" s="6300"/>
      <c r="O76" s="6300"/>
      <c r="P76" s="6300"/>
      <c r="Q76" s="6300"/>
      <c r="R76" s="6300"/>
      <c r="S76" s="6300"/>
      <c r="T76" s="6300"/>
      <c r="U76" s="6300"/>
      <c r="V76" s="6300"/>
      <c r="W76" s="6300"/>
      <c r="X76" s="6300"/>
      <c r="Y76" s="6300"/>
      <c r="Z76" s="6300"/>
      <c r="AA76" s="6300"/>
      <c r="AB76" s="6300"/>
      <c r="AC76" s="6300"/>
      <c r="AD76" s="6300"/>
      <c r="AE76" s="6300"/>
      <c r="AF76" s="6300"/>
      <c r="AG76" s="6300"/>
      <c r="AH76" s="6300"/>
      <c r="AI76" s="6300"/>
      <c r="AJ76" s="6300"/>
    </row>
    <row s="11055" customFormat="1" customHeight="1" ht="11.25" hidden="1">
      <c r="A77" s="2416" t="s">
        <v>916</v>
      </c>
      <c r="B77" s="641"/>
      <c r="D77" s="795">
        <v>1</v>
      </c>
      <c r="E77" s="796" t="s">
        <v>917</v>
      </c>
      <c r="F77" s="851" t="s">
        <v>820</v>
      </c>
      <c r="G77" s="854"/>
      <c r="H77" s="1154"/>
      <c r="I77" s="854"/>
      <c r="J77" s="1154"/>
      <c r="K77" s="6744"/>
      <c r="L77" s="6719"/>
      <c r="M77" s="6744"/>
      <c r="N77" s="6719"/>
      <c r="O77" s="6744"/>
      <c r="P77" s="6719"/>
      <c r="Q77" s="6744"/>
      <c r="R77" s="6719"/>
      <c r="S77" s="6744"/>
      <c r="T77" s="6719"/>
      <c r="U77" s="6744"/>
      <c r="V77" s="6719"/>
      <c r="W77" s="6744"/>
      <c r="X77" s="6719"/>
      <c r="Y77" s="6744"/>
      <c r="Z77" s="6719"/>
      <c r="AA77" s="6744"/>
      <c r="AB77" s="6719"/>
      <c r="AC77" s="6744"/>
      <c r="AD77" s="6719"/>
      <c r="AE77" s="6744"/>
      <c r="AF77" s="6719"/>
      <c r="AG77" s="6744"/>
      <c r="AH77" s="6719"/>
      <c r="AI77" s="6744"/>
      <c r="AJ77" s="6719"/>
      <c r="AK77" s="419" t="s">
        <v>918</v>
      </c>
    </row>
    <row s="11055" customFormat="1" customHeight="1" ht="11.25" hidden="1">
      <c r="A78" s="2416"/>
      <c r="B78" s="641"/>
      <c r="D78" s="795" t="s">
        <v>100</v>
      </c>
      <c r="E78" s="796" t="s">
        <v>919</v>
      </c>
      <c r="F78" s="851" t="s">
        <v>820</v>
      </c>
      <c r="G78" s="854"/>
      <c r="H78" s="1154"/>
      <c r="I78" s="854"/>
      <c r="J78" s="1154"/>
      <c r="K78" s="6744"/>
      <c r="L78" s="6719"/>
      <c r="M78" s="6744"/>
      <c r="N78" s="6719"/>
      <c r="O78" s="6744"/>
      <c r="P78" s="6719"/>
      <c r="Q78" s="6744"/>
      <c r="R78" s="6719"/>
      <c r="S78" s="6744"/>
      <c r="T78" s="6719"/>
      <c r="U78" s="6744"/>
      <c r="V78" s="6719"/>
      <c r="W78" s="6744"/>
      <c r="X78" s="6719"/>
      <c r="Y78" s="6744"/>
      <c r="Z78" s="6719"/>
      <c r="AA78" s="6744"/>
      <c r="AB78" s="6719"/>
      <c r="AC78" s="6744"/>
      <c r="AD78" s="6719"/>
      <c r="AE78" s="6744"/>
      <c r="AF78" s="6719"/>
      <c r="AG78" s="6744"/>
      <c r="AH78" s="6719"/>
      <c r="AI78" s="6744"/>
      <c r="AJ78" s="6719"/>
      <c r="AK78" s="419" t="s">
        <v>920</v>
      </c>
    </row>
    <row s="11055" customFormat="1" customHeight="1" ht="22.5" hidden="1">
      <c r="A79" s="2416"/>
      <c r="B79" s="641"/>
      <c r="D79" s="795" t="s">
        <v>87</v>
      </c>
      <c r="E79" s="852" t="s">
        <v>921</v>
      </c>
      <c r="F79" s="790" t="s">
        <v>869</v>
      </c>
      <c r="G79" s="854"/>
      <c r="H79" s="1154"/>
      <c r="I79" s="854"/>
      <c r="J79" s="1154"/>
      <c r="K79" s="6744"/>
      <c r="L79" s="6719"/>
      <c r="M79" s="6744"/>
      <c r="N79" s="6719"/>
      <c r="O79" s="6744"/>
      <c r="P79" s="6719"/>
      <c r="Q79" s="6744"/>
      <c r="R79" s="6719"/>
      <c r="S79" s="6744"/>
      <c r="T79" s="6719"/>
      <c r="U79" s="6744"/>
      <c r="V79" s="6719"/>
      <c r="W79" s="6744"/>
      <c r="X79" s="6719"/>
      <c r="Y79" s="6744"/>
      <c r="Z79" s="6719"/>
      <c r="AA79" s="6744"/>
      <c r="AB79" s="6719"/>
      <c r="AC79" s="6744"/>
      <c r="AD79" s="6719"/>
      <c r="AE79" s="6744"/>
      <c r="AF79" s="6719"/>
      <c r="AG79" s="6744"/>
      <c r="AH79" s="6719"/>
      <c r="AI79" s="6744"/>
      <c r="AJ79" s="6719"/>
      <c r="AK79" s="419" t="s">
        <v>922</v>
      </c>
    </row>
    <row s="11055" customFormat="1" customHeight="1" ht="11.25" hidden="1">
      <c r="A80" s="2416"/>
      <c r="B80" s="641"/>
      <c r="D80" s="795" t="s">
        <v>404</v>
      </c>
      <c r="E80" s="853" t="s">
        <v>923</v>
      </c>
      <c r="F80" s="790" t="s">
        <v>869</v>
      </c>
      <c r="G80" s="854"/>
      <c r="H80" s="1154"/>
      <c r="I80" s="854"/>
      <c r="J80" s="1154"/>
      <c r="K80" s="6744"/>
      <c r="L80" s="6719"/>
      <c r="M80" s="6744"/>
      <c r="N80" s="6719"/>
      <c r="O80" s="6744"/>
      <c r="P80" s="6719"/>
      <c r="Q80" s="6744"/>
      <c r="R80" s="6719"/>
      <c r="S80" s="6744"/>
      <c r="T80" s="6719"/>
      <c r="U80" s="6744"/>
      <c r="V80" s="6719"/>
      <c r="W80" s="6744"/>
      <c r="X80" s="6719"/>
      <c r="Y80" s="6744"/>
      <c r="Z80" s="6719"/>
      <c r="AA80" s="6744"/>
      <c r="AB80" s="6719"/>
      <c r="AC80" s="6744"/>
      <c r="AD80" s="6719"/>
      <c r="AE80" s="6744"/>
      <c r="AF80" s="6719"/>
      <c r="AG80" s="6744"/>
      <c r="AH80" s="6719"/>
      <c r="AI80" s="6744"/>
      <c r="AJ80" s="6719"/>
      <c r="AK80" s="419"/>
    </row>
    <row s="11055" customFormat="1" customHeight="1" ht="11.25" hidden="1">
      <c r="A81" s="2416"/>
      <c r="B81" s="641"/>
      <c r="D81" s="795" t="s">
        <v>412</v>
      </c>
      <c r="E81" s="853" t="s">
        <v>924</v>
      </c>
      <c r="F81" s="790" t="s">
        <v>869</v>
      </c>
      <c r="G81" s="854"/>
      <c r="H81" s="1154"/>
      <c r="I81" s="854"/>
      <c r="J81" s="1154"/>
      <c r="K81" s="6744"/>
      <c r="L81" s="6719"/>
      <c r="M81" s="6744"/>
      <c r="N81" s="6719"/>
      <c r="O81" s="6744"/>
      <c r="P81" s="6719"/>
      <c r="Q81" s="6744"/>
      <c r="R81" s="6719"/>
      <c r="S81" s="6744"/>
      <c r="T81" s="6719"/>
      <c r="U81" s="6744"/>
      <c r="V81" s="6719"/>
      <c r="W81" s="6744"/>
      <c r="X81" s="6719"/>
      <c r="Y81" s="6744"/>
      <c r="Z81" s="6719"/>
      <c r="AA81" s="6744"/>
      <c r="AB81" s="6719"/>
      <c r="AC81" s="6744"/>
      <c r="AD81" s="6719"/>
      <c r="AE81" s="6744"/>
      <c r="AF81" s="6719"/>
      <c r="AG81" s="6744"/>
      <c r="AH81" s="6719"/>
      <c r="AI81" s="6744"/>
      <c r="AJ81" s="6719"/>
      <c r="AK81" s="419"/>
    </row>
    <row s="11055" customFormat="1" customHeight="1" ht="11.25" hidden="1">
      <c r="A82" s="2416"/>
      <c r="B82" s="641"/>
      <c r="D82" s="795" t="s">
        <v>414</v>
      </c>
      <c r="E82" s="853" t="s">
        <v>925</v>
      </c>
      <c r="F82" s="790" t="s">
        <v>869</v>
      </c>
      <c r="G82" s="854"/>
      <c r="H82" s="1154"/>
      <c r="I82" s="854"/>
      <c r="J82" s="1154"/>
      <c r="K82" s="6744"/>
      <c r="L82" s="6719"/>
      <c r="M82" s="6744"/>
      <c r="N82" s="6719"/>
      <c r="O82" s="6744"/>
      <c r="P82" s="6719"/>
      <c r="Q82" s="6744"/>
      <c r="R82" s="6719"/>
      <c r="S82" s="6744"/>
      <c r="T82" s="6719"/>
      <c r="U82" s="6744"/>
      <c r="V82" s="6719"/>
      <c r="W82" s="6744"/>
      <c r="X82" s="6719"/>
      <c r="Y82" s="6744"/>
      <c r="Z82" s="6719"/>
      <c r="AA82" s="6744"/>
      <c r="AB82" s="6719"/>
      <c r="AC82" s="6744"/>
      <c r="AD82" s="6719"/>
      <c r="AE82" s="6744"/>
      <c r="AF82" s="6719"/>
      <c r="AG82" s="6744"/>
      <c r="AH82" s="6719"/>
      <c r="AI82" s="6744"/>
      <c r="AJ82" s="6719"/>
      <c r="AK82" s="419"/>
    </row>
    <row s="11055" customFormat="1" customHeight="1" ht="11.25" hidden="1">
      <c r="A83" s="2416"/>
      <c r="B83" s="641"/>
      <c r="D83" s="795" t="s">
        <v>416</v>
      </c>
      <c r="E83" s="853" t="s">
        <v>926</v>
      </c>
      <c r="F83" s="790" t="s">
        <v>869</v>
      </c>
      <c r="G83" s="854"/>
      <c r="H83" s="1154"/>
      <c r="I83" s="854"/>
      <c r="J83" s="1154"/>
      <c r="K83" s="6744"/>
      <c r="L83" s="6719"/>
      <c r="M83" s="6744"/>
      <c r="N83" s="6719"/>
      <c r="O83" s="6744"/>
      <c r="P83" s="6719"/>
      <c r="Q83" s="6744"/>
      <c r="R83" s="6719"/>
      <c r="S83" s="6744"/>
      <c r="T83" s="6719"/>
      <c r="U83" s="6744"/>
      <c r="V83" s="6719"/>
      <c r="W83" s="6744"/>
      <c r="X83" s="6719"/>
      <c r="Y83" s="6744"/>
      <c r="Z83" s="6719"/>
      <c r="AA83" s="6744"/>
      <c r="AB83" s="6719"/>
      <c r="AC83" s="6744"/>
      <c r="AD83" s="6719"/>
      <c r="AE83" s="6744"/>
      <c r="AF83" s="6719"/>
      <c r="AG83" s="6744"/>
      <c r="AH83" s="6719"/>
      <c r="AI83" s="6744"/>
      <c r="AJ83" s="6719"/>
      <c r="AK83" s="419"/>
    </row>
    <row s="11055" customFormat="1" customHeight="1" ht="11.25" hidden="1">
      <c r="A84" s="2416"/>
      <c r="B84" s="641"/>
      <c r="D84" s="795" t="s">
        <v>927</v>
      </c>
      <c r="E84" s="853" t="s">
        <v>928</v>
      </c>
      <c r="F84" s="790" t="s">
        <v>869</v>
      </c>
      <c r="G84" s="854"/>
      <c r="H84" s="1154"/>
      <c r="I84" s="854"/>
      <c r="J84" s="1154"/>
      <c r="K84" s="6744"/>
      <c r="L84" s="6719"/>
      <c r="M84" s="6744"/>
      <c r="N84" s="6719"/>
      <c r="O84" s="6744"/>
      <c r="P84" s="6719"/>
      <c r="Q84" s="6744"/>
      <c r="R84" s="6719"/>
      <c r="S84" s="6744"/>
      <c r="T84" s="6719"/>
      <c r="U84" s="6744"/>
      <c r="V84" s="6719"/>
      <c r="W84" s="6744"/>
      <c r="X84" s="6719"/>
      <c r="Y84" s="6744"/>
      <c r="Z84" s="6719"/>
      <c r="AA84" s="6744"/>
      <c r="AB84" s="6719"/>
      <c r="AC84" s="6744"/>
      <c r="AD84" s="6719"/>
      <c r="AE84" s="6744"/>
      <c r="AF84" s="6719"/>
      <c r="AG84" s="6744"/>
      <c r="AH84" s="6719"/>
      <c r="AI84" s="6744"/>
      <c r="AJ84" s="6719"/>
      <c r="AK84" s="419"/>
    </row>
    <row s="11055" customFormat="1" customHeight="1" ht="11.25" hidden="1">
      <c r="A85" s="2416"/>
      <c r="B85" s="641"/>
      <c r="D85" s="795" t="s">
        <v>929</v>
      </c>
      <c r="E85" s="853" t="s">
        <v>930</v>
      </c>
      <c r="F85" s="790" t="s">
        <v>869</v>
      </c>
      <c r="G85" s="854"/>
      <c r="H85" s="1154"/>
      <c r="I85" s="854"/>
      <c r="J85" s="1154"/>
      <c r="K85" s="6744"/>
      <c r="L85" s="6719"/>
      <c r="M85" s="6744"/>
      <c r="N85" s="6719"/>
      <c r="O85" s="6744"/>
      <c r="P85" s="6719"/>
      <c r="Q85" s="6744"/>
      <c r="R85" s="6719"/>
      <c r="S85" s="6744"/>
      <c r="T85" s="6719"/>
      <c r="U85" s="6744"/>
      <c r="V85" s="6719"/>
      <c r="W85" s="6744"/>
      <c r="X85" s="6719"/>
      <c r="Y85" s="6744"/>
      <c r="Z85" s="6719"/>
      <c r="AA85" s="6744"/>
      <c r="AB85" s="6719"/>
      <c r="AC85" s="6744"/>
      <c r="AD85" s="6719"/>
      <c r="AE85" s="6744"/>
      <c r="AF85" s="6719"/>
      <c r="AG85" s="6744"/>
      <c r="AH85" s="6719"/>
      <c r="AI85" s="6744"/>
      <c r="AJ85" s="6719"/>
      <c r="AK85" s="419"/>
    </row>
    <row s="11055" customFormat="1" customHeight="1" ht="11.25" hidden="1">
      <c r="A86" s="2416"/>
      <c r="B86" s="641"/>
      <c r="D86" s="795" t="s">
        <v>931</v>
      </c>
      <c r="E86" s="853" t="s">
        <v>932</v>
      </c>
      <c r="F86" s="790" t="s">
        <v>869</v>
      </c>
      <c r="G86" s="854"/>
      <c r="H86" s="1154"/>
      <c r="I86" s="854"/>
      <c r="J86" s="1154"/>
      <c r="K86" s="6744"/>
      <c r="L86" s="6719"/>
      <c r="M86" s="6744"/>
      <c r="N86" s="6719"/>
      <c r="O86" s="6744"/>
      <c r="P86" s="6719"/>
      <c r="Q86" s="6744"/>
      <c r="R86" s="6719"/>
      <c r="S86" s="6744"/>
      <c r="T86" s="6719"/>
      <c r="U86" s="6744"/>
      <c r="V86" s="6719"/>
      <c r="W86" s="6744"/>
      <c r="X86" s="6719"/>
      <c r="Y86" s="6744"/>
      <c r="Z86" s="6719"/>
      <c r="AA86" s="6744"/>
      <c r="AB86" s="6719"/>
      <c r="AC86" s="6744"/>
      <c r="AD86" s="6719"/>
      <c r="AE86" s="6744"/>
      <c r="AF86" s="6719"/>
      <c r="AG86" s="6744"/>
      <c r="AH86" s="6719"/>
      <c r="AI86" s="6744"/>
      <c r="AJ86" s="6719"/>
      <c r="AK86" s="419"/>
    </row>
    <row s="11055" customFormat="1" customHeight="1" ht="45" hidden="1">
      <c r="A87" s="2416"/>
      <c r="B87" s="641"/>
      <c r="D87" s="795" t="s">
        <v>88</v>
      </c>
      <c r="E87" s="796" t="s">
        <v>933</v>
      </c>
      <c r="F87" s="790" t="s">
        <v>869</v>
      </c>
      <c r="G87" s="854"/>
      <c r="H87" s="1154"/>
      <c r="I87" s="854"/>
      <c r="J87" s="1154"/>
      <c r="K87" s="6744"/>
      <c r="L87" s="6719"/>
      <c r="M87" s="6744"/>
      <c r="N87" s="6719"/>
      <c r="O87" s="6744"/>
      <c r="P87" s="6719"/>
      <c r="Q87" s="6744"/>
      <c r="R87" s="6719"/>
      <c r="S87" s="6744"/>
      <c r="T87" s="6719"/>
      <c r="U87" s="6744"/>
      <c r="V87" s="6719"/>
      <c r="W87" s="6744"/>
      <c r="X87" s="6719"/>
      <c r="Y87" s="6744"/>
      <c r="Z87" s="6719"/>
      <c r="AA87" s="6744"/>
      <c r="AB87" s="6719"/>
      <c r="AC87" s="6744"/>
      <c r="AD87" s="6719"/>
      <c r="AE87" s="6744"/>
      <c r="AF87" s="6719"/>
      <c r="AG87" s="6744"/>
      <c r="AH87" s="6719"/>
      <c r="AI87" s="6744"/>
      <c r="AJ87" s="6719"/>
      <c r="AK87" s="419" t="s">
        <v>934</v>
      </c>
    </row>
    <row s="11055" customFormat="1" customHeight="1" ht="11.25" hidden="1">
      <c r="A88" s="2416"/>
      <c r="B88" s="641"/>
      <c r="D88" s="795" t="s">
        <v>763</v>
      </c>
      <c r="E88" s="853" t="s">
        <v>923</v>
      </c>
      <c r="F88" s="790" t="s">
        <v>869</v>
      </c>
      <c r="G88" s="854"/>
      <c r="H88" s="1154"/>
      <c r="I88" s="854"/>
      <c r="J88" s="1154"/>
      <c r="K88" s="6744"/>
      <c r="L88" s="6719"/>
      <c r="M88" s="6744"/>
      <c r="N88" s="6719"/>
      <c r="O88" s="6744"/>
      <c r="P88" s="6719"/>
      <c r="Q88" s="6744"/>
      <c r="R88" s="6719"/>
      <c r="S88" s="6744"/>
      <c r="T88" s="6719"/>
      <c r="U88" s="6744"/>
      <c r="V88" s="6719"/>
      <c r="W88" s="6744"/>
      <c r="X88" s="6719"/>
      <c r="Y88" s="6744"/>
      <c r="Z88" s="6719"/>
      <c r="AA88" s="6744"/>
      <c r="AB88" s="6719"/>
      <c r="AC88" s="6744"/>
      <c r="AD88" s="6719"/>
      <c r="AE88" s="6744"/>
      <c r="AF88" s="6719"/>
      <c r="AG88" s="6744"/>
      <c r="AH88" s="6719"/>
      <c r="AI88" s="6744"/>
      <c r="AJ88" s="6719"/>
      <c r="AK88" s="419"/>
    </row>
    <row s="11055" customFormat="1" customHeight="1" ht="11.25" hidden="1">
      <c r="A89" s="2416"/>
      <c r="B89" s="641"/>
      <c r="D89" s="795" t="s">
        <v>806</v>
      </c>
      <c r="E89" s="853" t="s">
        <v>924</v>
      </c>
      <c r="F89" s="790" t="s">
        <v>869</v>
      </c>
      <c r="G89" s="854"/>
      <c r="H89" s="1154"/>
      <c r="I89" s="854"/>
      <c r="J89" s="1154"/>
      <c r="K89" s="6744"/>
      <c r="L89" s="6719"/>
      <c r="M89" s="6744"/>
      <c r="N89" s="6719"/>
      <c r="O89" s="6744"/>
      <c r="P89" s="6719"/>
      <c r="Q89" s="6744"/>
      <c r="R89" s="6719"/>
      <c r="S89" s="6744"/>
      <c r="T89" s="6719"/>
      <c r="U89" s="6744"/>
      <c r="V89" s="6719"/>
      <c r="W89" s="6744"/>
      <c r="X89" s="6719"/>
      <c r="Y89" s="6744"/>
      <c r="Z89" s="6719"/>
      <c r="AA89" s="6744"/>
      <c r="AB89" s="6719"/>
      <c r="AC89" s="6744"/>
      <c r="AD89" s="6719"/>
      <c r="AE89" s="6744"/>
      <c r="AF89" s="6719"/>
      <c r="AG89" s="6744"/>
      <c r="AH89" s="6719"/>
      <c r="AI89" s="6744"/>
      <c r="AJ89" s="6719"/>
      <c r="AK89" s="419"/>
    </row>
    <row s="11055" customFormat="1" customHeight="1" ht="11.25" hidden="1">
      <c r="A90" s="2416"/>
      <c r="B90" s="641"/>
      <c r="D90" s="795" t="s">
        <v>809</v>
      </c>
      <c r="E90" s="853" t="s">
        <v>925</v>
      </c>
      <c r="F90" s="790" t="s">
        <v>869</v>
      </c>
      <c r="G90" s="854"/>
      <c r="H90" s="1154"/>
      <c r="I90" s="854"/>
      <c r="J90" s="1154"/>
      <c r="K90" s="6744"/>
      <c r="L90" s="6719"/>
      <c r="M90" s="6744"/>
      <c r="N90" s="6719"/>
      <c r="O90" s="6744"/>
      <c r="P90" s="6719"/>
      <c r="Q90" s="6744"/>
      <c r="R90" s="6719"/>
      <c r="S90" s="6744"/>
      <c r="T90" s="6719"/>
      <c r="U90" s="6744"/>
      <c r="V90" s="6719"/>
      <c r="W90" s="6744"/>
      <c r="X90" s="6719"/>
      <c r="Y90" s="6744"/>
      <c r="Z90" s="6719"/>
      <c r="AA90" s="6744"/>
      <c r="AB90" s="6719"/>
      <c r="AC90" s="6744"/>
      <c r="AD90" s="6719"/>
      <c r="AE90" s="6744"/>
      <c r="AF90" s="6719"/>
      <c r="AG90" s="6744"/>
      <c r="AH90" s="6719"/>
      <c r="AI90" s="6744"/>
      <c r="AJ90" s="6719"/>
      <c r="AK90" s="419"/>
    </row>
    <row s="11055" customFormat="1" customHeight="1" ht="11.25" hidden="1">
      <c r="A91" s="2416"/>
      <c r="B91" s="641"/>
      <c r="D91" s="795" t="s">
        <v>887</v>
      </c>
      <c r="E91" s="853" t="s">
        <v>926</v>
      </c>
      <c r="F91" s="790" t="s">
        <v>869</v>
      </c>
      <c r="G91" s="854"/>
      <c r="H91" s="1154"/>
      <c r="I91" s="854"/>
      <c r="J91" s="1154"/>
      <c r="K91" s="6744"/>
      <c r="L91" s="6719"/>
      <c r="M91" s="6744"/>
      <c r="N91" s="6719"/>
      <c r="O91" s="6744"/>
      <c r="P91" s="6719"/>
      <c r="Q91" s="6744"/>
      <c r="R91" s="6719"/>
      <c r="S91" s="6744"/>
      <c r="T91" s="6719"/>
      <c r="U91" s="6744"/>
      <c r="V91" s="6719"/>
      <c r="W91" s="6744"/>
      <c r="X91" s="6719"/>
      <c r="Y91" s="6744"/>
      <c r="Z91" s="6719"/>
      <c r="AA91" s="6744"/>
      <c r="AB91" s="6719"/>
      <c r="AC91" s="6744"/>
      <c r="AD91" s="6719"/>
      <c r="AE91" s="6744"/>
      <c r="AF91" s="6719"/>
      <c r="AG91" s="6744"/>
      <c r="AH91" s="6719"/>
      <c r="AI91" s="6744"/>
      <c r="AJ91" s="6719"/>
      <c r="AK91" s="419"/>
    </row>
    <row s="11055" customFormat="1" customHeight="1" ht="11.25" hidden="1">
      <c r="A92" s="2416"/>
      <c r="B92" s="641"/>
      <c r="D92" s="795" t="s">
        <v>889</v>
      </c>
      <c r="E92" s="853" t="s">
        <v>928</v>
      </c>
      <c r="F92" s="790" t="s">
        <v>869</v>
      </c>
      <c r="G92" s="854"/>
      <c r="H92" s="1154"/>
      <c r="I92" s="854"/>
      <c r="J92" s="1154"/>
      <c r="K92" s="6744"/>
      <c r="L92" s="6719"/>
      <c r="M92" s="6744"/>
      <c r="N92" s="6719"/>
      <c r="O92" s="6744"/>
      <c r="P92" s="6719"/>
      <c r="Q92" s="6744"/>
      <c r="R92" s="6719"/>
      <c r="S92" s="6744"/>
      <c r="T92" s="6719"/>
      <c r="U92" s="6744"/>
      <c r="V92" s="6719"/>
      <c r="W92" s="6744"/>
      <c r="X92" s="6719"/>
      <c r="Y92" s="6744"/>
      <c r="Z92" s="6719"/>
      <c r="AA92" s="6744"/>
      <c r="AB92" s="6719"/>
      <c r="AC92" s="6744"/>
      <c r="AD92" s="6719"/>
      <c r="AE92" s="6744"/>
      <c r="AF92" s="6719"/>
      <c r="AG92" s="6744"/>
      <c r="AH92" s="6719"/>
      <c r="AI92" s="6744"/>
      <c r="AJ92" s="6719"/>
      <c r="AK92" s="419"/>
    </row>
    <row s="11055" customFormat="1" customHeight="1" ht="11.25" hidden="1">
      <c r="A93" s="2416"/>
      <c r="B93" s="641"/>
      <c r="D93" s="795" t="s">
        <v>935</v>
      </c>
      <c r="E93" s="853" t="s">
        <v>930</v>
      </c>
      <c r="F93" s="790" t="s">
        <v>869</v>
      </c>
      <c r="G93" s="854"/>
      <c r="H93" s="1154"/>
      <c r="I93" s="854"/>
      <c r="J93" s="1154"/>
      <c r="K93" s="6744"/>
      <c r="L93" s="6719"/>
      <c r="M93" s="6744"/>
      <c r="N93" s="6719"/>
      <c r="O93" s="6744"/>
      <c r="P93" s="6719"/>
      <c r="Q93" s="6744"/>
      <c r="R93" s="6719"/>
      <c r="S93" s="6744"/>
      <c r="T93" s="6719"/>
      <c r="U93" s="6744"/>
      <c r="V93" s="6719"/>
      <c r="W93" s="6744"/>
      <c r="X93" s="6719"/>
      <c r="Y93" s="6744"/>
      <c r="Z93" s="6719"/>
      <c r="AA93" s="6744"/>
      <c r="AB93" s="6719"/>
      <c r="AC93" s="6744"/>
      <c r="AD93" s="6719"/>
      <c r="AE93" s="6744"/>
      <c r="AF93" s="6719"/>
      <c r="AG93" s="6744"/>
      <c r="AH93" s="6719"/>
      <c r="AI93" s="6744"/>
      <c r="AJ93" s="6719"/>
      <c r="AK93" s="419"/>
    </row>
    <row s="11055" customFormat="1" customHeight="1" ht="11.25" hidden="1">
      <c r="A94" s="2416"/>
      <c r="B94" s="641"/>
      <c r="D94" s="795" t="s">
        <v>936</v>
      </c>
      <c r="E94" s="853" t="s">
        <v>932</v>
      </c>
      <c r="F94" s="790" t="s">
        <v>869</v>
      </c>
      <c r="G94" s="854"/>
      <c r="H94" s="1154"/>
      <c r="I94" s="854"/>
      <c r="J94" s="1154"/>
      <c r="K94" s="6744"/>
      <c r="L94" s="6719"/>
      <c r="M94" s="6744"/>
      <c r="N94" s="6719"/>
      <c r="O94" s="6744"/>
      <c r="P94" s="6719"/>
      <c r="Q94" s="6744"/>
      <c r="R94" s="6719"/>
      <c r="S94" s="6744"/>
      <c r="T94" s="6719"/>
      <c r="U94" s="6744"/>
      <c r="V94" s="6719"/>
      <c r="W94" s="6744"/>
      <c r="X94" s="6719"/>
      <c r="Y94" s="6744"/>
      <c r="Z94" s="6719"/>
      <c r="AA94" s="6744"/>
      <c r="AB94" s="6719"/>
      <c r="AC94" s="6744"/>
      <c r="AD94" s="6719"/>
      <c r="AE94" s="6744"/>
      <c r="AF94" s="6719"/>
      <c r="AG94" s="6744"/>
      <c r="AH94" s="6719"/>
      <c r="AI94" s="6744"/>
      <c r="AJ94" s="6719"/>
      <c r="AK94" s="419"/>
    </row>
    <row s="11055" customFormat="1" customHeight="1" ht="24.75" hidden="1">
      <c r="A95" s="2416"/>
      <c r="B95" s="641"/>
      <c r="D95" s="795" t="s">
        <v>119</v>
      </c>
      <c r="E95" s="796" t="s">
        <v>937</v>
      </c>
      <c r="F95" s="855" t="s">
        <v>641</v>
      </c>
      <c r="G95" s="857"/>
      <c r="H95" s="1154"/>
      <c r="I95" s="857"/>
      <c r="J95" s="1154"/>
      <c r="K95" s="6742"/>
      <c r="L95" s="6719"/>
      <c r="M95" s="6742"/>
      <c r="N95" s="6719"/>
      <c r="O95" s="6742"/>
      <c r="P95" s="6719"/>
      <c r="Q95" s="6742"/>
      <c r="R95" s="6719"/>
      <c r="S95" s="6742"/>
      <c r="T95" s="6719"/>
      <c r="U95" s="6742"/>
      <c r="V95" s="6719"/>
      <c r="W95" s="6742"/>
      <c r="X95" s="6719"/>
      <c r="Y95" s="6742"/>
      <c r="Z95" s="6719"/>
      <c r="AA95" s="6742"/>
      <c r="AB95" s="6719"/>
      <c r="AC95" s="6742"/>
      <c r="AD95" s="6719"/>
      <c r="AE95" s="6742"/>
      <c r="AF95" s="6719"/>
      <c r="AG95" s="6742"/>
      <c r="AH95" s="6719"/>
      <c r="AI95" s="6742"/>
      <c r="AJ95" s="6719"/>
      <c r="AK95" s="419" t="s">
        <v>938</v>
      </c>
    </row>
    <row s="11055" customFormat="1" customHeight="1" ht="33.75" hidden="1">
      <c r="A96" s="2416"/>
      <c r="B96" s="641"/>
      <c r="D96" s="795" t="s">
        <v>89</v>
      </c>
      <c r="E96" s="796" t="s">
        <v>939</v>
      </c>
      <c r="F96" s="856" t="s">
        <v>830</v>
      </c>
      <c r="G96" s="858"/>
      <c r="H96" s="1154"/>
      <c r="I96" s="858"/>
      <c r="J96" s="1154"/>
      <c r="K96" s="6747"/>
      <c r="L96" s="6719"/>
      <c r="M96" s="6747"/>
      <c r="N96" s="6719"/>
      <c r="O96" s="6747"/>
      <c r="P96" s="6719"/>
      <c r="Q96" s="6747"/>
      <c r="R96" s="6719"/>
      <c r="S96" s="6747"/>
      <c r="T96" s="6719"/>
      <c r="U96" s="6747"/>
      <c r="V96" s="6719"/>
      <c r="W96" s="6747"/>
      <c r="X96" s="6719"/>
      <c r="Y96" s="6747"/>
      <c r="Z96" s="6719"/>
      <c r="AA96" s="6747"/>
      <c r="AB96" s="6719"/>
      <c r="AC96" s="6747"/>
      <c r="AD96" s="6719"/>
      <c r="AE96" s="6747"/>
      <c r="AF96" s="6719"/>
      <c r="AG96" s="6747"/>
      <c r="AH96" s="6719"/>
      <c r="AI96" s="6747"/>
      <c r="AJ96" s="6719"/>
      <c r="AK96" s="419"/>
    </row>
    <row s="11055" customFormat="1" customHeight="1" ht="22.5" hidden="1">
      <c r="A97" s="2416"/>
      <c r="B97" s="641" t="s">
        <v>671</v>
      </c>
      <c r="D97" s="795" t="s">
        <v>90</v>
      </c>
      <c r="E97" s="796" t="s">
        <v>940</v>
      </c>
      <c r="F97" s="856" t="s">
        <v>384</v>
      </c>
      <c r="G97" s="515"/>
      <c r="H97" s="1154"/>
      <c r="I97" s="515"/>
      <c r="J97" s="1154"/>
      <c r="K97" s="6749"/>
      <c r="L97" s="6719"/>
      <c r="M97" s="6749"/>
      <c r="N97" s="6719"/>
      <c r="O97" s="6749"/>
      <c r="P97" s="6719"/>
      <c r="Q97" s="6749"/>
      <c r="R97" s="6719"/>
      <c r="S97" s="6749"/>
      <c r="T97" s="6719"/>
      <c r="U97" s="6749"/>
      <c r="V97" s="6719"/>
      <c r="W97" s="6749"/>
      <c r="X97" s="6719"/>
      <c r="Y97" s="6749"/>
      <c r="Z97" s="6719"/>
      <c r="AA97" s="6749"/>
      <c r="AB97" s="6719"/>
      <c r="AC97" s="6749"/>
      <c r="AD97" s="6719"/>
      <c r="AE97" s="6749"/>
      <c r="AF97" s="6719"/>
      <c r="AG97" s="6749"/>
      <c r="AH97" s="6719"/>
      <c r="AI97" s="6749"/>
      <c r="AJ97" s="6719"/>
      <c r="AK97" s="419" t="s">
        <v>899</v>
      </c>
    </row>
    <row s="11055" customFormat="1" customHeight="1" ht="45" hidden="1">
      <c r="A98" s="2416"/>
      <c r="B98" s="641" t="s">
        <v>671</v>
      </c>
      <c r="D98" s="795" t="s">
        <v>941</v>
      </c>
      <c r="E98" s="797" t="s">
        <v>942</v>
      </c>
      <c r="F98" s="851" t="s">
        <v>384</v>
      </c>
      <c r="G98" s="515"/>
      <c r="H98" s="1154"/>
      <c r="I98" s="515"/>
      <c r="J98" s="1154"/>
      <c r="K98" s="6749"/>
      <c r="L98" s="6719"/>
      <c r="M98" s="6749"/>
      <c r="N98" s="6719"/>
      <c r="O98" s="6749"/>
      <c r="P98" s="6719"/>
      <c r="Q98" s="6749"/>
      <c r="R98" s="6719"/>
      <c r="S98" s="6749"/>
      <c r="T98" s="6719"/>
      <c r="U98" s="6749"/>
      <c r="V98" s="6719"/>
      <c r="W98" s="6749"/>
      <c r="X98" s="6719"/>
      <c r="Y98" s="6749"/>
      <c r="Z98" s="6719"/>
      <c r="AA98" s="6749"/>
      <c r="AB98" s="6719"/>
      <c r="AC98" s="6749"/>
      <c r="AD98" s="6719"/>
      <c r="AE98" s="6749"/>
      <c r="AF98" s="6719"/>
      <c r="AG98" s="6749"/>
      <c r="AH98" s="6719"/>
      <c r="AI98" s="6749"/>
      <c r="AJ98" s="6719"/>
      <c r="AK98" s="419" t="s">
        <v>899</v>
      </c>
    </row>
    <row s="11055" customFormat="1" customHeight="1" ht="95.25" hidden="1">
      <c r="A99" s="2416"/>
      <c r="B99" s="641" t="s">
        <v>671</v>
      </c>
      <c r="D99" s="795" t="s">
        <v>140</v>
      </c>
      <c r="E99" s="796" t="s">
        <v>943</v>
      </c>
      <c r="F99" s="851" t="s">
        <v>384</v>
      </c>
      <c r="G99" s="515"/>
      <c r="H99" s="1154"/>
      <c r="I99" s="515"/>
      <c r="J99" s="1154"/>
      <c r="K99" s="6749"/>
      <c r="L99" s="6719"/>
      <c r="M99" s="6749"/>
      <c r="N99" s="6719"/>
      <c r="O99" s="6749"/>
      <c r="P99" s="6719"/>
      <c r="Q99" s="6749"/>
      <c r="R99" s="6719"/>
      <c r="S99" s="6749"/>
      <c r="T99" s="6719"/>
      <c r="U99" s="6749"/>
      <c r="V99" s="6719"/>
      <c r="W99" s="6749"/>
      <c r="X99" s="6719"/>
      <c r="Y99" s="6749"/>
      <c r="Z99" s="6719"/>
      <c r="AA99" s="6749"/>
      <c r="AB99" s="6719"/>
      <c r="AC99" s="6749"/>
      <c r="AD99" s="6719"/>
      <c r="AE99" s="6749"/>
      <c r="AF99" s="6719"/>
      <c r="AG99" s="6749"/>
      <c r="AH99" s="6719"/>
      <c r="AI99" s="6749"/>
      <c r="AJ99" s="6719"/>
      <c r="AK99" s="419" t="s">
        <v>899</v>
      </c>
    </row>
    <row s="11055" customFormat="1" customHeight="1" ht="22.5" hidden="1">
      <c r="A100" s="2416"/>
      <c r="B100" s="641" t="s">
        <v>671</v>
      </c>
      <c r="D100" s="795" t="s">
        <v>151</v>
      </c>
      <c r="E100" s="796" t="s">
        <v>944</v>
      </c>
      <c r="F100" s="851" t="s">
        <v>384</v>
      </c>
      <c r="G100" s="515"/>
      <c r="H100" s="1154"/>
      <c r="I100" s="515"/>
      <c r="J100" s="1154"/>
      <c r="K100" s="6749"/>
      <c r="L100" s="6719"/>
      <c r="M100" s="6749"/>
      <c r="N100" s="6719"/>
      <c r="O100" s="6749"/>
      <c r="P100" s="6719"/>
      <c r="Q100" s="6749"/>
      <c r="R100" s="6719"/>
      <c r="S100" s="6749"/>
      <c r="T100" s="6719"/>
      <c r="U100" s="6749"/>
      <c r="V100" s="6719"/>
      <c r="W100" s="6749"/>
      <c r="X100" s="6719"/>
      <c r="Y100" s="6749"/>
      <c r="Z100" s="6719"/>
      <c r="AA100" s="6749"/>
      <c r="AB100" s="6719"/>
      <c r="AC100" s="6749"/>
      <c r="AD100" s="6719"/>
      <c r="AE100" s="6749"/>
      <c r="AF100" s="6719"/>
      <c r="AG100" s="6749"/>
      <c r="AH100" s="6719"/>
      <c r="AI100" s="6749"/>
      <c r="AJ100" s="6719"/>
      <c r="AK100" s="419" t="s">
        <v>899</v>
      </c>
    </row>
    <row s="12259" customFormat="1" customHeight="1" ht="11.25">
      <c r="A101" s="1164"/>
      <c r="B101" s="648"/>
      <c r="D101" s="1165"/>
      <c r="E101" s="1166"/>
      <c r="K101" s="6300"/>
      <c r="L101" s="6300"/>
      <c r="M101" s="6300"/>
      <c r="N101" s="6300"/>
      <c r="O101" s="6300"/>
      <c r="P101" s="6300"/>
      <c r="Q101" s="6300"/>
      <c r="R101" s="6300"/>
      <c r="S101" s="6300"/>
      <c r="T101" s="6300"/>
      <c r="U101" s="6300"/>
      <c r="V101" s="6300"/>
      <c r="W101" s="6300"/>
      <c r="X101" s="6300"/>
      <c r="Y101" s="6300"/>
      <c r="Z101" s="6300"/>
      <c r="AA101" s="6300"/>
      <c r="AB101" s="6300"/>
      <c r="AC101" s="6300"/>
      <c r="AD101" s="6300"/>
      <c r="AE101" s="6300"/>
      <c r="AF101" s="6300"/>
      <c r="AG101" s="6300"/>
      <c r="AH101" s="6300"/>
      <c r="AI101" s="6300"/>
      <c r="AJ101" s="6300"/>
    </row>
  </sheetData>
  <sheetProtection sheet="1" formatColumns="0" formatRows="0" autoFilter="0" sort="1" insertRows="1" insertColumns="1" deleteRows="1" deleteColumns="1"/>
  <mergeCells count="57">
    <mergeCell ref="D3:F3"/>
    <mergeCell ref="AK7:A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J13:J14 L13:L14 N13:N14 P13:P14 R13:R14 T13:T14 V13:V14 X13:X14 Z13:Z14 AB13:AB14 AD13:AD14 AF13:AF14 AH13:AH14 AJ13:AJ14 J31:J32 L31:L32 N31:N32 P31:P32 R31:R32 T31:T32 V31:V32 X31:X32 Z31:Z32 AB31:AB32 AD31:AD32 AF31:AF32 AH31:AH32 AJ31:AJ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J15:J18 L15:L18 N15:N18 P15:P18 R15:R18 T15:T18 V15:V18 X15:X18 Z15:Z18 AB15:AB18 AD15:AD18 AF15:AF18 AH15:AH18 AJ15:AJ18 J21:J22 L21:L22 N21:N22 P21:P22 R21:R22 T21:T22 V21:V22 X21:X22 Z21:Z22 AB21:AB22 AD21:AD22 AF21:AF22 AH21:AH22 AJ21:AJ22 J29:J30 L29:L30 N29:N30 P29:P30 R29:R30 T29:T30 V29:V30 X29:X30 Z29:Z30 AB29:AB30 AD29:AD30 AF29:AF30 AH29:AH30 AJ29:AJ30 J24 L24 N24 P24 R24 T24 V24 X24 Z24 AB24 AD24 AF24 AH24 A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37AB1-A145-BE47-15B4-A7F31AAF9616}" mc:Ignorable="x14ac xr xr2 xr3">
  <sheetPr>
    <tabColor rgb="FFE26B0A"/>
  </sheetPr>
  <dimension ref="A1:AU54"/>
  <sheetViews>
    <sheetView topLeftCell="AB21" showGridLines="0" zoomScale="110" workbookViewId="0" tabSelected="1">
      <selection activeCell="AI53" sqref="AI53"/>
    </sheetView>
  </sheetViews>
  <sheetFormatPr defaultColWidth="10.57421875" customHeight="1" defaultRowHeight="15"/>
  <cols>
    <col min="1" max="1" style="11503" width="9.140625" hidden="1" customWidth="1"/>
    <col min="2" max="2" style="11506" width="9.140625" hidden="1" customWidth="1"/>
    <col min="3" max="3" style="12636" width="4.7109375" customWidth="1"/>
    <col min="4" max="4" style="11506" width="6.28125" customWidth="1"/>
    <col min="5" max="5" style="11506" width="36.7109375" customWidth="1"/>
    <col min="6" max="6" style="11506" width="9.57421875" customWidth="1"/>
    <col min="7" max="7" style="11055" width="25.7109375" hidden="1" customWidth="1"/>
    <col min="8" max="8" style="11055" width="33.7109375" hidden="1" customWidth="1"/>
    <col min="9" max="9" style="11506" width="25.7109375" customWidth="1"/>
    <col min="10" max="10" style="11506" width="33.7109375" customWidth="1"/>
    <col min="11" max="11" style="12241" width="25.7109375" customWidth="1"/>
    <col min="12" max="12" style="12241" width="33.7109375" customWidth="1"/>
    <col min="13" max="13" style="12241" width="25.7109375" customWidth="1"/>
    <col min="14" max="14" style="12241" width="33.7109375" customWidth="1"/>
    <col min="15" max="15" style="12241" width="25.7109375" customWidth="1"/>
    <col min="16" max="16" style="12241" width="33.7109375" customWidth="1"/>
    <col min="17" max="17" style="12241" width="25.7109375" customWidth="1"/>
    <col min="18" max="18" style="12241" width="33.7109375" customWidth="1"/>
    <col min="19" max="19" style="12241" width="25.7109375" customWidth="1"/>
    <col min="20" max="20" style="12241" width="33.7109375" customWidth="1"/>
    <col min="21" max="21" style="12241" width="25.7109375" customWidth="1"/>
    <col min="22" max="22" style="12241" width="33.7109375" customWidth="1"/>
    <col min="23" max="23" style="12241" width="25.7109375" customWidth="1"/>
    <col min="24" max="24" style="12241" width="33.7109375" customWidth="1"/>
    <col min="25" max="25" style="12241" width="25.7109375" customWidth="1"/>
    <col min="26" max="26" style="12241" width="33.7109375" customWidth="1"/>
    <col min="27" max="27" style="12241" width="25.7109375" customWidth="1"/>
    <col min="28" max="28" style="12241" width="33.7109375" customWidth="1"/>
    <col min="29" max="29" style="12241" width="25.7109375" customWidth="1"/>
    <col min="30" max="30" style="12241" width="33.7109375" customWidth="1"/>
    <col min="31" max="31" style="12241" width="25.7109375" customWidth="1"/>
    <col min="32" max="32" style="12241" width="33.7109375" customWidth="1"/>
    <col min="33" max="33" style="12241" width="25.7109375" customWidth="1"/>
    <col min="34" max="34" style="12241" width="33.7109375" customWidth="1"/>
    <col min="35" max="35" style="12241" width="25.7109375" customWidth="1"/>
    <col min="36" max="36" style="12241" width="33.7109375" customWidth="1"/>
    <col min="37" max="37" style="11056" width="93.421875" customWidth="1"/>
    <col min="38" max="46" style="11506" width="10.57421875"/>
    <col min="47" max="47" style="12637" width="10.57421875"/>
  </cols>
  <sheetData>
    <row s="11056" customFormat="1" customHeight="1" ht="15" hidden="1">
      <c r="C1" s="802"/>
      <c r="G1" s="547">
        <v>4</v>
      </c>
      <c r="I1" s="547">
        <v>4</v>
      </c>
      <c r="K1" s="6321">
        <v>4</v>
      </c>
      <c r="L1" s="6321"/>
      <c r="M1" s="6321">
        <v>4</v>
      </c>
      <c r="N1" s="6321"/>
      <c r="O1" s="6321">
        <v>4</v>
      </c>
      <c r="P1" s="6321"/>
      <c r="Q1" s="6321">
        <v>4</v>
      </c>
      <c r="R1" s="6321"/>
      <c r="S1" s="6321">
        <v>4</v>
      </c>
      <c r="T1" s="6321"/>
      <c r="U1" s="6321">
        <v>4</v>
      </c>
      <c r="V1" s="6321"/>
      <c r="W1" s="6321">
        <v>4</v>
      </c>
      <c r="X1" s="6321"/>
      <c r="Y1" s="6321">
        <v>4</v>
      </c>
      <c r="Z1" s="6321"/>
      <c r="AA1" s="6321">
        <v>4</v>
      </c>
      <c r="AB1" s="6321"/>
      <c r="AC1" s="6321">
        <v>4</v>
      </c>
      <c r="AD1" s="6321"/>
      <c r="AE1" s="6321">
        <v>4</v>
      </c>
      <c r="AF1" s="6321"/>
      <c r="AG1" s="6321">
        <v>4</v>
      </c>
      <c r="AH1" s="6321"/>
      <c r="AI1" s="6321">
        <v>4</v>
      </c>
      <c r="AJ1" s="6321"/>
      <c r="AU1" s="550"/>
    </row>
    <row s="11056" customFormat="1" customHeight="1" ht="15" hidden="1">
      <c r="C2" s="802"/>
      <c r="K2" s="6321"/>
      <c r="L2" s="6321"/>
      <c r="M2" s="6321"/>
      <c r="N2" s="6321"/>
      <c r="O2" s="6321"/>
      <c r="P2" s="6321"/>
      <c r="Q2" s="6321"/>
      <c r="R2" s="6321"/>
      <c r="S2" s="6321"/>
      <c r="T2" s="6321"/>
      <c r="U2" s="6321"/>
      <c r="V2" s="6321"/>
      <c r="W2" s="6321"/>
      <c r="X2" s="6321"/>
      <c r="Y2" s="6321"/>
      <c r="Z2" s="6321"/>
      <c r="AA2" s="6321"/>
      <c r="AB2" s="6321"/>
      <c r="AC2" s="6321"/>
      <c r="AD2" s="6321"/>
      <c r="AE2" s="6321"/>
      <c r="AF2" s="6321"/>
      <c r="AG2" s="6321"/>
      <c r="AH2" s="6321"/>
      <c r="AI2" s="6321"/>
      <c r="AJ2" s="6321"/>
      <c r="AU2" s="550"/>
    </row>
    <row customHeight="1" ht="22.5" hidden="1">
      <c r="A3" s="635"/>
      <c r="B3" s="2423"/>
      <c r="C3" s="2424" t="s">
        <v>101</v>
      </c>
      <c r="D3" s="819" t="str">
        <f>B3&amp;".1"</f>
        <v>.1</v>
      </c>
      <c r="E3" s="820" t="s">
        <v>945</v>
      </c>
      <c r="F3" s="821" t="s">
        <v>384</v>
      </c>
      <c r="G3" s="816"/>
      <c r="H3" s="531"/>
      <c r="I3" s="816"/>
      <c r="J3" s="531"/>
      <c r="K3" s="6698"/>
      <c r="L3" s="6519"/>
      <c r="M3" s="6698"/>
      <c r="N3" s="6519"/>
      <c r="O3" s="6698"/>
      <c r="P3" s="6519"/>
      <c r="Q3" s="6698"/>
      <c r="R3" s="6519"/>
      <c r="S3" s="6698"/>
      <c r="T3" s="6519"/>
      <c r="U3" s="6698"/>
      <c r="V3" s="6519"/>
      <c r="W3" s="6698"/>
      <c r="X3" s="6519"/>
      <c r="Y3" s="6698"/>
      <c r="Z3" s="6519"/>
      <c r="AA3" s="6698"/>
      <c r="AB3" s="6519"/>
      <c r="AC3" s="6698"/>
      <c r="AD3" s="6519"/>
      <c r="AE3" s="6698"/>
      <c r="AF3" s="6519"/>
      <c r="AG3" s="6698"/>
      <c r="AH3" s="6519"/>
      <c r="AI3" s="6698"/>
      <c r="AJ3" s="6519"/>
      <c r="AK3" s="419" t="s">
        <v>946</v>
      </c>
    </row>
    <row customHeight="1" ht="15" hidden="1">
      <c r="A4" s="635"/>
      <c r="B4" s="2423"/>
      <c r="C4" s="2424"/>
      <c r="D4" s="819" t="str">
        <f>B3&amp;".2"</f>
        <v>.2</v>
      </c>
      <c r="E4" s="820" t="s">
        <v>947</v>
      </c>
      <c r="F4" s="821" t="s">
        <v>384</v>
      </c>
      <c r="G4" s="1875" t="s">
        <v>18</v>
      </c>
      <c r="H4" s="531"/>
      <c r="I4" s="1875" t="s">
        <v>18</v>
      </c>
      <c r="J4" s="531"/>
      <c r="K4" s="6757" t="s">
        <v>18</v>
      </c>
      <c r="L4" s="6519"/>
      <c r="M4" s="6757" t="s">
        <v>18</v>
      </c>
      <c r="N4" s="6519"/>
      <c r="O4" s="6757" t="s">
        <v>18</v>
      </c>
      <c r="P4" s="6519"/>
      <c r="Q4" s="6757" t="s">
        <v>18</v>
      </c>
      <c r="R4" s="6519"/>
      <c r="S4" s="6757" t="s">
        <v>18</v>
      </c>
      <c r="T4" s="6519"/>
      <c r="U4" s="6757" t="s">
        <v>18</v>
      </c>
      <c r="V4" s="6519"/>
      <c r="W4" s="6757" t="s">
        <v>18</v>
      </c>
      <c r="X4" s="6519"/>
      <c r="Y4" s="6757" t="s">
        <v>18</v>
      </c>
      <c r="Z4" s="6519"/>
      <c r="AA4" s="6757" t="s">
        <v>18</v>
      </c>
      <c r="AB4" s="6519"/>
      <c r="AC4" s="6757" t="s">
        <v>18</v>
      </c>
      <c r="AD4" s="6519"/>
      <c r="AE4" s="6757" t="s">
        <v>18</v>
      </c>
      <c r="AF4" s="6519"/>
      <c r="AG4" s="6757" t="s">
        <v>18</v>
      </c>
      <c r="AH4" s="6519"/>
      <c r="AI4" s="6757" t="s">
        <v>18</v>
      </c>
      <c r="AJ4" s="6519"/>
      <c r="AK4" s="419" t="s">
        <v>948</v>
      </c>
    </row>
    <row s="11056" customFormat="1" customHeight="1" ht="15" hidden="1">
      <c r="C5" s="802"/>
      <c r="K5" s="6321"/>
      <c r="L5" s="6321"/>
      <c r="M5" s="6321"/>
      <c r="N5" s="6321"/>
      <c r="O5" s="6321"/>
      <c r="P5" s="6321"/>
      <c r="Q5" s="6321"/>
      <c r="R5" s="6321"/>
      <c r="S5" s="6321"/>
      <c r="T5" s="6321"/>
      <c r="U5" s="6321"/>
      <c r="V5" s="6321"/>
      <c r="W5" s="6321"/>
      <c r="X5" s="6321"/>
      <c r="Y5" s="6321"/>
      <c r="Z5" s="6321"/>
      <c r="AA5" s="6321"/>
      <c r="AB5" s="6321"/>
      <c r="AC5" s="6321"/>
      <c r="AD5" s="6321"/>
      <c r="AE5" s="6321"/>
      <c r="AF5" s="6321"/>
      <c r="AG5" s="6321"/>
      <c r="AH5" s="6321"/>
      <c r="AI5" s="6321"/>
      <c r="AJ5" s="6321"/>
      <c r="AU5" s="550"/>
    </row>
    <row customHeight="1" ht="22.5" hidden="1">
      <c r="A6" s="635"/>
      <c r="B6" s="2423"/>
      <c r="C6" s="2424" t="s">
        <v>101</v>
      </c>
      <c r="D6" s="819" t="str">
        <f>B6&amp;".1"</f>
        <v>.1</v>
      </c>
      <c r="E6" s="820" t="s">
        <v>949</v>
      </c>
      <c r="F6" s="821" t="s">
        <v>384</v>
      </c>
      <c r="G6" s="816"/>
      <c r="H6" s="531"/>
      <c r="I6" s="816"/>
      <c r="J6" s="531"/>
      <c r="K6" s="6698"/>
      <c r="L6" s="6519"/>
      <c r="M6" s="6698"/>
      <c r="N6" s="6519"/>
      <c r="O6" s="6698"/>
      <c r="P6" s="6519"/>
      <c r="Q6" s="6698"/>
      <c r="R6" s="6519"/>
      <c r="S6" s="6698"/>
      <c r="T6" s="6519"/>
      <c r="U6" s="6698"/>
      <c r="V6" s="6519"/>
      <c r="W6" s="6698"/>
      <c r="X6" s="6519"/>
      <c r="Y6" s="6698"/>
      <c r="Z6" s="6519"/>
      <c r="AA6" s="6698"/>
      <c r="AB6" s="6519"/>
      <c r="AC6" s="6698"/>
      <c r="AD6" s="6519"/>
      <c r="AE6" s="6698"/>
      <c r="AF6" s="6519"/>
      <c r="AG6" s="6698"/>
      <c r="AH6" s="6519"/>
      <c r="AI6" s="6698"/>
      <c r="AJ6" s="6519"/>
      <c r="AK6" s="419" t="s">
        <v>950</v>
      </c>
    </row>
    <row customHeight="1" ht="15" hidden="1">
      <c r="A7" s="635"/>
      <c r="B7" s="2423"/>
      <c r="C7" s="2424"/>
      <c r="D7" s="819" t="str">
        <f>B6&amp;".2"</f>
        <v>.2</v>
      </c>
      <c r="E7" s="820" t="s">
        <v>947</v>
      </c>
      <c r="F7" s="821" t="s">
        <v>384</v>
      </c>
      <c r="G7" s="1875" t="s">
        <v>18</v>
      </c>
      <c r="H7" s="531"/>
      <c r="I7" s="1875" t="s">
        <v>18</v>
      </c>
      <c r="J7" s="531"/>
      <c r="K7" s="6757" t="s">
        <v>18</v>
      </c>
      <c r="L7" s="6519"/>
      <c r="M7" s="6757" t="s">
        <v>18</v>
      </c>
      <c r="N7" s="6519"/>
      <c r="O7" s="6757" t="s">
        <v>18</v>
      </c>
      <c r="P7" s="6519"/>
      <c r="Q7" s="6757" t="s">
        <v>18</v>
      </c>
      <c r="R7" s="6519"/>
      <c r="S7" s="6757" t="s">
        <v>18</v>
      </c>
      <c r="T7" s="6519"/>
      <c r="U7" s="6757" t="s">
        <v>18</v>
      </c>
      <c r="V7" s="6519"/>
      <c r="W7" s="6757" t="s">
        <v>18</v>
      </c>
      <c r="X7" s="6519"/>
      <c r="Y7" s="6757" t="s">
        <v>18</v>
      </c>
      <c r="Z7" s="6519"/>
      <c r="AA7" s="6757" t="s">
        <v>18</v>
      </c>
      <c r="AB7" s="6519"/>
      <c r="AC7" s="6757" t="s">
        <v>18</v>
      </c>
      <c r="AD7" s="6519"/>
      <c r="AE7" s="6757" t="s">
        <v>18</v>
      </c>
      <c r="AF7" s="6519"/>
      <c r="AG7" s="6757" t="s">
        <v>18</v>
      </c>
      <c r="AH7" s="6519"/>
      <c r="AI7" s="6757" t="s">
        <v>18</v>
      </c>
      <c r="AJ7" s="6519"/>
      <c r="AK7" s="419" t="s">
        <v>948</v>
      </c>
    </row>
    <row s="11056" customFormat="1" customHeight="1" ht="15" hidden="1">
      <c r="C8" s="802"/>
      <c r="K8" s="6321"/>
      <c r="L8" s="6321"/>
      <c r="M8" s="6321"/>
      <c r="N8" s="6321"/>
      <c r="O8" s="6321"/>
      <c r="P8" s="6321"/>
      <c r="Q8" s="6321"/>
      <c r="R8" s="6321"/>
      <c r="S8" s="6321"/>
      <c r="T8" s="6321"/>
      <c r="U8" s="6321"/>
      <c r="V8" s="6321"/>
      <c r="W8" s="6321"/>
      <c r="X8" s="6321"/>
      <c r="Y8" s="6321"/>
      <c r="Z8" s="6321"/>
      <c r="AA8" s="6321"/>
      <c r="AB8" s="6321"/>
      <c r="AC8" s="6321"/>
      <c r="AD8" s="6321"/>
      <c r="AE8" s="6321"/>
      <c r="AF8" s="6321"/>
      <c r="AG8" s="6321"/>
      <c r="AH8" s="6321"/>
      <c r="AI8" s="6321"/>
      <c r="AJ8" s="6321"/>
      <c r="AU8" s="550"/>
    </row>
    <row customHeight="1" ht="22.5" hidden="1">
      <c r="A9" s="635"/>
      <c r="B9" s="2423"/>
      <c r="C9" s="2424" t="s">
        <v>101</v>
      </c>
      <c r="D9" s="819" t="str">
        <f>B9&amp;".1"</f>
        <v>.1</v>
      </c>
      <c r="E9" s="820" t="s">
        <v>951</v>
      </c>
      <c r="F9" s="821" t="s">
        <v>384</v>
      </c>
      <c r="G9" s="827" t="s">
        <v>18</v>
      </c>
      <c r="H9" s="531" t="s">
        <v>18</v>
      </c>
      <c r="I9" s="827" t="s">
        <v>18</v>
      </c>
      <c r="J9" s="531" t="s">
        <v>18</v>
      </c>
      <c r="K9" s="6759" t="s">
        <v>18</v>
      </c>
      <c r="L9" s="6760" t="s">
        <v>18</v>
      </c>
      <c r="M9" s="6761" t="s">
        <v>18</v>
      </c>
      <c r="N9" s="6519" t="s">
        <v>18</v>
      </c>
      <c r="O9" s="6761" t="s">
        <v>18</v>
      </c>
      <c r="P9" s="6519" t="s">
        <v>18</v>
      </c>
      <c r="Q9" s="6761" t="s">
        <v>18</v>
      </c>
      <c r="R9" s="6519" t="s">
        <v>18</v>
      </c>
      <c r="S9" s="6761" t="s">
        <v>18</v>
      </c>
      <c r="T9" s="6519" t="s">
        <v>18</v>
      </c>
      <c r="U9" s="6761" t="s">
        <v>18</v>
      </c>
      <c r="V9" s="6519" t="s">
        <v>18</v>
      </c>
      <c r="W9" s="6759" t="s">
        <v>18</v>
      </c>
      <c r="X9" s="6760" t="s">
        <v>18</v>
      </c>
      <c r="Y9" s="6759" t="s">
        <v>18</v>
      </c>
      <c r="Z9" s="6760" t="s">
        <v>18</v>
      </c>
      <c r="AA9" s="6761" t="s">
        <v>18</v>
      </c>
      <c r="AB9" s="6519" t="s">
        <v>18</v>
      </c>
      <c r="AC9" s="6761" t="s">
        <v>18</v>
      </c>
      <c r="AD9" s="6519" t="s">
        <v>18</v>
      </c>
      <c r="AE9" s="6759" t="s">
        <v>18</v>
      </c>
      <c r="AF9" s="6760" t="s">
        <v>18</v>
      </c>
      <c r="AG9" s="6761" t="s">
        <v>18</v>
      </c>
      <c r="AH9" s="6519" t="s">
        <v>18</v>
      </c>
      <c r="AI9" s="6759" t="s">
        <v>18</v>
      </c>
      <c r="AJ9" s="6760" t="s">
        <v>18</v>
      </c>
      <c r="AK9" s="419"/>
    </row>
    <row customHeight="1" ht="15" hidden="1">
      <c r="A10" s="635"/>
      <c r="B10" s="2423"/>
      <c r="C10" s="2424"/>
      <c r="D10" s="819" t="str">
        <f>B9&amp;".2"</f>
        <v>.2</v>
      </c>
      <c r="E10" s="820" t="s">
        <v>952</v>
      </c>
      <c r="F10" s="821" t="s">
        <v>384</v>
      </c>
      <c r="G10" s="1869" t="s">
        <v>18</v>
      </c>
      <c r="H10" s="531" t="s">
        <v>18</v>
      </c>
      <c r="I10" s="1869" t="s">
        <v>18</v>
      </c>
      <c r="J10" s="531" t="s">
        <v>18</v>
      </c>
      <c r="K10" s="6762" t="s">
        <v>18</v>
      </c>
      <c r="L10" s="6760" t="s">
        <v>18</v>
      </c>
      <c r="M10" s="6763" t="s">
        <v>18</v>
      </c>
      <c r="N10" s="6519" t="s">
        <v>18</v>
      </c>
      <c r="O10" s="6763" t="s">
        <v>18</v>
      </c>
      <c r="P10" s="6519" t="s">
        <v>18</v>
      </c>
      <c r="Q10" s="6763" t="s">
        <v>18</v>
      </c>
      <c r="R10" s="6519" t="s">
        <v>18</v>
      </c>
      <c r="S10" s="6763" t="s">
        <v>18</v>
      </c>
      <c r="T10" s="6519" t="s">
        <v>18</v>
      </c>
      <c r="U10" s="6763" t="s">
        <v>18</v>
      </c>
      <c r="V10" s="6519" t="s">
        <v>18</v>
      </c>
      <c r="W10" s="6762" t="s">
        <v>18</v>
      </c>
      <c r="X10" s="6760" t="s">
        <v>18</v>
      </c>
      <c r="Y10" s="6762" t="s">
        <v>18</v>
      </c>
      <c r="Z10" s="6760" t="s">
        <v>18</v>
      </c>
      <c r="AA10" s="6763" t="s">
        <v>18</v>
      </c>
      <c r="AB10" s="6519" t="s">
        <v>18</v>
      </c>
      <c r="AC10" s="6763" t="s">
        <v>18</v>
      </c>
      <c r="AD10" s="6519" t="s">
        <v>18</v>
      </c>
      <c r="AE10" s="6762" t="s">
        <v>18</v>
      </c>
      <c r="AF10" s="6760" t="s">
        <v>18</v>
      </c>
      <c r="AG10" s="6763" t="s">
        <v>18</v>
      </c>
      <c r="AH10" s="6519" t="s">
        <v>18</v>
      </c>
      <c r="AI10" s="6762" t="s">
        <v>18</v>
      </c>
      <c r="AJ10" s="6760" t="s">
        <v>18</v>
      </c>
      <c r="AK10" s="419" t="s">
        <v>953</v>
      </c>
    </row>
    <row customHeight="1" ht="15" hidden="1">
      <c r="A11" s="635"/>
      <c r="B11" s="2423"/>
      <c r="C11" s="2424"/>
      <c r="D11" s="819" t="str">
        <f>B9&amp;".3"</f>
        <v>.3</v>
      </c>
      <c r="E11" s="820" t="s">
        <v>954</v>
      </c>
      <c r="F11" s="821" t="s">
        <v>384</v>
      </c>
      <c r="G11" s="1869" t="s">
        <v>18</v>
      </c>
      <c r="H11" s="531" t="s">
        <v>18</v>
      </c>
      <c r="I11" s="1869" t="s">
        <v>18</v>
      </c>
      <c r="J11" s="531" t="s">
        <v>18</v>
      </c>
      <c r="K11" s="6762" t="s">
        <v>18</v>
      </c>
      <c r="L11" s="6760" t="s">
        <v>18</v>
      </c>
      <c r="M11" s="6763" t="s">
        <v>18</v>
      </c>
      <c r="N11" s="6519" t="s">
        <v>18</v>
      </c>
      <c r="O11" s="6763" t="s">
        <v>18</v>
      </c>
      <c r="P11" s="6519" t="s">
        <v>18</v>
      </c>
      <c r="Q11" s="6763" t="s">
        <v>18</v>
      </c>
      <c r="R11" s="6519" t="s">
        <v>18</v>
      </c>
      <c r="S11" s="6763" t="s">
        <v>18</v>
      </c>
      <c r="T11" s="6519" t="s">
        <v>18</v>
      </c>
      <c r="U11" s="6763" t="s">
        <v>18</v>
      </c>
      <c r="V11" s="6519" t="s">
        <v>18</v>
      </c>
      <c r="W11" s="6762" t="s">
        <v>18</v>
      </c>
      <c r="X11" s="6760" t="s">
        <v>18</v>
      </c>
      <c r="Y11" s="6762" t="s">
        <v>18</v>
      </c>
      <c r="Z11" s="6760" t="s">
        <v>18</v>
      </c>
      <c r="AA11" s="6763" t="s">
        <v>18</v>
      </c>
      <c r="AB11" s="6519" t="s">
        <v>18</v>
      </c>
      <c r="AC11" s="6763" t="s">
        <v>18</v>
      </c>
      <c r="AD11" s="6519" t="s">
        <v>18</v>
      </c>
      <c r="AE11" s="6762" t="s">
        <v>18</v>
      </c>
      <c r="AF11" s="6760" t="s">
        <v>18</v>
      </c>
      <c r="AG11" s="6763" t="s">
        <v>18</v>
      </c>
      <c r="AH11" s="6519" t="s">
        <v>18</v>
      </c>
      <c r="AI11" s="6762" t="s">
        <v>18</v>
      </c>
      <c r="AJ11" s="6760" t="s">
        <v>18</v>
      </c>
      <c r="AK11" s="419" t="s">
        <v>955</v>
      </c>
    </row>
    <row s="11056" customFormat="1" customHeight="1" ht="15" hidden="1">
      <c r="C12" s="802"/>
      <c r="K12" s="6321"/>
      <c r="L12" s="6321"/>
      <c r="M12" s="6321"/>
      <c r="N12" s="6321"/>
      <c r="O12" s="6321"/>
      <c r="P12" s="6321"/>
      <c r="Q12" s="6321"/>
      <c r="R12" s="6321"/>
      <c r="S12" s="6321"/>
      <c r="T12" s="6321"/>
      <c r="U12" s="6321"/>
      <c r="V12" s="6321"/>
      <c r="W12" s="6321"/>
      <c r="X12" s="6321"/>
      <c r="Y12" s="6321"/>
      <c r="Z12" s="6321"/>
      <c r="AA12" s="6321"/>
      <c r="AB12" s="6321"/>
      <c r="AC12" s="6321"/>
      <c r="AD12" s="6321"/>
      <c r="AE12" s="6321"/>
      <c r="AF12" s="6321"/>
      <c r="AG12" s="6321"/>
      <c r="AH12" s="6321"/>
      <c r="AI12" s="6321"/>
      <c r="AJ12" s="6321"/>
      <c r="AU12" s="550"/>
    </row>
    <row customHeight="1" ht="33.75" hidden="1">
      <c r="A13" s="635"/>
      <c r="B13" s="2423"/>
      <c r="C13" s="2424" t="s">
        <v>101</v>
      </c>
      <c r="D13" s="819" t="str">
        <f>B13&amp;".1"</f>
        <v>.1</v>
      </c>
      <c r="E13" s="820" t="s">
        <v>956</v>
      </c>
      <c r="F13" s="821" t="s">
        <v>384</v>
      </c>
      <c r="G13" s="827" t="s">
        <v>18</v>
      </c>
      <c r="H13" s="531" t="s">
        <v>18</v>
      </c>
      <c r="I13" s="12476" t="s">
        <v>18</v>
      </c>
      <c r="J13" s="12477" t="s">
        <v>18</v>
      </c>
      <c r="K13" s="12478" t="s">
        <v>18</v>
      </c>
      <c r="L13" s="12479" t="s">
        <v>18</v>
      </c>
      <c r="M13" s="12478" t="s">
        <v>18</v>
      </c>
      <c r="N13" s="12479" t="s">
        <v>18</v>
      </c>
      <c r="O13" s="12478" t="s">
        <v>18</v>
      </c>
      <c r="P13" s="12479" t="s">
        <v>18</v>
      </c>
      <c r="Q13" s="12478" t="s">
        <v>18</v>
      </c>
      <c r="R13" s="12479" t="s">
        <v>18</v>
      </c>
      <c r="S13" s="12478" t="s">
        <v>18</v>
      </c>
      <c r="T13" s="12479" t="s">
        <v>18</v>
      </c>
      <c r="U13" s="12478" t="s">
        <v>18</v>
      </c>
      <c r="V13" s="12479" t="s">
        <v>18</v>
      </c>
      <c r="W13" s="12478" t="s">
        <v>18</v>
      </c>
      <c r="X13" s="12479" t="s">
        <v>18</v>
      </c>
      <c r="Y13" s="12478" t="s">
        <v>18</v>
      </c>
      <c r="Z13" s="12479" t="s">
        <v>18</v>
      </c>
      <c r="AA13" s="12478" t="s">
        <v>18</v>
      </c>
      <c r="AB13" s="12479" t="s">
        <v>18</v>
      </c>
      <c r="AC13" s="12478" t="s">
        <v>18</v>
      </c>
      <c r="AD13" s="12479" t="s">
        <v>18</v>
      </c>
      <c r="AE13" s="12478" t="s">
        <v>18</v>
      </c>
      <c r="AF13" s="12479" t="s">
        <v>18</v>
      </c>
      <c r="AG13" s="12478" t="s">
        <v>18</v>
      </c>
      <c r="AH13" s="12479" t="s">
        <v>18</v>
      </c>
      <c r="AI13" s="12478" t="s">
        <v>18</v>
      </c>
      <c r="AJ13" s="12479" t="s">
        <v>18</v>
      </c>
      <c r="AK13" s="419" t="s">
        <v>957</v>
      </c>
    </row>
    <row customHeight="1" ht="15" hidden="1">
      <c r="B14" s="2423"/>
      <c r="C14" s="2424"/>
      <c r="D14" s="819" t="str">
        <f>B13&amp;".2"</f>
        <v>.2</v>
      </c>
      <c r="E14" s="820" t="s">
        <v>958</v>
      </c>
      <c r="F14" s="821" t="s">
        <v>384</v>
      </c>
      <c r="G14" s="1869" t="s">
        <v>18</v>
      </c>
      <c r="H14" s="531" t="s">
        <v>18</v>
      </c>
      <c r="I14" s="12480" t="s">
        <v>18</v>
      </c>
      <c r="J14" s="12477" t="s">
        <v>18</v>
      </c>
      <c r="K14" s="12481" t="s">
        <v>18</v>
      </c>
      <c r="L14" s="12479" t="s">
        <v>18</v>
      </c>
      <c r="M14" s="12481" t="s">
        <v>18</v>
      </c>
      <c r="N14" s="12479" t="s">
        <v>18</v>
      </c>
      <c r="O14" s="12481" t="s">
        <v>18</v>
      </c>
      <c r="P14" s="12479" t="s">
        <v>18</v>
      </c>
      <c r="Q14" s="12481" t="s">
        <v>18</v>
      </c>
      <c r="R14" s="12479" t="s">
        <v>18</v>
      </c>
      <c r="S14" s="12481" t="s">
        <v>18</v>
      </c>
      <c r="T14" s="12479" t="s">
        <v>18</v>
      </c>
      <c r="U14" s="12481" t="s">
        <v>18</v>
      </c>
      <c r="V14" s="12479" t="s">
        <v>18</v>
      </c>
      <c r="W14" s="12481" t="s">
        <v>18</v>
      </c>
      <c r="X14" s="12479" t="s">
        <v>18</v>
      </c>
      <c r="Y14" s="12481" t="s">
        <v>18</v>
      </c>
      <c r="Z14" s="12479" t="s">
        <v>18</v>
      </c>
      <c r="AA14" s="12481" t="s">
        <v>18</v>
      </c>
      <c r="AB14" s="12479" t="s">
        <v>18</v>
      </c>
      <c r="AC14" s="12481" t="s">
        <v>18</v>
      </c>
      <c r="AD14" s="12479" t="s">
        <v>18</v>
      </c>
      <c r="AE14" s="12481" t="s">
        <v>18</v>
      </c>
      <c r="AF14" s="12479" t="s">
        <v>18</v>
      </c>
      <c r="AG14" s="12481" t="s">
        <v>18</v>
      </c>
      <c r="AH14" s="12479" t="s">
        <v>18</v>
      </c>
      <c r="AI14" s="12481" t="s">
        <v>18</v>
      </c>
      <c r="AJ14" s="12479" t="s">
        <v>18</v>
      </c>
      <c r="AK14" s="419" t="s">
        <v>959</v>
      </c>
    </row>
    <row s="11056" customFormat="1" customHeight="1" ht="15" hidden="1">
      <c r="C15" s="802"/>
      <c r="K15" s="6321"/>
      <c r="L15" s="6321"/>
      <c r="M15" s="6321"/>
      <c r="N15" s="6321"/>
      <c r="O15" s="6321"/>
      <c r="P15" s="6321"/>
      <c r="Q15" s="6321"/>
      <c r="R15" s="6321"/>
      <c r="S15" s="6321"/>
      <c r="T15" s="6321"/>
      <c r="U15" s="6321"/>
      <c r="V15" s="6321"/>
      <c r="W15" s="6321"/>
      <c r="X15" s="6321"/>
      <c r="Y15" s="6321"/>
      <c r="Z15" s="6321"/>
      <c r="AA15" s="6321"/>
      <c r="AB15" s="6321"/>
      <c r="AC15" s="6321"/>
      <c r="AD15" s="6321"/>
      <c r="AE15" s="6321"/>
      <c r="AF15" s="6321"/>
      <c r="AG15" s="6321"/>
      <c r="AH15" s="6321"/>
      <c r="AI15" s="6321"/>
      <c r="AJ15" s="6321"/>
      <c r="AU15" s="550"/>
    </row>
    <row s="11056" customFormat="1" customHeight="1" ht="15" hidden="1">
      <c r="C16" s="802"/>
      <c r="K16" s="6321"/>
      <c r="L16" s="6321"/>
      <c r="M16" s="6321"/>
      <c r="N16" s="6321"/>
      <c r="O16" s="6321"/>
      <c r="P16" s="6321"/>
      <c r="Q16" s="6321"/>
      <c r="R16" s="6321"/>
      <c r="S16" s="6321"/>
      <c r="T16" s="6321"/>
      <c r="U16" s="6321"/>
      <c r="V16" s="6321"/>
      <c r="W16" s="6321"/>
      <c r="X16" s="6321"/>
      <c r="Y16" s="6321"/>
      <c r="Z16" s="6321"/>
      <c r="AA16" s="6321"/>
      <c r="AB16" s="6321"/>
      <c r="AC16" s="6321"/>
      <c r="AD16" s="6321"/>
      <c r="AE16" s="6321"/>
      <c r="AF16" s="6321"/>
      <c r="AG16" s="6321"/>
      <c r="AH16" s="6321"/>
      <c r="AI16" s="6321"/>
      <c r="AJ16" s="6321"/>
      <c r="AU16" s="550"/>
    </row>
    <row s="11056" customFormat="1" customHeight="1" ht="15" hidden="1">
      <c r="C17" s="802"/>
      <c r="K17" s="6321"/>
      <c r="L17" s="6321"/>
      <c r="M17" s="6321"/>
      <c r="N17" s="6321"/>
      <c r="O17" s="6321"/>
      <c r="P17" s="6321"/>
      <c r="Q17" s="6321"/>
      <c r="R17" s="6321"/>
      <c r="S17" s="6321"/>
      <c r="T17" s="6321"/>
      <c r="U17" s="6321"/>
      <c r="V17" s="6321"/>
      <c r="W17" s="6321"/>
      <c r="X17" s="6321"/>
      <c r="Y17" s="6321"/>
      <c r="Z17" s="6321"/>
      <c r="AA17" s="6321"/>
      <c r="AB17" s="6321"/>
      <c r="AC17" s="6321"/>
      <c r="AD17" s="6321"/>
      <c r="AE17" s="6321"/>
      <c r="AF17" s="6321"/>
      <c r="AG17" s="6321"/>
      <c r="AH17" s="6321"/>
      <c r="AI17" s="6321"/>
      <c r="AJ17" s="6321"/>
      <c r="AU17" s="550"/>
    </row>
    <row s="11056" customFormat="1" customHeight="1" ht="15" hidden="1">
      <c r="C18" s="802"/>
      <c r="K18" s="6321"/>
      <c r="L18" s="6321"/>
      <c r="M18" s="6321"/>
      <c r="N18" s="6321"/>
      <c r="O18" s="6321"/>
      <c r="P18" s="6321"/>
      <c r="Q18" s="6321"/>
      <c r="R18" s="6321"/>
      <c r="S18" s="6321"/>
      <c r="T18" s="6321"/>
      <c r="U18" s="6321"/>
      <c r="V18" s="6321"/>
      <c r="W18" s="6321"/>
      <c r="X18" s="6321"/>
      <c r="Y18" s="6321"/>
      <c r="Z18" s="6321"/>
      <c r="AA18" s="6321"/>
      <c r="AB18" s="6321"/>
      <c r="AC18" s="6321"/>
      <c r="AD18" s="6321"/>
      <c r="AE18" s="6321"/>
      <c r="AF18" s="6321"/>
      <c r="AG18" s="6321"/>
      <c r="AH18" s="6321"/>
      <c r="AI18" s="6321"/>
      <c r="AJ18" s="6321"/>
      <c r="AU18" s="550"/>
    </row>
    <row s="11056" customFormat="1" customHeight="1" ht="15" hidden="1">
      <c r="C19" s="802"/>
      <c r="K19" s="6321"/>
      <c r="L19" s="6321"/>
      <c r="M19" s="6321"/>
      <c r="N19" s="6321"/>
      <c r="O19" s="6321"/>
      <c r="P19" s="6321"/>
      <c r="Q19" s="6321"/>
      <c r="R19" s="6321"/>
      <c r="S19" s="6321"/>
      <c r="T19" s="6321"/>
      <c r="U19" s="6321"/>
      <c r="V19" s="6321"/>
      <c r="W19" s="6321"/>
      <c r="X19" s="6321"/>
      <c r="Y19" s="6321"/>
      <c r="Z19" s="6321"/>
      <c r="AA19" s="6321"/>
      <c r="AB19" s="6321"/>
      <c r="AC19" s="6321"/>
      <c r="AD19" s="6321"/>
      <c r="AE19" s="6321"/>
      <c r="AF19" s="6321"/>
      <c r="AG19" s="6321"/>
      <c r="AH19" s="6321"/>
      <c r="AI19" s="6321"/>
      <c r="AJ19" s="6321"/>
      <c r="AU19" s="550"/>
    </row>
    <row s="11056" customFormat="1" customHeight="1" ht="15" hidden="1">
      <c r="C20" s="802"/>
      <c r="K20" s="6321"/>
      <c r="L20" s="6321"/>
      <c r="M20" s="6321"/>
      <c r="N20" s="6321"/>
      <c r="O20" s="6321"/>
      <c r="P20" s="6321"/>
      <c r="Q20" s="6321"/>
      <c r="R20" s="6321"/>
      <c r="S20" s="6321"/>
      <c r="T20" s="6321"/>
      <c r="U20" s="6321"/>
      <c r="V20" s="6321"/>
      <c r="W20" s="6321"/>
      <c r="X20" s="6321"/>
      <c r="Y20" s="6321"/>
      <c r="Z20" s="6321"/>
      <c r="AA20" s="6321"/>
      <c r="AB20" s="6321"/>
      <c r="AC20" s="6321"/>
      <c r="AD20" s="6321"/>
      <c r="AE20" s="6321"/>
      <c r="AF20" s="6321"/>
      <c r="AG20" s="6321"/>
      <c r="AH20" s="6321"/>
      <c r="AI20" s="6321"/>
      <c r="AJ20" s="6321"/>
      <c r="AU20" s="550"/>
    </row>
    <row customHeight="1" ht="15">
      <c r="C21" s="306"/>
      <c r="D21" s="639"/>
      <c r="E21" s="639"/>
      <c r="F21" s="639"/>
      <c r="G21" s="639"/>
      <c r="H21" s="639"/>
      <c r="I21" s="639"/>
      <c r="J21" s="639"/>
      <c r="K21" s="6300"/>
      <c r="L21" s="6300"/>
      <c r="M21" s="6300"/>
      <c r="N21" s="6300"/>
      <c r="O21" s="6300"/>
      <c r="P21" s="6300"/>
      <c r="Q21" s="6300"/>
      <c r="R21" s="6300"/>
      <c r="S21" s="6300"/>
      <c r="T21" s="6300"/>
      <c r="U21" s="6300"/>
      <c r="V21" s="6300"/>
      <c r="W21" s="6300"/>
      <c r="X21" s="6300"/>
      <c r="Y21" s="6300"/>
      <c r="Z21" s="6300"/>
      <c r="AA21" s="6300"/>
      <c r="AB21" s="6300"/>
      <c r="AC21" s="6300"/>
      <c r="AD21" s="6300"/>
      <c r="AE21" s="6300"/>
      <c r="AF21" s="6300"/>
      <c r="AG21" s="6300"/>
      <c r="AH21" s="6300"/>
      <c r="AI21" s="6300"/>
      <c r="AJ21" s="6300"/>
    </row>
    <row customHeight="1" ht="22.5">
      <c r="C22" s="306"/>
      <c r="D22" s="22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76"/>
      <c r="F22" s="2276"/>
      <c r="G22" s="2276"/>
      <c r="H22" s="2276"/>
      <c r="I22" s="2276"/>
      <c r="J22" s="806"/>
      <c r="K22" s="6333"/>
      <c r="L22" s="6333"/>
      <c r="M22" s="6333"/>
      <c r="N22" s="6333"/>
      <c r="O22" s="6333"/>
      <c r="P22" s="6333"/>
      <c r="Q22" s="6333"/>
      <c r="R22" s="6333"/>
      <c r="S22" s="6333"/>
      <c r="T22" s="6333"/>
      <c r="U22" s="6333"/>
      <c r="V22" s="6333"/>
      <c r="W22" s="6333"/>
      <c r="X22" s="6333"/>
      <c r="Y22" s="6333"/>
      <c r="Z22" s="6333"/>
      <c r="AA22" s="6333"/>
      <c r="AB22" s="6333"/>
      <c r="AC22" s="6333"/>
      <c r="AD22" s="6333"/>
      <c r="AE22" s="6333"/>
      <c r="AF22" s="6333"/>
      <c r="AG22" s="6333"/>
      <c r="AH22" s="6333"/>
      <c r="AI22" s="6333"/>
      <c r="AJ22" s="6333"/>
      <c r="AK22" s="667"/>
    </row>
    <row customHeight="1" ht="15">
      <c r="C23" s="306"/>
      <c r="D23" s="2214" t="str">
        <f>IF(org=0,"Не определено",org)</f>
        <v>АО "ДГК"</v>
      </c>
      <c r="E23" s="2214"/>
      <c r="F23" s="2214"/>
      <c r="G23" s="2214"/>
      <c r="H23" s="2214"/>
      <c r="I23" s="2214"/>
      <c r="J23" s="806"/>
      <c r="K23" s="6335"/>
      <c r="L23" s="6335"/>
      <c r="M23" s="6335"/>
      <c r="N23" s="6335"/>
      <c r="O23" s="6335"/>
      <c r="P23" s="6335"/>
      <c r="Q23" s="6335"/>
      <c r="R23" s="6335"/>
      <c r="S23" s="6335"/>
      <c r="T23" s="6335"/>
      <c r="U23" s="6335"/>
      <c r="V23" s="6335"/>
      <c r="W23" s="6335"/>
      <c r="X23" s="6335"/>
      <c r="Y23" s="6335"/>
      <c r="Z23" s="6335"/>
      <c r="AA23" s="6335"/>
      <c r="AB23" s="6335"/>
      <c r="AC23" s="6335"/>
      <c r="AD23" s="6335"/>
      <c r="AE23" s="6335"/>
      <c r="AF23" s="6335"/>
      <c r="AG23" s="6335"/>
      <c r="AH23" s="6335"/>
      <c r="AI23" s="6335"/>
      <c r="AJ23" s="6335"/>
      <c r="AK23" s="667"/>
    </row>
    <row customHeight="1" ht="15">
      <c r="C24" s="306"/>
      <c r="D24" s="639"/>
      <c r="E24" s="639"/>
      <c r="F24" s="639"/>
      <c r="G24" s="667">
        <v>22</v>
      </c>
      <c r="H24" s="882"/>
      <c r="I24" s="667">
        <v>22</v>
      </c>
      <c r="J24" s="882"/>
      <c r="K24" s="6321" t="s">
        <v>18</v>
      </c>
      <c r="L24" s="6651"/>
      <c r="M24" s="6321" t="s">
        <v>18</v>
      </c>
      <c r="N24" s="6651"/>
      <c r="O24" s="6321" t="s">
        <v>18</v>
      </c>
      <c r="P24" s="6651"/>
      <c r="Q24" s="6321" t="s">
        <v>18</v>
      </c>
      <c r="R24" s="6651"/>
      <c r="S24" s="6321" t="s">
        <v>18</v>
      </c>
      <c r="T24" s="6651"/>
      <c r="U24" s="6321" t="s">
        <v>18</v>
      </c>
      <c r="V24" s="6651"/>
      <c r="W24" s="6321" t="s">
        <v>18</v>
      </c>
      <c r="X24" s="6651"/>
      <c r="Y24" s="6321" t="s">
        <v>18</v>
      </c>
      <c r="Z24" s="6651"/>
      <c r="AA24" s="6321" t="s">
        <v>18</v>
      </c>
      <c r="AB24" s="6651"/>
      <c r="AC24" s="6321" t="s">
        <v>18</v>
      </c>
      <c r="AD24" s="6651"/>
      <c r="AE24" s="6321" t="s">
        <v>18</v>
      </c>
      <c r="AF24" s="6651"/>
      <c r="AG24" s="6321" t="s">
        <v>18</v>
      </c>
      <c r="AH24" s="6651"/>
      <c r="AI24" s="6321" t="s">
        <v>18</v>
      </c>
      <c r="AJ24" s="6651"/>
    </row>
    <row s="11055" customFormat="1" customHeight="1" ht="0.75">
      <c r="A25" s="889"/>
      <c r="C25" s="306"/>
      <c r="D25" s="639"/>
      <c r="E25" s="639"/>
      <c r="F25" s="639"/>
      <c r="G25" s="667"/>
      <c r="H25" s="882"/>
      <c r="I25" s="667" t="s">
        <v>171</v>
      </c>
      <c r="J25" s="882"/>
      <c r="K25" s="6321" t="s">
        <v>176</v>
      </c>
      <c r="L25" s="6651"/>
      <c r="M25" s="6321" t="s">
        <v>178</v>
      </c>
      <c r="N25" s="6651"/>
      <c r="O25" s="6321" t="s">
        <v>180</v>
      </c>
      <c r="P25" s="6651"/>
      <c r="Q25" s="6321" t="s">
        <v>182</v>
      </c>
      <c r="R25" s="6651"/>
      <c r="S25" s="6321" t="s">
        <v>184</v>
      </c>
      <c r="T25" s="6651"/>
      <c r="U25" s="6321" t="s">
        <v>186</v>
      </c>
      <c r="V25" s="6651"/>
      <c r="W25" s="6321" t="s">
        <v>188</v>
      </c>
      <c r="X25" s="6651"/>
      <c r="Y25" s="6321" t="s">
        <v>190</v>
      </c>
      <c r="Z25" s="6651"/>
      <c r="AA25" s="6321" t="s">
        <v>192</v>
      </c>
      <c r="AB25" s="6651"/>
      <c r="AC25" s="6321" t="s">
        <v>194</v>
      </c>
      <c r="AD25" s="6651"/>
      <c r="AE25" s="6321" t="s">
        <v>196</v>
      </c>
      <c r="AF25" s="6651"/>
      <c r="AG25" s="6321" t="s">
        <v>198</v>
      </c>
      <c r="AH25" s="6651"/>
      <c r="AI25" s="6321" t="s">
        <v>200</v>
      </c>
      <c r="AJ25" s="6651"/>
      <c r="AK25" s="547"/>
      <c r="AU25" s="805"/>
    </row>
    <row customHeight="1" ht="15">
      <c r="C26" s="306"/>
      <c r="D26" s="841"/>
      <c r="E26" s="2396" t="s">
        <v>161</v>
      </c>
      <c r="F26" s="2397"/>
      <c r="G26" s="2421" t="str">
        <f>IF(G25="","",INDEX(DIFFERENTIATION_UNMERGE_VD,MATCH(G25,DIFFERENTIATION_ID_DIFF,0)))</f>
        <v/>
      </c>
      <c r="H26" s="2422"/>
      <c r="I26" s="2421" t="str">
        <f>IF(I25="","",INDEX(DIFFERENTIATION_UNMERGE_VD,MATCH(I25,DIFFERENTIATION_ID_DIFF,0)))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422"/>
      <c r="K26" s="6767" t="str">
        <f>IF(K25="","",INDEX(DIFFERENTIATION_UNMERGE_VD,MATCH(K25,DIFFERENTIATION_ID_DIFF,0)))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6768"/>
      <c r="M26" s="6767" t="str">
        <f>IF(M25="","",INDEX(DIFFERENTIATION_UNMERGE_VD,MATCH(M25,DIFFERENTIATION_ID_DIFF,0)))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6768"/>
      <c r="O26" s="6767" t="str">
        <f>IF(O25="","",INDEX(DIFFERENTIATION_UNMERGE_VD,MATCH(O25,DIFFERENTIATION_ID_DIFF,0)))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6" s="6768"/>
      <c r="Q26" s="6767" t="str">
        <f>IF(Q25="","",INDEX(DIFFERENTIATION_UNMERGE_VD,MATCH(Q25,DIFFERENTIATION_ID_DIFF,0)))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6768"/>
      <c r="S26" s="6767" t="str">
        <f>IF(S25="","",INDEX(DIFFERENTIATION_UNMERGE_VD,MATCH(S25,DIFFERENTIATION_ID_DIFF,0)))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6768"/>
      <c r="U26" s="6767" t="str">
        <f>IF(U25="","",INDEX(DIFFERENTIATION_UNMERGE_VD,MATCH(U25,DIFFERENTIATION_ID_DIFF,0)))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6" s="6768"/>
      <c r="W26" s="6767" t="str">
        <f>IF(W25="","",INDEX(DIFFERENTIATION_UNMERGE_VD,MATCH(W25,DIFFERENTIATION_ID_DIFF,0)))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26" s="6768"/>
      <c r="Y26" s="6767" t="str">
        <f>IF(Y25="","",INDEX(DIFFERENTIATION_UNMERGE_VD,MATCH(Y25,DIFFERENTIATION_ID_DIFF,0)))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26" s="6768"/>
      <c r="AA26" s="6767" t="str">
        <f>IF(AA25="","",INDEX(DIFFERENTIATION_UNMERGE_VD,MATCH(AA25,DIFFERENTIATION_ID_DIFF,0)))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26" s="6768"/>
      <c r="AC26" s="6767" t="str">
        <f>IF(AC25="","",INDEX(DIFFERENTIATION_UNMERGE_VD,MATCH(AC25,DIFFERENTIATION_ID_DIFF,0)))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26" s="6768"/>
      <c r="AE26" s="6767" t="str">
        <f>IF(AE25="","",INDEX(DIFFERENTIATION_UNMERGE_VD,MATCH(AE25,DIFFERENTIATION_ID_DIFF,0)))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26" s="6768"/>
      <c r="AG26" s="6767" t="str">
        <f>IF(AG25="","",INDEX(DIFFERENTIATION_UNMERGE_VD,MATCH(AG25,DIFFERENTIATION_ID_DIFF,0)))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26" s="6768"/>
      <c r="AI26" s="6767" t="str">
        <f>IF(AI25="","",INDEX(DIFFERENTIATION_UNMERGE_VD,MATCH(AI25,DIFFERENTIATION_ID_DIFF,0)))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26" s="6768"/>
      <c r="AK26" s="2213" t="s">
        <v>379</v>
      </c>
    </row>
    <row s="11055" customFormat="1" customHeight="1" ht="15">
      <c r="A27" s="889"/>
      <c r="C27" s="306"/>
      <c r="D27" s="841"/>
      <c r="E27" s="2396" t="s">
        <v>647</v>
      </c>
      <c r="F27" s="2397"/>
      <c r="G27" s="2421" t="str">
        <f>IF(G25="","",INDEX(DIFFERENTIATION_UNMERGE_AREA,MATCH(G25,DIFFERENTIATION_ID_DIFF,0)))</f>
        <v/>
      </c>
      <c r="H27" s="2422"/>
      <c r="I27" s="2421" t="str">
        <f>IF(I25="","",INDEX(DIFFERENTIATION_UNMERGE_AREA,MATCH(I25,DIFFERENTIATION_ID_DIFF,0)))</f>
        <v>Территория 1</v>
      </c>
      <c r="J27" s="2422"/>
      <c r="K27" s="6767" t="str">
        <f>IF(K25="","",INDEX(DIFFERENTIATION_UNMERGE_AREA,MATCH(K25,DIFFERENTIATION_ID_DIFF,0)))</f>
        <v>Территория 2</v>
      </c>
      <c r="L27" s="6768"/>
      <c r="M27" s="6767" t="str">
        <f>IF(M25="","",INDEX(DIFFERENTIATION_UNMERGE_AREA,MATCH(M25,DIFFERENTIATION_ID_DIFF,0)))</f>
        <v>Территория 3</v>
      </c>
      <c r="N27" s="6768"/>
      <c r="O27" s="6767" t="str">
        <f>IF(O25="","",INDEX(DIFFERENTIATION_UNMERGE_AREA,MATCH(O25,DIFFERENTIATION_ID_DIFF,0)))</f>
        <v>Территория 3</v>
      </c>
      <c r="P27" s="6768"/>
      <c r="Q27" s="6767" t="str">
        <f>IF(Q25="","",INDEX(DIFFERENTIATION_UNMERGE_AREA,MATCH(Q25,DIFFERENTIATION_ID_DIFF,0)))</f>
        <v>Территория 3</v>
      </c>
      <c r="R27" s="6768"/>
      <c r="S27" s="6767" t="str">
        <f>IF(S25="","",INDEX(DIFFERENTIATION_UNMERGE_AREA,MATCH(S25,DIFFERENTIATION_ID_DIFF,0)))</f>
        <v>Территория 3</v>
      </c>
      <c r="T27" s="6768"/>
      <c r="U27" s="6767" t="str">
        <f>IF(U25="","",INDEX(DIFFERENTIATION_UNMERGE_AREA,MATCH(U25,DIFFERENTIATION_ID_DIFF,0)))</f>
        <v>Территория 4</v>
      </c>
      <c r="V27" s="6768"/>
      <c r="W27" s="6767" t="str">
        <f>IF(W25="","",INDEX(DIFFERENTIATION_UNMERGE_AREA,MATCH(W25,DIFFERENTIATION_ID_DIFF,0)))</f>
        <v>Территория 4</v>
      </c>
      <c r="X27" s="6768"/>
      <c r="Y27" s="6767" t="str">
        <f>IF(Y25="","",INDEX(DIFFERENTIATION_UNMERGE_AREA,MATCH(Y25,DIFFERENTIATION_ID_DIFF,0)))</f>
        <v>Территория 5</v>
      </c>
      <c r="Z27" s="6768"/>
      <c r="AA27" s="6767" t="str">
        <f>IF(AA25="","",INDEX(DIFFERENTIATION_UNMERGE_AREA,MATCH(AA25,DIFFERENTIATION_ID_DIFF,0)))</f>
        <v>Территория 6</v>
      </c>
      <c r="AB27" s="6768"/>
      <c r="AC27" s="6767" t="str">
        <f>IF(AC25="","",INDEX(DIFFERENTIATION_UNMERGE_AREA,MATCH(AC25,DIFFERENTIATION_ID_DIFF,0)))</f>
        <v>Территория 7</v>
      </c>
      <c r="AD27" s="6768"/>
      <c r="AE27" s="6767" t="str">
        <f>IF(AE25="","",INDEX(DIFFERENTIATION_UNMERGE_AREA,MATCH(AE25,DIFFERENTIATION_ID_DIFF,0)))</f>
        <v>Территория 7</v>
      </c>
      <c r="AF27" s="6768"/>
      <c r="AG27" s="6767" t="str">
        <f>IF(AG25="","",INDEX(DIFFERENTIATION_UNMERGE_AREA,MATCH(AG25,DIFFERENTIATION_ID_DIFF,0)))</f>
        <v>Территория 8</v>
      </c>
      <c r="AH27" s="6768"/>
      <c r="AI27" s="6767" t="str">
        <f>IF(AI25="","",INDEX(DIFFERENTIATION_UNMERGE_AREA,MATCH(AI25,DIFFERENTIATION_ID_DIFF,0)))</f>
        <v>Территория 9</v>
      </c>
      <c r="AJ27" s="6768"/>
      <c r="AK27" s="2233"/>
      <c r="AU27" s="805"/>
    </row>
    <row s="11055" customFormat="1" customHeight="1" ht="15">
      <c r="A28" s="889"/>
      <c r="C28" s="306"/>
      <c r="D28" s="841"/>
      <c r="E28" s="2396" t="s">
        <v>648</v>
      </c>
      <c r="F28" s="2397"/>
      <c r="G28" s="2421" t="str">
        <f>IF(G25="","",INDEX(DIFFERENTIATION_UNMERGE_SYSTEM,MATCH(G25,DIFFERENTIATION_ID_DIFF,0)))</f>
        <v/>
      </c>
      <c r="H28" s="2422"/>
      <c r="I28" s="2421" t="str">
        <f>IF(I25="","",INDEX(DIFFERENTIATION_UNMERGE_SYSTEM,MATCH(I25,DIFFERENTIATION_ID_DIFF,0)))</f>
        <v>Амурская ТЭЦ-1 (г. Амурск)</v>
      </c>
      <c r="J28" s="2422"/>
      <c r="K28" s="6767" t="str">
        <f>IF(K25="","",INDEX(DIFFERENTIATION_UNMERGE_SYSTEM,MATCH(K25,DIFFERENTIATION_ID_DIFF,0)))</f>
        <v>Николаевская ТЭЦ (г. Николаевск)</v>
      </c>
      <c r="L28" s="6768"/>
      <c r="M28" s="6767" t="str">
        <f>IF(M25="","",INDEX(DIFFERENTIATION_UNMERGE_SYSTEM,MATCH(M25,DIFFERENTIATION_ID_DIFF,0)))</f>
        <v>Комсомольская ТЭЦ-1 (г. Комсомольск)</v>
      </c>
      <c r="N28" s="6768"/>
      <c r="O28" s="6767" t="str">
        <f>IF(O25="","",INDEX(DIFFERENTIATION_UNMERGE_SYSTEM,MATCH(O25,DIFFERENTIATION_ID_DIFF,0)))</f>
        <v>Комсомольская ТЭЦ-2 (г. Комсомольск)</v>
      </c>
      <c r="P28" s="6768"/>
      <c r="Q28" s="6767" t="str">
        <f>IF(Q25="","",INDEX(DIFFERENTIATION_UNMERGE_SYSTEM,MATCH(Q25,DIFFERENTIATION_ID_DIFF,0)))</f>
        <v>Комсомольская ТЭЦ-3 (г. Комсомольск)</v>
      </c>
      <c r="R28" s="6768"/>
      <c r="S28" s="6767" t="str">
        <f>IF(S25="","",INDEX(DIFFERENTIATION_UNMERGE_SYSTEM,MATCH(S25,DIFFERENTIATION_ID_DIFF,0)))</f>
        <v>ВК "Дземги" (г. Комсомольск)</v>
      </c>
      <c r="T28" s="6768"/>
      <c r="U28" s="6767" t="str">
        <f>IF(U25="","",INDEX(DIFFERENTIATION_UNMERGE_SYSTEM,MATCH(U25,DIFFERENTIATION_ID_DIFF,0)))</f>
        <v>ТЭЦ в г. Советская Гавань (г. Советская Гавань)</v>
      </c>
      <c r="V28" s="6768"/>
      <c r="W28" s="6767" t="str">
        <f>IF(W25="","",INDEX(DIFFERENTIATION_UNMERGE_SYSTEM,MATCH(W25,DIFFERENTIATION_ID_DIFF,0)))</f>
        <v>Майская котельная </v>
      </c>
      <c r="X28" s="6768"/>
      <c r="Y28" s="6767" t="str">
        <f>IF(Y25="","",INDEX(DIFFERENTIATION_UNMERGE_SYSTEM,MATCH(Y25,DIFFERENTIATION_ID_DIFF,0)))</f>
        <v>Ургальская котельная (п. Чегдомын)</v>
      </c>
      <c r="Z28" s="6768"/>
      <c r="AA28" s="6767" t="str">
        <f>IF(AA25="","",INDEX(DIFFERENTIATION_UNMERGE_SYSTEM,MATCH(AA25,DIFFERENTIATION_ID_DIFF,0)))</f>
        <v>Хабаровская ТЭЦ-1 (г. Хабаровск, с. Ильинское, п. Корфовский, с. Ракитненское)</v>
      </c>
      <c r="AB28" s="6768"/>
      <c r="AC28" s="6767" t="str">
        <f>IF(AC25="","",INDEX(DIFFERENTIATION_UNMERGE_SYSTEM,MATCH(AC25,DIFFERENTIATION_ID_DIFF,0)))</f>
        <v>Хабаровская ТЭЦ-2 (г. Хабаровск)</v>
      </c>
      <c r="AD28" s="6768"/>
      <c r="AE28" s="6767" t="str">
        <f>IF(AE25="","",INDEX(DIFFERENTIATION_UNMERGE_SYSTEM,MATCH(AE25,DIFFERENTIATION_ID_DIFF,0)))</f>
        <v>Котельная в Волочаевском городке</v>
      </c>
      <c r="AF28" s="6768"/>
      <c r="AG28" s="6767" t="str">
        <f>IF(AG25="","",INDEX(DIFFERENTIATION_UNMERGE_SYSTEM,MATCH(AG25,DIFFERENTIATION_ID_DIFF,0)))</f>
        <v>Хабаровская ТЭЦ-3 (г. Хабаровск, с. Восточное, с. Мирненское, с. Тополевское)</v>
      </c>
      <c r="AH28" s="6768"/>
      <c r="AI28" s="6767" t="str">
        <f>IF(AI25="","",INDEX(DIFFERENTIATION_UNMERGE_SYSTEM,MATCH(AI25,DIFFERENTIATION_ID_DIFF,0)))</f>
        <v>Котельная в с. Некрасовка (с. Дружбинское, с. Некрасовское) </v>
      </c>
      <c r="AJ28" s="6768"/>
      <c r="AK28" s="2233"/>
      <c r="AU28" s="805"/>
    </row>
    <row s="11055" customFormat="1" customHeight="1" ht="15">
      <c r="A29" s="889"/>
      <c r="C29" s="306"/>
      <c r="D29" s="2398" t="s">
        <v>378</v>
      </c>
      <c r="E29" s="2399"/>
      <c r="F29" s="2399"/>
      <c r="G29" s="1017"/>
      <c r="H29" s="1017"/>
      <c r="I29" s="1017"/>
      <c r="J29" s="1018"/>
      <c r="K29" s="6348"/>
      <c r="L29" s="6348"/>
      <c r="M29" s="6348"/>
      <c r="N29" s="6348"/>
      <c r="O29" s="6348"/>
      <c r="P29" s="6348"/>
      <c r="Q29" s="6348"/>
      <c r="R29" s="6348"/>
      <c r="S29" s="6348"/>
      <c r="T29" s="6348"/>
      <c r="U29" s="6348"/>
      <c r="V29" s="6348"/>
      <c r="W29" s="6348"/>
      <c r="X29" s="6348"/>
      <c r="Y29" s="6348"/>
      <c r="Z29" s="6348"/>
      <c r="AA29" s="6348"/>
      <c r="AB29" s="6348"/>
      <c r="AC29" s="6348"/>
      <c r="AD29" s="6348"/>
      <c r="AE29" s="6348"/>
      <c r="AF29" s="6348"/>
      <c r="AG29" s="6348"/>
      <c r="AH29" s="6348"/>
      <c r="AI29" s="6348"/>
      <c r="AJ29" s="6348"/>
      <c r="AK29" s="2233"/>
      <c r="AU29" s="805"/>
    </row>
    <row customHeight="1" ht="33.75">
      <c r="C30" s="306"/>
      <c r="D30" s="891" t="s">
        <v>85</v>
      </c>
      <c r="E30" s="890" t="s">
        <v>380</v>
      </c>
      <c r="F30" s="890" t="s">
        <v>649</v>
      </c>
      <c r="G30" s="938" t="s">
        <v>381</v>
      </c>
      <c r="H30" s="937" t="s">
        <v>470</v>
      </c>
      <c r="I30" s="814" t="s">
        <v>381</v>
      </c>
      <c r="J30" s="595" t="s">
        <v>470</v>
      </c>
      <c r="K30" s="6774" t="s">
        <v>381</v>
      </c>
      <c r="L30" s="6306" t="s">
        <v>470</v>
      </c>
      <c r="M30" s="6774" t="s">
        <v>381</v>
      </c>
      <c r="N30" s="6306" t="s">
        <v>470</v>
      </c>
      <c r="O30" s="6774" t="s">
        <v>381</v>
      </c>
      <c r="P30" s="6306" t="s">
        <v>470</v>
      </c>
      <c r="Q30" s="6774" t="s">
        <v>381</v>
      </c>
      <c r="R30" s="6306" t="s">
        <v>470</v>
      </c>
      <c r="S30" s="6774" t="s">
        <v>381</v>
      </c>
      <c r="T30" s="6306" t="s">
        <v>470</v>
      </c>
      <c r="U30" s="6774" t="s">
        <v>381</v>
      </c>
      <c r="V30" s="6306" t="s">
        <v>470</v>
      </c>
      <c r="W30" s="6774" t="s">
        <v>381</v>
      </c>
      <c r="X30" s="6306" t="s">
        <v>470</v>
      </c>
      <c r="Y30" s="6774" t="s">
        <v>381</v>
      </c>
      <c r="Z30" s="6306" t="s">
        <v>470</v>
      </c>
      <c r="AA30" s="6774" t="s">
        <v>381</v>
      </c>
      <c r="AB30" s="6306" t="s">
        <v>470</v>
      </c>
      <c r="AC30" s="6774" t="s">
        <v>381</v>
      </c>
      <c r="AD30" s="6306" t="s">
        <v>470</v>
      </c>
      <c r="AE30" s="6774" t="s">
        <v>381</v>
      </c>
      <c r="AF30" s="6306" t="s">
        <v>470</v>
      </c>
      <c r="AG30" s="6774" t="s">
        <v>381</v>
      </c>
      <c r="AH30" s="6306" t="s">
        <v>470</v>
      </c>
      <c r="AI30" s="6774" t="s">
        <v>381</v>
      </c>
      <c r="AJ30" s="6306" t="s">
        <v>470</v>
      </c>
      <c r="AK30" s="2239"/>
    </row>
    <row customHeight="1" ht="15" hidden="1">
      <c r="C31" s="306"/>
      <c r="D31" s="723"/>
      <c r="E31" s="723"/>
      <c r="F31" s="723"/>
      <c r="G31" s="789"/>
      <c r="H31" s="789"/>
      <c r="I31" s="789"/>
      <c r="J31" s="789"/>
      <c r="K31" s="6776"/>
      <c r="L31" s="6776"/>
      <c r="M31" s="6776"/>
      <c r="N31" s="6776"/>
      <c r="O31" s="6776"/>
      <c r="P31" s="6776"/>
      <c r="Q31" s="6776"/>
      <c r="R31" s="6776"/>
      <c r="S31" s="6776"/>
      <c r="T31" s="6776"/>
      <c r="U31" s="6776"/>
      <c r="V31" s="6776"/>
      <c r="W31" s="6776"/>
      <c r="X31" s="6776"/>
      <c r="Y31" s="6776"/>
      <c r="Z31" s="6776"/>
      <c r="AA31" s="6776"/>
      <c r="AB31" s="6776"/>
      <c r="AC31" s="6776"/>
      <c r="AD31" s="6776"/>
      <c r="AE31" s="6776"/>
      <c r="AF31" s="6776"/>
      <c r="AG31" s="6776"/>
      <c r="AH31" s="6776"/>
      <c r="AI31" s="6776"/>
      <c r="AJ31" s="6776"/>
      <c r="AK31" s="419"/>
    </row>
    <row customHeight="1" ht="22.5">
      <c r="A32" s="635"/>
      <c r="B32" s="635" t="s">
        <v>960</v>
      </c>
      <c r="C32" s="656"/>
      <c r="D32" s="822">
        <v>1</v>
      </c>
      <c r="E32" s="823" t="s">
        <v>961</v>
      </c>
      <c r="F32" s="821" t="s">
        <v>384</v>
      </c>
      <c r="G32" s="943" t="s">
        <v>384</v>
      </c>
      <c r="H32" s="943" t="s">
        <v>384</v>
      </c>
      <c r="I32" s="821" t="s">
        <v>384</v>
      </c>
      <c r="J32" s="821" t="s">
        <v>384</v>
      </c>
      <c r="K32" s="6780" t="s">
        <v>384</v>
      </c>
      <c r="L32" s="6780" t="s">
        <v>384</v>
      </c>
      <c r="M32" s="6780" t="s">
        <v>384</v>
      </c>
      <c r="N32" s="6780" t="s">
        <v>384</v>
      </c>
      <c r="O32" s="6780" t="s">
        <v>384</v>
      </c>
      <c r="P32" s="6780" t="s">
        <v>384</v>
      </c>
      <c r="Q32" s="6780" t="s">
        <v>384</v>
      </c>
      <c r="R32" s="6780" t="s">
        <v>384</v>
      </c>
      <c r="S32" s="6780" t="s">
        <v>384</v>
      </c>
      <c r="T32" s="6780" t="s">
        <v>384</v>
      </c>
      <c r="U32" s="6780" t="s">
        <v>384</v>
      </c>
      <c r="V32" s="6780" t="s">
        <v>384</v>
      </c>
      <c r="W32" s="6780" t="s">
        <v>384</v>
      </c>
      <c r="X32" s="6780" t="s">
        <v>384</v>
      </c>
      <c r="Y32" s="6780" t="s">
        <v>384</v>
      </c>
      <c r="Z32" s="6780" t="s">
        <v>384</v>
      </c>
      <c r="AA32" s="6780" t="s">
        <v>384</v>
      </c>
      <c r="AB32" s="6780" t="s">
        <v>384</v>
      </c>
      <c r="AC32" s="6780" t="s">
        <v>384</v>
      </c>
      <c r="AD32" s="6780" t="s">
        <v>384</v>
      </c>
      <c r="AE32" s="6780" t="s">
        <v>384</v>
      </c>
      <c r="AF32" s="6780" t="s">
        <v>384</v>
      </c>
      <c r="AG32" s="6780" t="s">
        <v>384</v>
      </c>
      <c r="AH32" s="6780" t="s">
        <v>384</v>
      </c>
      <c r="AI32" s="6780" t="s">
        <v>384</v>
      </c>
      <c r="AJ32" s="6780" t="s">
        <v>384</v>
      </c>
      <c r="AK32" s="419"/>
    </row>
    <row customHeight="1" ht="11.25">
      <c r="A33" s="635"/>
      <c r="C33" s="635"/>
      <c r="D33" s="477"/>
      <c r="E33" s="710" t="s">
        <v>669</v>
      </c>
      <c r="F33" s="702"/>
      <c r="G33" s="702"/>
      <c r="H33" s="702"/>
      <c r="I33" s="702"/>
      <c r="J33" s="702"/>
      <c r="K33" s="6782"/>
      <c r="L33" s="6783"/>
      <c r="M33" s="6784"/>
      <c r="N33" s="6785"/>
      <c r="O33" s="6786"/>
      <c r="P33" s="6787"/>
      <c r="Q33" s="6788"/>
      <c r="R33" s="6789"/>
      <c r="S33" s="6790"/>
      <c r="T33" s="6791"/>
      <c r="U33" s="6792"/>
      <c r="V33" s="6793"/>
      <c r="W33" s="6794"/>
      <c r="X33" s="6795"/>
      <c r="Y33" s="6796"/>
      <c r="Z33" s="6797"/>
      <c r="AA33" s="6798"/>
      <c r="AB33" s="6799"/>
      <c r="AC33" s="6800"/>
      <c r="AD33" s="6801"/>
      <c r="AE33" s="6802"/>
      <c r="AF33" s="6803"/>
      <c r="AG33" s="6804"/>
      <c r="AH33" s="6805"/>
      <c r="AI33" s="6806"/>
      <c r="AJ33" s="6807"/>
      <c r="AK33" s="703"/>
      <c r="AU33" s="635"/>
    </row>
    <row customHeight="1" ht="22.5">
      <c r="A34" s="635"/>
      <c r="B34" s="711" t="s">
        <v>962</v>
      </c>
      <c r="C34" s="656"/>
      <c r="D34" s="822">
        <v>2</v>
      </c>
      <c r="E34" s="823" t="s">
        <v>963</v>
      </c>
      <c r="F34" s="950" t="s">
        <v>384</v>
      </c>
      <c r="G34" s="950" t="s">
        <v>384</v>
      </c>
      <c r="H34" s="950" t="s">
        <v>384</v>
      </c>
      <c r="I34" s="821"/>
      <c r="J34" s="821"/>
      <c r="K34" s="6780" t="s">
        <v>384</v>
      </c>
      <c r="L34" s="6780" t="s">
        <v>384</v>
      </c>
      <c r="M34" s="6780" t="s">
        <v>384</v>
      </c>
      <c r="N34" s="6780" t="s">
        <v>384</v>
      </c>
      <c r="O34" s="6780" t="s">
        <v>384</v>
      </c>
      <c r="P34" s="6780" t="s">
        <v>384</v>
      </c>
      <c r="Q34" s="6780" t="s">
        <v>384</v>
      </c>
      <c r="R34" s="6780" t="s">
        <v>384</v>
      </c>
      <c r="S34" s="6780" t="s">
        <v>384</v>
      </c>
      <c r="T34" s="6780" t="s">
        <v>384</v>
      </c>
      <c r="U34" s="6780" t="s">
        <v>384</v>
      </c>
      <c r="V34" s="6780" t="s">
        <v>384</v>
      </c>
      <c r="W34" s="6780" t="s">
        <v>384</v>
      </c>
      <c r="X34" s="6780" t="s">
        <v>384</v>
      </c>
      <c r="Y34" s="6780" t="s">
        <v>384</v>
      </c>
      <c r="Z34" s="6780" t="s">
        <v>384</v>
      </c>
      <c r="AA34" s="6780" t="s">
        <v>384</v>
      </c>
      <c r="AB34" s="6780" t="s">
        <v>384</v>
      </c>
      <c r="AC34" s="6780" t="s">
        <v>384</v>
      </c>
      <c r="AD34" s="6780" t="s">
        <v>384</v>
      </c>
      <c r="AE34" s="6780" t="s">
        <v>384</v>
      </c>
      <c r="AF34" s="6780" t="s">
        <v>384</v>
      </c>
      <c r="AG34" s="6780" t="s">
        <v>384</v>
      </c>
      <c r="AH34" s="6780" t="s">
        <v>384</v>
      </c>
      <c r="AI34" s="6780" t="s">
        <v>384</v>
      </c>
      <c r="AJ34" s="6780" t="s">
        <v>384</v>
      </c>
      <c r="AK34" s="419"/>
    </row>
    <row customHeight="1" ht="11.25">
      <c r="A35" s="635"/>
      <c r="C35" s="635"/>
      <c r="D35" s="477"/>
      <c r="E35" s="710" t="s">
        <v>964</v>
      </c>
      <c r="F35" s="702"/>
      <c r="G35" s="824"/>
      <c r="H35" s="702"/>
      <c r="I35" s="824"/>
      <c r="J35" s="702"/>
      <c r="K35" s="6810"/>
      <c r="L35" s="6811"/>
      <c r="M35" s="6812"/>
      <c r="N35" s="6813"/>
      <c r="O35" s="6814"/>
      <c r="P35" s="6815"/>
      <c r="Q35" s="6816"/>
      <c r="R35" s="6817"/>
      <c r="S35" s="6818"/>
      <c r="T35" s="6819"/>
      <c r="U35" s="6820"/>
      <c r="V35" s="6821"/>
      <c r="W35" s="6822"/>
      <c r="X35" s="6823"/>
      <c r="Y35" s="6824"/>
      <c r="Z35" s="6825"/>
      <c r="AA35" s="6826"/>
      <c r="AB35" s="6827"/>
      <c r="AC35" s="6828"/>
      <c r="AD35" s="6829"/>
      <c r="AE35" s="6830"/>
      <c r="AF35" s="6831"/>
      <c r="AG35" s="6832"/>
      <c r="AH35" s="6833"/>
      <c r="AI35" s="6834"/>
      <c r="AJ35" s="6835"/>
      <c r="AK35" s="703"/>
      <c r="AU35" s="635"/>
    </row>
    <row customHeight="1" ht="67.5">
      <c r="A36" s="635"/>
      <c r="B36" s="635" t="s">
        <v>965</v>
      </c>
      <c r="C36" s="656"/>
      <c r="D36" s="822">
        <v>3</v>
      </c>
      <c r="E36" s="823" t="s">
        <v>966</v>
      </c>
      <c r="F36" s="825" t="s">
        <v>384</v>
      </c>
      <c r="G36" s="944" t="s">
        <v>967</v>
      </c>
      <c r="H36" s="943" t="s">
        <v>384</v>
      </c>
      <c r="I36" s="654" t="s">
        <v>967</v>
      </c>
      <c r="J36" s="821" t="s">
        <v>384</v>
      </c>
      <c r="K36" s="6839" t="s">
        <v>968</v>
      </c>
      <c r="L36" s="6780" t="s">
        <v>384</v>
      </c>
      <c r="M36" s="6839" t="s">
        <v>967</v>
      </c>
      <c r="N36" s="6780" t="s">
        <v>384</v>
      </c>
      <c r="O36" s="6839" t="s">
        <v>967</v>
      </c>
      <c r="P36" s="6780" t="s">
        <v>384</v>
      </c>
      <c r="Q36" s="6839" t="s">
        <v>967</v>
      </c>
      <c r="R36" s="6780" t="s">
        <v>384</v>
      </c>
      <c r="S36" s="6839" t="s">
        <v>967</v>
      </c>
      <c r="T36" s="6780" t="s">
        <v>384</v>
      </c>
      <c r="U36" s="6839" t="s">
        <v>967</v>
      </c>
      <c r="V36" s="6780" t="s">
        <v>384</v>
      </c>
      <c r="W36" s="6839" t="s">
        <v>968</v>
      </c>
      <c r="X36" s="6780" t="s">
        <v>384</v>
      </c>
      <c r="Y36" s="6839" t="s">
        <v>968</v>
      </c>
      <c r="Z36" s="6780" t="s">
        <v>384</v>
      </c>
      <c r="AA36" s="6839" t="s">
        <v>967</v>
      </c>
      <c r="AB36" s="6780" t="s">
        <v>384</v>
      </c>
      <c r="AC36" s="6839" t="s">
        <v>967</v>
      </c>
      <c r="AD36" s="6780" t="s">
        <v>384</v>
      </c>
      <c r="AE36" s="6839" t="s">
        <v>968</v>
      </c>
      <c r="AF36" s="6780" t="s">
        <v>384</v>
      </c>
      <c r="AG36" s="6839" t="s">
        <v>967</v>
      </c>
      <c r="AH36" s="6780" t="s">
        <v>384</v>
      </c>
      <c r="AI36" s="6839" t="s">
        <v>968</v>
      </c>
      <c r="AJ36" s="6780" t="s">
        <v>384</v>
      </c>
      <c r="AK36" s="419" t="s">
        <v>969</v>
      </c>
    </row>
    <row s="12558" customFormat="1" customHeight="1" ht="59.25">
      <c r="A37" s="6300"/>
      <c r="B37" s="6841" t="s">
        <v>404</v>
      </c>
      <c r="C37" s="6842" t="s">
        <v>101</v>
      </c>
      <c r="D37" s="6843" t="str">
        <f>B37&amp;".1"</f>
        <v>3.1.1</v>
      </c>
      <c r="E37" s="6844" t="s">
        <v>951</v>
      </c>
      <c r="F37" s="6780" t="s">
        <v>384</v>
      </c>
      <c r="G37" s="6761" t="s">
        <v>18</v>
      </c>
      <c r="H37" s="6519" t="s">
        <v>18</v>
      </c>
      <c r="I37" s="827" t="s">
        <v>970</v>
      </c>
      <c r="J37" s="531" t="s">
        <v>18</v>
      </c>
      <c r="K37" s="6759" t="s">
        <v>18</v>
      </c>
      <c r="L37" s="6760" t="s">
        <v>18</v>
      </c>
      <c r="M37" s="6761" t="s">
        <v>971</v>
      </c>
      <c r="N37" s="6519" t="s">
        <v>18</v>
      </c>
      <c r="O37" s="6761" t="s">
        <v>971</v>
      </c>
      <c r="P37" s="6519" t="s">
        <v>18</v>
      </c>
      <c r="Q37" s="6761" t="s">
        <v>971</v>
      </c>
      <c r="R37" s="6519" t="s">
        <v>18</v>
      </c>
      <c r="S37" s="6761" t="s">
        <v>970</v>
      </c>
      <c r="T37" s="6519" t="s">
        <v>18</v>
      </c>
      <c r="U37" s="6761" t="s">
        <v>972</v>
      </c>
      <c r="V37" s="6519" t="s">
        <v>18</v>
      </c>
      <c r="W37" s="6759" t="s">
        <v>18</v>
      </c>
      <c r="X37" s="6760" t="s">
        <v>18</v>
      </c>
      <c r="Y37" s="6759" t="s">
        <v>18</v>
      </c>
      <c r="Z37" s="6760" t="s">
        <v>18</v>
      </c>
      <c r="AA37" s="6761" t="s">
        <v>973</v>
      </c>
      <c r="AB37" s="6519" t="s">
        <v>18</v>
      </c>
      <c r="AC37" s="6761" t="s">
        <v>974</v>
      </c>
      <c r="AD37" s="6519" t="s">
        <v>18</v>
      </c>
      <c r="AE37" s="6759" t="s">
        <v>18</v>
      </c>
      <c r="AF37" s="6760" t="s">
        <v>18</v>
      </c>
      <c r="AG37" s="6761" t="s">
        <v>975</v>
      </c>
      <c r="AH37" s="6519" t="s">
        <v>18</v>
      </c>
      <c r="AI37" s="6759" t="s">
        <v>18</v>
      </c>
      <c r="AJ37" s="6760" t="s">
        <v>18</v>
      </c>
      <c r="AK37" s="6845"/>
      <c r="AL37" s="6300"/>
      <c r="AM37" s="6300"/>
      <c r="AN37" s="6300"/>
      <c r="AO37" s="6300"/>
      <c r="AP37" s="6300"/>
      <c r="AQ37" s="6300"/>
      <c r="AR37" s="6300"/>
      <c r="AS37" s="6300"/>
      <c r="AT37" s="6300"/>
      <c r="AU37" s="6846"/>
    </row>
    <row s="12565" customFormat="1" customHeight="1" ht="15">
      <c r="A38" s="6300"/>
      <c r="B38" s="6841"/>
      <c r="C38" s="6842"/>
      <c r="D38" s="6843" t="str">
        <f>B37&amp;".2"</f>
        <v>3.1.2</v>
      </c>
      <c r="E38" s="6844" t="s">
        <v>952</v>
      </c>
      <c r="F38" s="6780" t="s">
        <v>384</v>
      </c>
      <c r="G38" s="6763" t="s">
        <v>18</v>
      </c>
      <c r="H38" s="6519" t="s">
        <v>18</v>
      </c>
      <c r="I38" s="1869">
        <v>45275</v>
      </c>
      <c r="J38" s="531" t="s">
        <v>18</v>
      </c>
      <c r="K38" s="6762" t="s">
        <v>18</v>
      </c>
      <c r="L38" s="6760" t="s">
        <v>18</v>
      </c>
      <c r="M38" s="6763">
        <v>45203</v>
      </c>
      <c r="N38" s="6519" t="s">
        <v>18</v>
      </c>
      <c r="O38" s="6763">
        <v>45266</v>
      </c>
      <c r="P38" s="6519" t="s">
        <v>18</v>
      </c>
      <c r="Q38" s="6763">
        <v>45202</v>
      </c>
      <c r="R38" s="6519" t="s">
        <v>18</v>
      </c>
      <c r="S38" s="6763">
        <v>45279</v>
      </c>
      <c r="T38" s="6519" t="s">
        <v>18</v>
      </c>
      <c r="U38" s="6763">
        <v>45222</v>
      </c>
      <c r="V38" s="6519" t="s">
        <v>18</v>
      </c>
      <c r="W38" s="6762" t="s">
        <v>18</v>
      </c>
      <c r="X38" s="6760" t="s">
        <v>18</v>
      </c>
      <c r="Y38" s="6762" t="s">
        <v>18</v>
      </c>
      <c r="Z38" s="6760" t="s">
        <v>18</v>
      </c>
      <c r="AA38" s="6763">
        <v>45231</v>
      </c>
      <c r="AB38" s="6519" t="s">
        <v>18</v>
      </c>
      <c r="AC38" s="6763">
        <v>45285</v>
      </c>
      <c r="AD38" s="6519" t="s">
        <v>18</v>
      </c>
      <c r="AE38" s="6762" t="s">
        <v>18</v>
      </c>
      <c r="AF38" s="6760" t="s">
        <v>18</v>
      </c>
      <c r="AG38" s="6763">
        <v>45250</v>
      </c>
      <c r="AH38" s="6519" t="s">
        <v>18</v>
      </c>
      <c r="AI38" s="6762" t="s">
        <v>18</v>
      </c>
      <c r="AJ38" s="6760" t="s">
        <v>18</v>
      </c>
      <c r="AK38" s="6845" t="s">
        <v>953</v>
      </c>
      <c r="AL38" s="6300"/>
      <c r="AM38" s="6300"/>
      <c r="AN38" s="6300"/>
      <c r="AO38" s="6300"/>
      <c r="AP38" s="6300"/>
      <c r="AQ38" s="6300"/>
      <c r="AR38" s="6300"/>
      <c r="AS38" s="6300"/>
      <c r="AT38" s="6300"/>
      <c r="AU38" s="6846"/>
    </row>
    <row s="12566" customFormat="1" customHeight="1" ht="15">
      <c r="A39" s="6300"/>
      <c r="B39" s="6841"/>
      <c r="C39" s="6842"/>
      <c r="D39" s="6843" t="str">
        <f>B37&amp;".3"</f>
        <v>3.1.3</v>
      </c>
      <c r="E39" s="6844" t="s">
        <v>954</v>
      </c>
      <c r="F39" s="6780" t="s">
        <v>384</v>
      </c>
      <c r="G39" s="6763" t="s">
        <v>18</v>
      </c>
      <c r="H39" s="6519" t="s">
        <v>18</v>
      </c>
      <c r="I39" s="1869">
        <v>45291</v>
      </c>
      <c r="J39" s="531" t="s">
        <v>18</v>
      </c>
      <c r="K39" s="6762" t="s">
        <v>18</v>
      </c>
      <c r="L39" s="6760" t="s">
        <v>18</v>
      </c>
      <c r="M39" s="6763">
        <v>45212</v>
      </c>
      <c r="N39" s="6519" t="s">
        <v>18</v>
      </c>
      <c r="O39" s="6763">
        <v>45291</v>
      </c>
      <c r="P39" s="6519" t="s">
        <v>18</v>
      </c>
      <c r="Q39" s="6763">
        <v>45291</v>
      </c>
      <c r="R39" s="6519" t="s">
        <v>18</v>
      </c>
      <c r="S39" s="6763">
        <v>45291</v>
      </c>
      <c r="T39" s="6519" t="s">
        <v>18</v>
      </c>
      <c r="U39" s="6763">
        <v>45223</v>
      </c>
      <c r="V39" s="6519" t="s">
        <v>18</v>
      </c>
      <c r="W39" s="6762" t="s">
        <v>18</v>
      </c>
      <c r="X39" s="6760" t="s">
        <v>18</v>
      </c>
      <c r="Y39" s="6762" t="s">
        <v>18</v>
      </c>
      <c r="Z39" s="6760" t="s">
        <v>18</v>
      </c>
      <c r="AA39" s="6763">
        <v>45291</v>
      </c>
      <c r="AB39" s="6519" t="s">
        <v>18</v>
      </c>
      <c r="AC39" s="6763">
        <v>45286</v>
      </c>
      <c r="AD39" s="6519" t="s">
        <v>18</v>
      </c>
      <c r="AE39" s="6762" t="s">
        <v>18</v>
      </c>
      <c r="AF39" s="6760" t="s">
        <v>18</v>
      </c>
      <c r="AG39" s="6763">
        <v>45250</v>
      </c>
      <c r="AH39" s="6519" t="s">
        <v>18</v>
      </c>
      <c r="AI39" s="6762" t="s">
        <v>18</v>
      </c>
      <c r="AJ39" s="6760" t="s">
        <v>18</v>
      </c>
      <c r="AK39" s="6845" t="s">
        <v>955</v>
      </c>
      <c r="AL39" s="6300"/>
      <c r="AM39" s="6300"/>
      <c r="AN39" s="6300"/>
      <c r="AO39" s="6300"/>
      <c r="AP39" s="6300"/>
      <c r="AQ39" s="6300"/>
      <c r="AR39" s="6300"/>
      <c r="AS39" s="6300"/>
      <c r="AT39" s="6300"/>
      <c r="AU39" s="6846"/>
    </row>
    <row s="12567" customFormat="1" customHeight="1" ht="22.5">
      <c r="A40" s="6300"/>
      <c r="B40" s="6841" t="s">
        <v>412</v>
      </c>
      <c r="C40" s="6842" t="s">
        <v>101</v>
      </c>
      <c r="D40" s="6843" t="str">
        <f>B40&amp;".1"</f>
        <v>3.2.1</v>
      </c>
      <c r="E40" s="6844" t="s">
        <v>951</v>
      </c>
      <c r="F40" s="6780" t="s">
        <v>384</v>
      </c>
      <c r="G40" s="6698" t="s">
        <v>18</v>
      </c>
      <c r="H40" s="6519" t="s">
        <v>18</v>
      </c>
      <c r="I40" s="6850" t="s">
        <v>970</v>
      </c>
      <c r="J40" s="531" t="s">
        <v>18</v>
      </c>
      <c r="K40" s="6759" t="s">
        <v>18</v>
      </c>
      <c r="L40" s="6760" t="s">
        <v>18</v>
      </c>
      <c r="M40" s="6698" t="s">
        <v>976</v>
      </c>
      <c r="N40" s="6519" t="s">
        <v>18</v>
      </c>
      <c r="O40" s="6698" t="s">
        <v>971</v>
      </c>
      <c r="P40" s="6519" t="s">
        <v>18</v>
      </c>
      <c r="Q40" s="6698" t="s">
        <v>971</v>
      </c>
      <c r="R40" s="6519" t="s">
        <v>18</v>
      </c>
      <c r="S40" s="6698" t="s">
        <v>971</v>
      </c>
      <c r="T40" s="6519" t="s">
        <v>18</v>
      </c>
      <c r="U40" s="6698" t="s">
        <v>18</v>
      </c>
      <c r="V40" s="6519" t="s">
        <v>18</v>
      </c>
      <c r="W40" s="6759" t="s">
        <v>18</v>
      </c>
      <c r="X40" s="6760" t="s">
        <v>18</v>
      </c>
      <c r="Y40" s="6759" t="s">
        <v>18</v>
      </c>
      <c r="Z40" s="6760" t="s">
        <v>18</v>
      </c>
      <c r="AA40" s="6698" t="s">
        <v>977</v>
      </c>
      <c r="AB40" s="6519" t="s">
        <v>18</v>
      </c>
      <c r="AC40" s="6698" t="s">
        <v>18</v>
      </c>
      <c r="AD40" s="6519" t="s">
        <v>18</v>
      </c>
      <c r="AE40" s="6759" t="s">
        <v>18</v>
      </c>
      <c r="AF40" s="6760" t="s">
        <v>18</v>
      </c>
      <c r="AG40" s="6698" t="s">
        <v>973</v>
      </c>
      <c r="AH40" s="6519" t="s">
        <v>18</v>
      </c>
      <c r="AI40" s="6759" t="s">
        <v>18</v>
      </c>
      <c r="AJ40" s="6760" t="s">
        <v>18</v>
      </c>
      <c r="AK40" s="6845"/>
      <c r="AL40" s="6300"/>
      <c r="AM40" s="6300"/>
      <c r="AN40" s="6300"/>
      <c r="AO40" s="6300"/>
      <c r="AP40" s="6300"/>
      <c r="AQ40" s="6300"/>
      <c r="AR40" s="6300"/>
      <c r="AS40" s="6300"/>
      <c r="AT40" s="6300"/>
      <c r="AU40" s="6846"/>
    </row>
    <row s="12569" customFormat="1" customHeight="1" ht="15">
      <c r="A41" s="6300"/>
      <c r="B41" s="6841"/>
      <c r="C41" s="6842"/>
      <c r="D41" s="6843" t="str">
        <f>B40&amp;".2"</f>
        <v>3.2.2</v>
      </c>
      <c r="E41" s="6844" t="s">
        <v>952</v>
      </c>
      <c r="F41" s="6780" t="s">
        <v>384</v>
      </c>
      <c r="G41" s="6757" t="s">
        <v>18</v>
      </c>
      <c r="H41" s="6519" t="s">
        <v>18</v>
      </c>
      <c r="I41" s="6852">
        <v>45279</v>
      </c>
      <c r="J41" s="531" t="s">
        <v>18</v>
      </c>
      <c r="K41" s="6762" t="s">
        <v>18</v>
      </c>
      <c r="L41" s="6760" t="s">
        <v>18</v>
      </c>
      <c r="M41" s="6757">
        <v>45280</v>
      </c>
      <c r="N41" s="6519" t="s">
        <v>18</v>
      </c>
      <c r="O41" s="6757">
        <v>45266</v>
      </c>
      <c r="P41" s="6519" t="s">
        <v>18</v>
      </c>
      <c r="Q41" s="6757">
        <v>45219</v>
      </c>
      <c r="R41" s="6519" t="s">
        <v>18</v>
      </c>
      <c r="S41" s="6757">
        <v>45279</v>
      </c>
      <c r="T41" s="6519" t="s">
        <v>18</v>
      </c>
      <c r="U41" s="6757" t="s">
        <v>18</v>
      </c>
      <c r="V41" s="6519" t="s">
        <v>18</v>
      </c>
      <c r="W41" s="6762" t="s">
        <v>18</v>
      </c>
      <c r="X41" s="6760" t="s">
        <v>18</v>
      </c>
      <c r="Y41" s="6762" t="s">
        <v>18</v>
      </c>
      <c r="Z41" s="6760" t="s">
        <v>18</v>
      </c>
      <c r="AA41" s="6757">
        <v>45259</v>
      </c>
      <c r="AB41" s="6519" t="s">
        <v>18</v>
      </c>
      <c r="AC41" s="6757" t="s">
        <v>18</v>
      </c>
      <c r="AD41" s="6519" t="s">
        <v>18</v>
      </c>
      <c r="AE41" s="6762" t="s">
        <v>18</v>
      </c>
      <c r="AF41" s="6760" t="s">
        <v>18</v>
      </c>
      <c r="AG41" s="6757">
        <v>45287</v>
      </c>
      <c r="AH41" s="6519" t="s">
        <v>18</v>
      </c>
      <c r="AI41" s="6762" t="s">
        <v>18</v>
      </c>
      <c r="AJ41" s="6760" t="s">
        <v>18</v>
      </c>
      <c r="AK41" s="6845" t="s">
        <v>953</v>
      </c>
      <c r="AL41" s="6300"/>
      <c r="AM41" s="6300"/>
      <c r="AN41" s="6300"/>
      <c r="AO41" s="6300"/>
      <c r="AP41" s="6300"/>
      <c r="AQ41" s="6300"/>
      <c r="AR41" s="6300"/>
      <c r="AS41" s="6300"/>
      <c r="AT41" s="6300"/>
      <c r="AU41" s="6846"/>
    </row>
    <row s="12571" customFormat="1" customHeight="1" ht="15">
      <c r="A42" s="6300"/>
      <c r="B42" s="6841"/>
      <c r="C42" s="6842"/>
      <c r="D42" s="6843" t="str">
        <f>B40&amp;".3"</f>
        <v>3.2.3</v>
      </c>
      <c r="E42" s="6844" t="s">
        <v>954</v>
      </c>
      <c r="F42" s="6780" t="s">
        <v>384</v>
      </c>
      <c r="G42" s="6757" t="s">
        <v>18</v>
      </c>
      <c r="H42" s="6519" t="s">
        <v>18</v>
      </c>
      <c r="I42" s="6852"/>
      <c r="J42" s="531" t="s">
        <v>18</v>
      </c>
      <c r="K42" s="6762" t="s">
        <v>18</v>
      </c>
      <c r="L42" s="6760" t="s">
        <v>18</v>
      </c>
      <c r="M42" s="6757" t="s">
        <v>18</v>
      </c>
      <c r="N42" s="6519" t="s">
        <v>18</v>
      </c>
      <c r="O42" s="6757" t="s">
        <v>18</v>
      </c>
      <c r="P42" s="6519" t="s">
        <v>18</v>
      </c>
      <c r="Q42" s="6757"/>
      <c r="R42" s="6519" t="s">
        <v>18</v>
      </c>
      <c r="S42" s="6757" t="s">
        <v>18</v>
      </c>
      <c r="T42" s="6519" t="s">
        <v>18</v>
      </c>
      <c r="U42" s="6757" t="s">
        <v>18</v>
      </c>
      <c r="V42" s="6519" t="s">
        <v>18</v>
      </c>
      <c r="W42" s="6762" t="s">
        <v>18</v>
      </c>
      <c r="X42" s="6760" t="s">
        <v>18</v>
      </c>
      <c r="Y42" s="6762" t="s">
        <v>18</v>
      </c>
      <c r="Z42" s="6760" t="s">
        <v>18</v>
      </c>
      <c r="AA42" s="6757" t="s">
        <v>18</v>
      </c>
      <c r="AB42" s="6519" t="s">
        <v>18</v>
      </c>
      <c r="AC42" s="6757" t="s">
        <v>18</v>
      </c>
      <c r="AD42" s="6519" t="s">
        <v>18</v>
      </c>
      <c r="AE42" s="6762" t="s">
        <v>18</v>
      </c>
      <c r="AF42" s="6760" t="s">
        <v>18</v>
      </c>
      <c r="AG42" s="6757" t="s">
        <v>18</v>
      </c>
      <c r="AH42" s="6519" t="s">
        <v>18</v>
      </c>
      <c r="AI42" s="6762" t="s">
        <v>18</v>
      </c>
      <c r="AJ42" s="6760" t="s">
        <v>18</v>
      </c>
      <c r="AK42" s="6845" t="s">
        <v>955</v>
      </c>
      <c r="AL42" s="6300"/>
      <c r="AM42" s="6300"/>
      <c r="AN42" s="6300"/>
      <c r="AO42" s="6300"/>
      <c r="AP42" s="6300"/>
      <c r="AQ42" s="6300"/>
      <c r="AR42" s="6300"/>
      <c r="AS42" s="6300"/>
      <c r="AT42" s="6300"/>
      <c r="AU42" s="6846"/>
    </row>
    <row s="12572" customFormat="1" customHeight="1" ht="22.5">
      <c r="A43" s="6300"/>
      <c r="B43" s="6841" t="s">
        <v>414</v>
      </c>
      <c r="C43" s="6842" t="s">
        <v>101</v>
      </c>
      <c r="D43" s="6843" t="str">
        <f>B43&amp;".1"</f>
        <v>3.3.1</v>
      </c>
      <c r="E43" s="6844" t="s">
        <v>951</v>
      </c>
      <c r="F43" s="6780" t="s">
        <v>384</v>
      </c>
      <c r="G43" s="6698" t="s">
        <v>18</v>
      </c>
      <c r="H43" s="6519" t="s">
        <v>18</v>
      </c>
      <c r="I43" s="6850" t="s">
        <v>978</v>
      </c>
      <c r="J43" s="531" t="s">
        <v>18</v>
      </c>
      <c r="K43" s="6759" t="s">
        <v>18</v>
      </c>
      <c r="L43" s="6760" t="s">
        <v>18</v>
      </c>
      <c r="M43" s="6698" t="s">
        <v>18</v>
      </c>
      <c r="N43" s="6519" t="s">
        <v>18</v>
      </c>
      <c r="O43" s="6698" t="s">
        <v>18</v>
      </c>
      <c r="P43" s="6519" t="s">
        <v>18</v>
      </c>
      <c r="Q43" s="6698" t="s">
        <v>970</v>
      </c>
      <c r="R43" s="6519" t="s">
        <v>18</v>
      </c>
      <c r="S43" s="6698" t="s">
        <v>18</v>
      </c>
      <c r="T43" s="6519" t="s">
        <v>18</v>
      </c>
      <c r="U43" s="6698" t="s">
        <v>18</v>
      </c>
      <c r="V43" s="6519" t="s">
        <v>18</v>
      </c>
      <c r="W43" s="6759" t="s">
        <v>18</v>
      </c>
      <c r="X43" s="6760" t="s">
        <v>18</v>
      </c>
      <c r="Y43" s="6759" t="s">
        <v>18</v>
      </c>
      <c r="Z43" s="6760" t="s">
        <v>18</v>
      </c>
      <c r="AA43" s="6698" t="s">
        <v>18</v>
      </c>
      <c r="AB43" s="6519" t="s">
        <v>18</v>
      </c>
      <c r="AC43" s="6698" t="s">
        <v>18</v>
      </c>
      <c r="AD43" s="6519" t="s">
        <v>18</v>
      </c>
      <c r="AE43" s="6759" t="s">
        <v>18</v>
      </c>
      <c r="AF43" s="6760" t="s">
        <v>18</v>
      </c>
      <c r="AG43" s="6698" t="s">
        <v>18</v>
      </c>
      <c r="AH43" s="6519" t="s">
        <v>18</v>
      </c>
      <c r="AI43" s="6759" t="s">
        <v>18</v>
      </c>
      <c r="AJ43" s="6760" t="s">
        <v>18</v>
      </c>
      <c r="AK43" s="6845"/>
      <c r="AL43" s="6300"/>
      <c r="AM43" s="6300"/>
      <c r="AN43" s="6300"/>
      <c r="AO43" s="6300"/>
      <c r="AP43" s="6300"/>
      <c r="AQ43" s="6300"/>
      <c r="AR43" s="6300"/>
      <c r="AS43" s="6300"/>
      <c r="AT43" s="6300"/>
      <c r="AU43" s="6846"/>
    </row>
    <row s="12573" customFormat="1" customHeight="1" ht="15">
      <c r="A44" s="6300"/>
      <c r="B44" s="6841"/>
      <c r="C44" s="6842"/>
      <c r="D44" s="6843" t="str">
        <f>B43&amp;".2"</f>
        <v>3.3.2</v>
      </c>
      <c r="E44" s="6844" t="s">
        <v>952</v>
      </c>
      <c r="F44" s="6780" t="s">
        <v>384</v>
      </c>
      <c r="G44" s="6757" t="s">
        <v>18</v>
      </c>
      <c r="H44" s="6519" t="s">
        <v>18</v>
      </c>
      <c r="I44" s="6852">
        <v>45281</v>
      </c>
      <c r="J44" s="531" t="s">
        <v>18</v>
      </c>
      <c r="K44" s="6762" t="s">
        <v>18</v>
      </c>
      <c r="L44" s="6760" t="s">
        <v>18</v>
      </c>
      <c r="M44" s="6757" t="s">
        <v>18</v>
      </c>
      <c r="N44" s="6519" t="s">
        <v>18</v>
      </c>
      <c r="O44" s="6757" t="s">
        <v>18</v>
      </c>
      <c r="P44" s="6519" t="s">
        <v>18</v>
      </c>
      <c r="Q44" s="6757">
        <v>45253</v>
      </c>
      <c r="R44" s="6519" t="s">
        <v>18</v>
      </c>
      <c r="S44" s="6757" t="s">
        <v>18</v>
      </c>
      <c r="T44" s="6519" t="s">
        <v>18</v>
      </c>
      <c r="U44" s="6757" t="s">
        <v>18</v>
      </c>
      <c r="V44" s="6519" t="s">
        <v>18</v>
      </c>
      <c r="W44" s="6762" t="s">
        <v>18</v>
      </c>
      <c r="X44" s="6760" t="s">
        <v>18</v>
      </c>
      <c r="Y44" s="6762" t="s">
        <v>18</v>
      </c>
      <c r="Z44" s="6760" t="s">
        <v>18</v>
      </c>
      <c r="AA44" s="6757" t="s">
        <v>18</v>
      </c>
      <c r="AB44" s="6519" t="s">
        <v>18</v>
      </c>
      <c r="AC44" s="6757" t="s">
        <v>18</v>
      </c>
      <c r="AD44" s="6519" t="s">
        <v>18</v>
      </c>
      <c r="AE44" s="6762" t="s">
        <v>18</v>
      </c>
      <c r="AF44" s="6760" t="s">
        <v>18</v>
      </c>
      <c r="AG44" s="6757" t="s">
        <v>18</v>
      </c>
      <c r="AH44" s="6519" t="s">
        <v>18</v>
      </c>
      <c r="AI44" s="6762" t="s">
        <v>18</v>
      </c>
      <c r="AJ44" s="6760" t="s">
        <v>18</v>
      </c>
      <c r="AK44" s="6845" t="s">
        <v>953</v>
      </c>
      <c r="AL44" s="6300"/>
      <c r="AM44" s="6300"/>
      <c r="AN44" s="6300"/>
      <c r="AO44" s="6300"/>
      <c r="AP44" s="6300"/>
      <c r="AQ44" s="6300"/>
      <c r="AR44" s="6300"/>
      <c r="AS44" s="6300"/>
      <c r="AT44" s="6300"/>
      <c r="AU44" s="6846"/>
    </row>
    <row s="12574" customFormat="1" customHeight="1" ht="15">
      <c r="A45" s="6300"/>
      <c r="B45" s="6841"/>
      <c r="C45" s="6842"/>
      <c r="D45" s="6843" t="str">
        <f>B43&amp;".3"</f>
        <v>3.3.3</v>
      </c>
      <c r="E45" s="6844" t="s">
        <v>954</v>
      </c>
      <c r="F45" s="6780" t="s">
        <v>384</v>
      </c>
      <c r="G45" s="6757" t="s">
        <v>18</v>
      </c>
      <c r="H45" s="6519" t="s">
        <v>18</v>
      </c>
      <c r="I45" s="6852"/>
      <c r="J45" s="531" t="s">
        <v>18</v>
      </c>
      <c r="K45" s="6762" t="s">
        <v>18</v>
      </c>
      <c r="L45" s="6760" t="s">
        <v>18</v>
      </c>
      <c r="M45" s="6757" t="s">
        <v>18</v>
      </c>
      <c r="N45" s="6519" t="s">
        <v>18</v>
      </c>
      <c r="O45" s="6757" t="s">
        <v>18</v>
      </c>
      <c r="P45" s="6519" t="s">
        <v>18</v>
      </c>
      <c r="Q45" s="6757"/>
      <c r="R45" s="6519" t="s">
        <v>18</v>
      </c>
      <c r="S45" s="6757" t="s">
        <v>18</v>
      </c>
      <c r="T45" s="6519" t="s">
        <v>18</v>
      </c>
      <c r="U45" s="6757" t="s">
        <v>18</v>
      </c>
      <c r="V45" s="6519" t="s">
        <v>18</v>
      </c>
      <c r="W45" s="6762" t="s">
        <v>18</v>
      </c>
      <c r="X45" s="6760" t="s">
        <v>18</v>
      </c>
      <c r="Y45" s="6762" t="s">
        <v>18</v>
      </c>
      <c r="Z45" s="6760" t="s">
        <v>18</v>
      </c>
      <c r="AA45" s="6757" t="s">
        <v>18</v>
      </c>
      <c r="AB45" s="6519" t="s">
        <v>18</v>
      </c>
      <c r="AC45" s="6757" t="s">
        <v>18</v>
      </c>
      <c r="AD45" s="6519" t="s">
        <v>18</v>
      </c>
      <c r="AE45" s="6762" t="s">
        <v>18</v>
      </c>
      <c r="AF45" s="6760" t="s">
        <v>18</v>
      </c>
      <c r="AG45" s="6757" t="s">
        <v>18</v>
      </c>
      <c r="AH45" s="6519" t="s">
        <v>18</v>
      </c>
      <c r="AI45" s="6762" t="s">
        <v>18</v>
      </c>
      <c r="AJ45" s="6760" t="s">
        <v>18</v>
      </c>
      <c r="AK45" s="6845" t="s">
        <v>955</v>
      </c>
      <c r="AL45" s="6300"/>
      <c r="AM45" s="6300"/>
      <c r="AN45" s="6300"/>
      <c r="AO45" s="6300"/>
      <c r="AP45" s="6300"/>
      <c r="AQ45" s="6300"/>
      <c r="AR45" s="6300"/>
      <c r="AS45" s="6300"/>
      <c r="AT45" s="6300"/>
      <c r="AU45" s="6846"/>
    </row>
    <row s="12575" customFormat="1" customHeight="1" ht="22.5">
      <c r="A46" s="6300"/>
      <c r="B46" s="6841" t="s">
        <v>416</v>
      </c>
      <c r="C46" s="6842" t="s">
        <v>101</v>
      </c>
      <c r="D46" s="6843" t="str">
        <f>B46&amp;".1"</f>
        <v>3.4.1</v>
      </c>
      <c r="E46" s="6844" t="s">
        <v>951</v>
      </c>
      <c r="F46" s="6780" t="s">
        <v>384</v>
      </c>
      <c r="G46" s="6698" t="s">
        <v>18</v>
      </c>
      <c r="H46" s="6519" t="s">
        <v>18</v>
      </c>
      <c r="I46" s="6850" t="s">
        <v>970</v>
      </c>
      <c r="J46" s="531" t="s">
        <v>18</v>
      </c>
      <c r="K46" s="6759" t="s">
        <v>18</v>
      </c>
      <c r="L46" s="6760" t="s">
        <v>18</v>
      </c>
      <c r="M46" s="6698" t="s">
        <v>18</v>
      </c>
      <c r="N46" s="6519" t="s">
        <v>18</v>
      </c>
      <c r="O46" s="6698" t="s">
        <v>18</v>
      </c>
      <c r="P46" s="6519" t="s">
        <v>18</v>
      </c>
      <c r="Q46" s="6698" t="s">
        <v>971</v>
      </c>
      <c r="R46" s="6519" t="s">
        <v>18</v>
      </c>
      <c r="S46" s="6698" t="s">
        <v>18</v>
      </c>
      <c r="T46" s="6519" t="s">
        <v>18</v>
      </c>
      <c r="U46" s="6698" t="s">
        <v>18</v>
      </c>
      <c r="V46" s="6519" t="s">
        <v>18</v>
      </c>
      <c r="W46" s="6759" t="s">
        <v>18</v>
      </c>
      <c r="X46" s="6760" t="s">
        <v>18</v>
      </c>
      <c r="Y46" s="6759" t="s">
        <v>18</v>
      </c>
      <c r="Z46" s="6760" t="s">
        <v>18</v>
      </c>
      <c r="AA46" s="6698" t="s">
        <v>18</v>
      </c>
      <c r="AB46" s="6519" t="s">
        <v>18</v>
      </c>
      <c r="AC46" s="6698" t="s">
        <v>18</v>
      </c>
      <c r="AD46" s="6519" t="s">
        <v>18</v>
      </c>
      <c r="AE46" s="6759" t="s">
        <v>18</v>
      </c>
      <c r="AF46" s="6760" t="s">
        <v>18</v>
      </c>
      <c r="AG46" s="6698" t="s">
        <v>18</v>
      </c>
      <c r="AH46" s="6519" t="s">
        <v>18</v>
      </c>
      <c r="AI46" s="6759" t="s">
        <v>18</v>
      </c>
      <c r="AJ46" s="6760" t="s">
        <v>18</v>
      </c>
      <c r="AK46" s="6845"/>
      <c r="AL46" s="6300"/>
      <c r="AM46" s="6300"/>
      <c r="AN46" s="6300"/>
      <c r="AO46" s="6300"/>
      <c r="AP46" s="6300"/>
      <c r="AQ46" s="6300"/>
      <c r="AR46" s="6300"/>
      <c r="AS46" s="6300"/>
      <c r="AT46" s="6300"/>
      <c r="AU46" s="6846"/>
    </row>
    <row s="12576" customFormat="1" customHeight="1" ht="15">
      <c r="A47" s="6300"/>
      <c r="B47" s="6841"/>
      <c r="C47" s="6842"/>
      <c r="D47" s="6843" t="str">
        <f>B46&amp;".2"</f>
        <v>3.4.2</v>
      </c>
      <c r="E47" s="6844" t="s">
        <v>952</v>
      </c>
      <c r="F47" s="6780" t="s">
        <v>384</v>
      </c>
      <c r="G47" s="6757" t="s">
        <v>18</v>
      </c>
      <c r="H47" s="6519" t="s">
        <v>18</v>
      </c>
      <c r="I47" s="6852">
        <v>45281</v>
      </c>
      <c r="J47" s="531" t="s">
        <v>18</v>
      </c>
      <c r="K47" s="6762" t="s">
        <v>18</v>
      </c>
      <c r="L47" s="6760" t="s">
        <v>18</v>
      </c>
      <c r="M47" s="6757" t="s">
        <v>18</v>
      </c>
      <c r="N47" s="6519" t="s">
        <v>18</v>
      </c>
      <c r="O47" s="6757" t="s">
        <v>18</v>
      </c>
      <c r="P47" s="6519" t="s">
        <v>18</v>
      </c>
      <c r="Q47" s="6757">
        <v>45258</v>
      </c>
      <c r="R47" s="6519" t="s">
        <v>18</v>
      </c>
      <c r="S47" s="6757" t="s">
        <v>18</v>
      </c>
      <c r="T47" s="6519" t="s">
        <v>18</v>
      </c>
      <c r="U47" s="6757" t="s">
        <v>18</v>
      </c>
      <c r="V47" s="6519" t="s">
        <v>18</v>
      </c>
      <c r="W47" s="6762" t="s">
        <v>18</v>
      </c>
      <c r="X47" s="6760" t="s">
        <v>18</v>
      </c>
      <c r="Y47" s="6762" t="s">
        <v>18</v>
      </c>
      <c r="Z47" s="6760" t="s">
        <v>18</v>
      </c>
      <c r="AA47" s="6757" t="s">
        <v>18</v>
      </c>
      <c r="AB47" s="6519" t="s">
        <v>18</v>
      </c>
      <c r="AC47" s="6757" t="s">
        <v>18</v>
      </c>
      <c r="AD47" s="6519" t="s">
        <v>18</v>
      </c>
      <c r="AE47" s="6762" t="s">
        <v>18</v>
      </c>
      <c r="AF47" s="6760" t="s">
        <v>18</v>
      </c>
      <c r="AG47" s="6757" t="s">
        <v>18</v>
      </c>
      <c r="AH47" s="6519" t="s">
        <v>18</v>
      </c>
      <c r="AI47" s="6762" t="s">
        <v>18</v>
      </c>
      <c r="AJ47" s="6760" t="s">
        <v>18</v>
      </c>
      <c r="AK47" s="6845" t="s">
        <v>953</v>
      </c>
      <c r="AL47" s="6300"/>
      <c r="AM47" s="6300"/>
      <c r="AN47" s="6300"/>
      <c r="AO47" s="6300"/>
      <c r="AP47" s="6300"/>
      <c r="AQ47" s="6300"/>
      <c r="AR47" s="6300"/>
      <c r="AS47" s="6300"/>
      <c r="AT47" s="6300"/>
      <c r="AU47" s="6846"/>
    </row>
    <row s="12577" customFormat="1" customHeight="1" ht="15">
      <c r="A48" s="6300"/>
      <c r="B48" s="6841"/>
      <c r="C48" s="6842"/>
      <c r="D48" s="6843" t="str">
        <f>B46&amp;".3"</f>
        <v>3.4.3</v>
      </c>
      <c r="E48" s="6844" t="s">
        <v>954</v>
      </c>
      <c r="F48" s="6780" t="s">
        <v>384</v>
      </c>
      <c r="G48" s="6757" t="s">
        <v>18</v>
      </c>
      <c r="H48" s="6519" t="s">
        <v>18</v>
      </c>
      <c r="I48" s="6852"/>
      <c r="J48" s="531" t="s">
        <v>18</v>
      </c>
      <c r="K48" s="6762" t="s">
        <v>18</v>
      </c>
      <c r="L48" s="6760" t="s">
        <v>18</v>
      </c>
      <c r="M48" s="6757" t="s">
        <v>18</v>
      </c>
      <c r="N48" s="6519" t="s">
        <v>18</v>
      </c>
      <c r="O48" s="6757" t="s">
        <v>18</v>
      </c>
      <c r="P48" s="6519" t="s">
        <v>18</v>
      </c>
      <c r="Q48" s="6757" t="s">
        <v>18</v>
      </c>
      <c r="R48" s="6519" t="s">
        <v>18</v>
      </c>
      <c r="S48" s="6757" t="s">
        <v>18</v>
      </c>
      <c r="T48" s="6519" t="s">
        <v>18</v>
      </c>
      <c r="U48" s="6757" t="s">
        <v>18</v>
      </c>
      <c r="V48" s="6519" t="s">
        <v>18</v>
      </c>
      <c r="W48" s="6762" t="s">
        <v>18</v>
      </c>
      <c r="X48" s="6760" t="s">
        <v>18</v>
      </c>
      <c r="Y48" s="6762" t="s">
        <v>18</v>
      </c>
      <c r="Z48" s="6760" t="s">
        <v>18</v>
      </c>
      <c r="AA48" s="6757" t="s">
        <v>18</v>
      </c>
      <c r="AB48" s="6519" t="s">
        <v>18</v>
      </c>
      <c r="AC48" s="6757" t="s">
        <v>18</v>
      </c>
      <c r="AD48" s="6519" t="s">
        <v>18</v>
      </c>
      <c r="AE48" s="6762" t="s">
        <v>18</v>
      </c>
      <c r="AF48" s="6760" t="s">
        <v>18</v>
      </c>
      <c r="AG48" s="6757" t="s">
        <v>18</v>
      </c>
      <c r="AH48" s="6519" t="s">
        <v>18</v>
      </c>
      <c r="AI48" s="6762" t="s">
        <v>18</v>
      </c>
      <c r="AJ48" s="6760" t="s">
        <v>18</v>
      </c>
      <c r="AK48" s="6845" t="s">
        <v>955</v>
      </c>
      <c r="AL48" s="6300"/>
      <c r="AM48" s="6300"/>
      <c r="AN48" s="6300"/>
      <c r="AO48" s="6300"/>
      <c r="AP48" s="6300"/>
      <c r="AQ48" s="6300"/>
      <c r="AR48" s="6300"/>
      <c r="AS48" s="6300"/>
      <c r="AT48" s="6300"/>
      <c r="AU48" s="6846"/>
    </row>
    <row s="12578" customFormat="1" customHeight="1" ht="22.5">
      <c r="A49" s="6300"/>
      <c r="B49" s="6841" t="s">
        <v>927</v>
      </c>
      <c r="C49" s="6842" t="s">
        <v>101</v>
      </c>
      <c r="D49" s="6843" t="str">
        <f>B49&amp;".1"</f>
        <v>3.5.1</v>
      </c>
      <c r="E49" s="6844" t="s">
        <v>951</v>
      </c>
      <c r="F49" s="6780" t="s">
        <v>384</v>
      </c>
      <c r="G49" s="6698" t="s">
        <v>18</v>
      </c>
      <c r="H49" s="6519" t="s">
        <v>18</v>
      </c>
      <c r="I49" s="6850" t="s">
        <v>971</v>
      </c>
      <c r="J49" s="531" t="s">
        <v>18</v>
      </c>
      <c r="K49" s="6759" t="s">
        <v>18</v>
      </c>
      <c r="L49" s="6760" t="s">
        <v>18</v>
      </c>
      <c r="M49" s="6698" t="s">
        <v>18</v>
      </c>
      <c r="N49" s="6519" t="s">
        <v>18</v>
      </c>
      <c r="O49" s="6698" t="s">
        <v>18</v>
      </c>
      <c r="P49" s="6519" t="s">
        <v>18</v>
      </c>
      <c r="Q49" s="6698" t="s">
        <v>18</v>
      </c>
      <c r="R49" s="6519" t="s">
        <v>18</v>
      </c>
      <c r="S49" s="6698" t="s">
        <v>18</v>
      </c>
      <c r="T49" s="6519" t="s">
        <v>18</v>
      </c>
      <c r="U49" s="6698" t="s">
        <v>18</v>
      </c>
      <c r="V49" s="6519" t="s">
        <v>18</v>
      </c>
      <c r="W49" s="6759" t="s">
        <v>18</v>
      </c>
      <c r="X49" s="6760" t="s">
        <v>18</v>
      </c>
      <c r="Y49" s="6759" t="s">
        <v>18</v>
      </c>
      <c r="Z49" s="6760" t="s">
        <v>18</v>
      </c>
      <c r="AA49" s="6698" t="s">
        <v>18</v>
      </c>
      <c r="AB49" s="6519" t="s">
        <v>18</v>
      </c>
      <c r="AC49" s="6698" t="s">
        <v>18</v>
      </c>
      <c r="AD49" s="6519" t="s">
        <v>18</v>
      </c>
      <c r="AE49" s="6759" t="s">
        <v>18</v>
      </c>
      <c r="AF49" s="6760" t="s">
        <v>18</v>
      </c>
      <c r="AG49" s="6698" t="s">
        <v>18</v>
      </c>
      <c r="AH49" s="6519" t="s">
        <v>18</v>
      </c>
      <c r="AI49" s="6759" t="s">
        <v>18</v>
      </c>
      <c r="AJ49" s="6760" t="s">
        <v>18</v>
      </c>
      <c r="AK49" s="6845"/>
      <c r="AL49" s="6300"/>
      <c r="AM49" s="6300"/>
      <c r="AN49" s="6300"/>
      <c r="AO49" s="6300"/>
      <c r="AP49" s="6300"/>
      <c r="AQ49" s="6300"/>
      <c r="AR49" s="6300"/>
      <c r="AS49" s="6300"/>
      <c r="AT49" s="6300"/>
      <c r="AU49" s="6846"/>
    </row>
    <row s="12579" customFormat="1" customHeight="1" ht="15">
      <c r="A50" s="6300"/>
      <c r="B50" s="6841"/>
      <c r="C50" s="6842"/>
      <c r="D50" s="6843" t="str">
        <f>B49&amp;".2"</f>
        <v>3.5.2</v>
      </c>
      <c r="E50" s="6844" t="s">
        <v>952</v>
      </c>
      <c r="F50" s="6780" t="s">
        <v>384</v>
      </c>
      <c r="G50" s="6757" t="s">
        <v>18</v>
      </c>
      <c r="H50" s="6519" t="s">
        <v>18</v>
      </c>
      <c r="I50" s="6852">
        <v>45281</v>
      </c>
      <c r="J50" s="531" t="s">
        <v>18</v>
      </c>
      <c r="K50" s="6762" t="s">
        <v>18</v>
      </c>
      <c r="L50" s="6760" t="s">
        <v>18</v>
      </c>
      <c r="M50" s="6757" t="s">
        <v>18</v>
      </c>
      <c r="N50" s="6519" t="s">
        <v>18</v>
      </c>
      <c r="O50" s="6757" t="s">
        <v>18</v>
      </c>
      <c r="P50" s="6519" t="s">
        <v>18</v>
      </c>
      <c r="Q50" s="6757" t="s">
        <v>18</v>
      </c>
      <c r="R50" s="6519" t="s">
        <v>18</v>
      </c>
      <c r="S50" s="6757" t="s">
        <v>18</v>
      </c>
      <c r="T50" s="6519" t="s">
        <v>18</v>
      </c>
      <c r="U50" s="6757" t="s">
        <v>18</v>
      </c>
      <c r="V50" s="6519" t="s">
        <v>18</v>
      </c>
      <c r="W50" s="6762" t="s">
        <v>18</v>
      </c>
      <c r="X50" s="6760" t="s">
        <v>18</v>
      </c>
      <c r="Y50" s="6762" t="s">
        <v>18</v>
      </c>
      <c r="Z50" s="6760" t="s">
        <v>18</v>
      </c>
      <c r="AA50" s="6757" t="s">
        <v>18</v>
      </c>
      <c r="AB50" s="6519" t="s">
        <v>18</v>
      </c>
      <c r="AC50" s="6757" t="s">
        <v>18</v>
      </c>
      <c r="AD50" s="6519" t="s">
        <v>18</v>
      </c>
      <c r="AE50" s="6762" t="s">
        <v>18</v>
      </c>
      <c r="AF50" s="6760" t="s">
        <v>18</v>
      </c>
      <c r="AG50" s="6757" t="s">
        <v>18</v>
      </c>
      <c r="AH50" s="6519" t="s">
        <v>18</v>
      </c>
      <c r="AI50" s="6762" t="s">
        <v>18</v>
      </c>
      <c r="AJ50" s="6760" t="s">
        <v>18</v>
      </c>
      <c r="AK50" s="6845" t="s">
        <v>953</v>
      </c>
      <c r="AL50" s="6300"/>
      <c r="AM50" s="6300"/>
      <c r="AN50" s="6300"/>
      <c r="AO50" s="6300"/>
      <c r="AP50" s="6300"/>
      <c r="AQ50" s="6300"/>
      <c r="AR50" s="6300"/>
      <c r="AS50" s="6300"/>
      <c r="AT50" s="6300"/>
      <c r="AU50" s="6846"/>
    </row>
    <row s="12580" customFormat="1" customHeight="1" ht="15">
      <c r="A51" s="6300"/>
      <c r="B51" s="6841"/>
      <c r="C51" s="6842"/>
      <c r="D51" s="6843" t="str">
        <f>B49&amp;".3"</f>
        <v>3.5.3</v>
      </c>
      <c r="E51" s="6844" t="s">
        <v>954</v>
      </c>
      <c r="F51" s="6780" t="s">
        <v>384</v>
      </c>
      <c r="G51" s="6757" t="s">
        <v>18</v>
      </c>
      <c r="H51" s="6519" t="s">
        <v>18</v>
      </c>
      <c r="I51" s="6852" t="s">
        <v>18</v>
      </c>
      <c r="J51" s="531" t="s">
        <v>18</v>
      </c>
      <c r="K51" s="6762" t="s">
        <v>18</v>
      </c>
      <c r="L51" s="6760" t="s">
        <v>18</v>
      </c>
      <c r="M51" s="6757" t="s">
        <v>18</v>
      </c>
      <c r="N51" s="6519" t="s">
        <v>18</v>
      </c>
      <c r="O51" s="6757" t="s">
        <v>18</v>
      </c>
      <c r="P51" s="6519" t="s">
        <v>18</v>
      </c>
      <c r="Q51" s="6757" t="s">
        <v>18</v>
      </c>
      <c r="R51" s="6519" t="s">
        <v>18</v>
      </c>
      <c r="S51" s="6757" t="s">
        <v>18</v>
      </c>
      <c r="T51" s="6519" t="s">
        <v>18</v>
      </c>
      <c r="U51" s="6757" t="s">
        <v>18</v>
      </c>
      <c r="V51" s="6519" t="s">
        <v>18</v>
      </c>
      <c r="W51" s="6762" t="s">
        <v>18</v>
      </c>
      <c r="X51" s="6760" t="s">
        <v>18</v>
      </c>
      <c r="Y51" s="6762" t="s">
        <v>18</v>
      </c>
      <c r="Z51" s="6760" t="s">
        <v>18</v>
      </c>
      <c r="AA51" s="6757" t="s">
        <v>18</v>
      </c>
      <c r="AB51" s="6519" t="s">
        <v>18</v>
      </c>
      <c r="AC51" s="6757" t="s">
        <v>18</v>
      </c>
      <c r="AD51" s="6519" t="s">
        <v>18</v>
      </c>
      <c r="AE51" s="6762" t="s">
        <v>18</v>
      </c>
      <c r="AF51" s="6760" t="s">
        <v>18</v>
      </c>
      <c r="AG51" s="6757" t="s">
        <v>18</v>
      </c>
      <c r="AH51" s="6519" t="s">
        <v>18</v>
      </c>
      <c r="AI51" s="6762" t="s">
        <v>18</v>
      </c>
      <c r="AJ51" s="6760" t="s">
        <v>18</v>
      </c>
      <c r="AK51" s="6845" t="s">
        <v>955</v>
      </c>
      <c r="AL51" s="6300"/>
      <c r="AM51" s="6300"/>
      <c r="AN51" s="6300"/>
      <c r="AO51" s="6300"/>
      <c r="AP51" s="6300"/>
      <c r="AQ51" s="6300"/>
      <c r="AR51" s="6300"/>
      <c r="AS51" s="6300"/>
      <c r="AT51" s="6300"/>
      <c r="AU51" s="6846"/>
    </row>
    <row customHeight="1" ht="11.25">
      <c r="A52" s="635"/>
      <c r="C52" s="635"/>
      <c r="D52" s="477"/>
      <c r="E52" s="710" t="s">
        <v>979</v>
      </c>
      <c r="F52" s="702"/>
      <c r="G52" s="824"/>
      <c r="H52" s="824"/>
      <c r="I52" s="824"/>
      <c r="J52" s="824"/>
      <c r="K52" s="6863"/>
      <c r="L52" s="6864"/>
      <c r="M52" s="6865"/>
      <c r="N52" s="6866"/>
      <c r="O52" s="6867"/>
      <c r="P52" s="6868"/>
      <c r="Q52" s="6869"/>
      <c r="R52" s="6870"/>
      <c r="S52" s="6871"/>
      <c r="T52" s="6872"/>
      <c r="U52" s="6873"/>
      <c r="V52" s="6874"/>
      <c r="W52" s="6875"/>
      <c r="X52" s="6876"/>
      <c r="Y52" s="6877"/>
      <c r="Z52" s="6878"/>
      <c r="AA52" s="6879"/>
      <c r="AB52" s="6880"/>
      <c r="AC52" s="6881"/>
      <c r="AD52" s="6882"/>
      <c r="AE52" s="6883"/>
      <c r="AF52" s="6884"/>
      <c r="AG52" s="6885"/>
      <c r="AH52" s="6886"/>
      <c r="AI52" s="6887"/>
      <c r="AJ52" s="6888"/>
      <c r="AK52" s="703"/>
      <c r="AU52" s="635"/>
    </row>
    <row customHeight="1" ht="67.5">
      <c r="A53" s="635"/>
      <c r="B53" s="635" t="s">
        <v>980</v>
      </c>
      <c r="C53" s="656"/>
      <c r="D53" s="822">
        <v>4</v>
      </c>
      <c r="E53" s="823" t="s">
        <v>981</v>
      </c>
      <c r="F53" s="825" t="s">
        <v>384</v>
      </c>
      <c r="G53" s="944" t="s">
        <v>967</v>
      </c>
      <c r="H53" s="945" t="s">
        <v>384</v>
      </c>
      <c r="I53" s="654" t="s">
        <v>968</v>
      </c>
      <c r="J53" s="651" t="s">
        <v>384</v>
      </c>
      <c r="K53" s="6839" t="s">
        <v>968</v>
      </c>
      <c r="L53" s="6306" t="s">
        <v>384</v>
      </c>
      <c r="M53" s="6839" t="s">
        <v>968</v>
      </c>
      <c r="N53" s="6306" t="s">
        <v>384</v>
      </c>
      <c r="O53" s="6839" t="s">
        <v>968</v>
      </c>
      <c r="P53" s="6306" t="s">
        <v>384</v>
      </c>
      <c r="Q53" s="6839" t="s">
        <v>968</v>
      </c>
      <c r="R53" s="6306" t="s">
        <v>384</v>
      </c>
      <c r="S53" s="6839" t="s">
        <v>968</v>
      </c>
      <c r="T53" s="6306" t="s">
        <v>384</v>
      </c>
      <c r="U53" s="6839" t="s">
        <v>968</v>
      </c>
      <c r="V53" s="6306" t="s">
        <v>384</v>
      </c>
      <c r="W53" s="6839" t="s">
        <v>968</v>
      </c>
      <c r="X53" s="6306" t="s">
        <v>384</v>
      </c>
      <c r="Y53" s="6839" t="s">
        <v>968</v>
      </c>
      <c r="Z53" s="6306" t="s">
        <v>384</v>
      </c>
      <c r="AA53" s="6839" t="s">
        <v>968</v>
      </c>
      <c r="AB53" s="6306" t="s">
        <v>384</v>
      </c>
      <c r="AC53" s="6839" t="s">
        <v>968</v>
      </c>
      <c r="AD53" s="6306" t="s">
        <v>384</v>
      </c>
      <c r="AE53" s="6839" t="s">
        <v>968</v>
      </c>
      <c r="AF53" s="6306" t="s">
        <v>384</v>
      </c>
      <c r="AG53" s="6839" t="s">
        <v>968</v>
      </c>
      <c r="AH53" s="6306" t="s">
        <v>384</v>
      </c>
      <c r="AI53" s="6839" t="s">
        <v>968</v>
      </c>
      <c r="AJ53" s="6306" t="s">
        <v>384</v>
      </c>
      <c r="AK53" s="809" t="s">
        <v>982</v>
      </c>
    </row>
    <row customHeight="1" ht="11.25">
      <c r="A54" s="635"/>
      <c r="C54" s="635"/>
      <c r="D54" s="477"/>
      <c r="E54" s="710" t="s">
        <v>983</v>
      </c>
      <c r="F54" s="702"/>
      <c r="G54" s="702"/>
      <c r="H54" s="826"/>
      <c r="I54" s="702"/>
      <c r="J54" s="826"/>
      <c r="K54" s="6892"/>
      <c r="L54" s="6893"/>
      <c r="M54" s="6894"/>
      <c r="N54" s="6895"/>
      <c r="O54" s="6896"/>
      <c r="P54" s="6897"/>
      <c r="Q54" s="6898"/>
      <c r="R54" s="6899"/>
      <c r="S54" s="6900"/>
      <c r="T54" s="6901"/>
      <c r="U54" s="6902"/>
      <c r="V54" s="6903"/>
      <c r="W54" s="6904"/>
      <c r="X54" s="6905"/>
      <c r="Y54" s="6906"/>
      <c r="Z54" s="6907"/>
      <c r="AA54" s="6908"/>
      <c r="AB54" s="6909"/>
      <c r="AC54" s="6910"/>
      <c r="AD54" s="6911"/>
      <c r="AE54" s="6912"/>
      <c r="AF54" s="6913"/>
      <c r="AG54" s="6914"/>
      <c r="AH54" s="6915"/>
      <c r="AI54" s="6916"/>
      <c r="AJ54" s="6917"/>
      <c r="AK54" s="703"/>
      <c r="AU54" s="635"/>
    </row>
  </sheetData>
  <sheetProtection sheet="1" formatColumns="0" formatRows="0" autoFilter="0" sort="1" insertRows="1" insertColumns="1" deleteRows="1" deleteColumns="1"/>
  <mergeCells count="70">
    <mergeCell ref="B3:B4"/>
    <mergeCell ref="C3:C4"/>
    <mergeCell ref="B6:B7"/>
    <mergeCell ref="C6:C7"/>
    <mergeCell ref="B9:B11"/>
    <mergeCell ref="C9:C11"/>
    <mergeCell ref="B13:B14"/>
    <mergeCell ref="C13:C14"/>
    <mergeCell ref="D22:I22"/>
    <mergeCell ref="D23:I23"/>
    <mergeCell ref="I26:J26"/>
    <mergeCell ref="E26:F26"/>
    <mergeCell ref="G28:H28"/>
    <mergeCell ref="AK26:AK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B37:B39"/>
    <mergeCell ref="C37:C39"/>
    <mergeCell ref="B40:B42"/>
    <mergeCell ref="C40:C42"/>
    <mergeCell ref="B43:B45"/>
    <mergeCell ref="C43:C45"/>
    <mergeCell ref="B46:B48"/>
    <mergeCell ref="C46:C48"/>
    <mergeCell ref="B49:B51"/>
    <mergeCell ref="C49:C51"/>
  </mergeCells>
  <dataValidations count="5">
    <dataValidation allowBlank="1" showInputMessage="1" showErrorMessage="1" prompt="Для выбора выполните двойной щелчок левой клавиши мыши по ячейке." sqref="I36 G53 I53 G36 K36 K53 M36 M53 O36 O53 Q36 Q53 S36 S53 U36 U53 W36 W53 Y36 Y53 AA36 AA53 AC36 AC53 AE36 AE53 AG36 AG53 AI36 AI5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J3:J4 L3:L4 N3:N4 P3:P4 R3:R4 T3:T4 V3:V4 X3:X4 Z3:Z4 AB3:AB4 AD3:AD4 AF3:AF4 AH3:AH4 AJ3:AJ4 J6:J7 L6:L7 N6:N7 P6:P7 R6:R7 T6:T7 V6:V7 X6:X7 Z6:Z7 AB6:AB7 AD6:AD7 AF6:AF7 AH6:AH7 AJ6:AJ7 H3:H4 H6:H7 H9:H11 H13:H14 J9:J11 L9:L11 N9:N11 P9:P11 R9:R11 T9:T11 V9:V11 X9:X11 Z9:Z11 AB9:AB11 AD9:AD11 AF9:AF11 AH9:AH11 AJ9:AJ11 H37 J37 L37 N37 P37 R37 T37 V37 X37 Z37 AB37 AD37 AF37 AH37 AJ37 H38 J38 L38 N38 P38 R38 T38 V38 X38 Z38 AB38 AD38 AF38 AH38 AJ38 H39 J39 L39 N39 P39 R39 T39 V39 X39 Z39 AB39 AD39 AF39 AH39 AJ39 H40 J40 L40 N40 P40 R40 T40 V40 X40 Z40 AB40 AD40 AF40 AH40 AJ40 H41 J41 L41 N41 P41 R41 T41 V41 X41 Z41 AB41 AD41 AF41 AH41 AJ41 H42 J42 L42 N42 P42 R42 T42 V42 X42 Z42 AB42 AD42 AF42 AH42 AJ42 H43 J43 L43 N43 P43 R43 T43 V43 X43 Z43 AB43 AD43 AF43 AH43 AJ43 H44 J44 L44 N44 P44 R44 T44 V44 X44 Z44 AB44 AD44 AF44 AH44 AJ44 H45 J45 L45 N45 P45 R45 T45 V45 X45 Z45 AB45 AD45 AF45 AH45 AJ45 H46 J46 L46 N46 P46 R46 T46 V46 X46 Z46 AB46 AD46 AF46 AH46 AJ46 H47 J47 L47 N47 P47 R47 T47 V47 X47 Z47 AB47 AD47 AF47 AH47 AJ47 H48 J48 L48 N48 P48 R48 T48 V48 X48 Z48 AB48 AD48 AF48 AH48 AJ48 H49 J49 L49 N49 P49 R49 T49 V49 X49 Z49 AB49 AD49 AF49 AH49 AJ49 H50 J50 L50 N50 P50 R50 T50 V50 X50 Z50 AB50 AD50 AF50 AH50 AJ50 H51 J51 L51 N51 P51 R51 T51 V51 X51 Z51 AB51 AD51 AF51 AH51 AJ5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G38 I38 K38 M38 O38 Q38 S38 U38 W38 Y38 AA38 AC38 AE38 AG38 AI38 G39 I39 K39 M39 O39 Q39 S39 U39 W39 Y39 AA39 AC39 AE39 AG39 AI39 G41 I41 K41 M41 O41 Q41 S41 U41 W41 Y41 AA41 AC41 AE41 AG41 AI41 G42 I42 K42 M42 O42 Q42 S42 U42 W42 Y42 AA42 AC42 AE42 AG42 AI42 G44 I44 K44 M44 O44 Q44 S44 U44 W44 Y44 AA44 AC44 AE44 AG44 AI44 G45 I45 K45 M45 O45 Q45 S45 U45 W45 Y45 AA45 AC45 AE45 AG45 AI45 G47 I47 K47 M47 O47 Q47 S47 U47 W47 Y47 AA47 AC47 AE47 AG47 AI47 G48 I48 K48 M48 O48 Q48 S48 U48 W48 Y48 AA48 AC48 AE48 AG48 AI48 G50 I50 K50 M50 O50 Q50 S50 U50 W50 Y50 AA50 AC50 AE50 AG50 AI50 G51 I51 K51 M51 O51 Q51 S51 U51 W51 Y51 AA51 AC51 AE51 AG51 AI51"/>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G37 I37 K37 M37 O37 Q37 S37 U37 W37 Y37 AA37 AC37 AE37 AG37 AI37 G40 I40 K40 M40 O40 Q40 S40 U40 W40 Y40 AA40 AC40 AE40 AG40 AI40 G43 I43 K43 M43 O43 Q43 S43 U43 W43 Y43 AA43 AC43 AE43 AG43 AI43 G46 I46 K46 M46 O46 Q46 S46 U46 W46 Y46 AA46 AC46 AE46 AG46 AI46 G49 I49 K49 M49 O49 Q49 S49 U49 W49 Y49 AA49 AC49 AE49 AG49 AI49">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00D18-F429-7FCB-7E33-3759058FDEB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663" width="6.7109375" hidden="1" customWidth="1"/>
    <col min="4" max="4" style="11056" width="6.7109375" hidden="1" customWidth="1"/>
    <col min="5" max="5" style="12259" width="3.7109375" customWidth="1"/>
    <col min="6" max="6" style="11055" width="6.28125" customWidth="1"/>
    <col min="7" max="7" style="11055" width="37.7109375" customWidth="1"/>
    <col min="8" max="8" style="11734" width="16.57421875" customWidth="1"/>
    <col min="9" max="10" style="11055" width="19.7109375" customWidth="1"/>
    <col min="11" max="11" style="11055" width="25.00390625" customWidth="1"/>
    <col min="12" max="13" style="11055" width="25.7109375" customWidth="1"/>
    <col min="14" max="16" style="11055" width="17.7109375" customWidth="1"/>
    <col min="17" max="24" style="11055" width="19.7109375" customWidth="1"/>
    <col min="25" max="25" style="11055" width="8.00390625" customWidth="1"/>
    <col min="26" max="26" style="11055" width="3.28125" customWidth="1"/>
    <col min="27" max="27" style="11055" width="6.28125" customWidth="1"/>
    <col min="28" max="28" style="11055" width="34.140625" customWidth="1"/>
    <col min="29" max="30" style="11055" width="9.140625"/>
  </cols>
  <sheetData>
    <row s="11056" customFormat="1" customHeight="1" ht="10.5" hidden="1">
      <c r="A1" s="1025"/>
      <c r="B1" s="1025"/>
      <c r="C1" s="1025"/>
      <c r="E1" s="667"/>
      <c r="H1" s="1292"/>
    </row>
    <row customHeight="1" ht="10.5" hidden="1"/>
    <row s="12639" customFormat="1" customHeight="1" ht="10.5" hidden="1">
      <c r="A3" s="1025"/>
      <c r="B3" s="1025"/>
      <c r="C3" s="1025"/>
      <c r="D3" s="547"/>
      <c r="E3" s="492"/>
      <c r="H3" s="1288"/>
    </row>
    <row customHeight="1" ht="3"/>
    <row customHeight="1" ht="25.5">
      <c r="F5" s="228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7"/>
      <c r="H5" s="2287"/>
      <c r="I5" s="2287"/>
      <c r="J5" s="2287"/>
      <c r="K5" s="2287"/>
      <c r="M5" s="712"/>
      <c r="AB5" s="1036"/>
    </row>
    <row s="11775" customFormat="1" customHeight="1" ht="15.75">
      <c r="A6" s="1298"/>
      <c r="B6" s="1298"/>
      <c r="C6" s="1298"/>
      <c r="D6" s="1292"/>
      <c r="E6" s="1772"/>
      <c r="F6" s="2288" t="str">
        <f>IF(org=0,"Не определено",org)</f>
        <v>АО "ДГК"</v>
      </c>
      <c r="G6" s="2288"/>
      <c r="H6" s="2288"/>
      <c r="I6" s="2288"/>
      <c r="J6" s="2288"/>
      <c r="K6" s="2288"/>
      <c r="M6" s="712"/>
      <c r="AB6" s="1280"/>
    </row>
    <row r="8" customHeight="1" ht="10.5">
      <c r="A8" s="1182"/>
      <c r="B8" s="1182"/>
      <c r="C8" s="1182"/>
      <c r="F8" s="2141" t="s">
        <v>378</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85</v>
      </c>
      <c r="G9" s="2167" t="s">
        <v>984</v>
      </c>
      <c r="H9" s="2213" t="s">
        <v>985</v>
      </c>
      <c r="I9" s="2167" t="s">
        <v>986</v>
      </c>
      <c r="J9" s="2167" t="s">
        <v>987</v>
      </c>
      <c r="K9" s="2167" t="s">
        <v>988</v>
      </c>
      <c r="L9" s="2167" t="s">
        <v>989</v>
      </c>
      <c r="M9" s="2167" t="s">
        <v>990</v>
      </c>
      <c r="N9" s="2248" t="s">
        <v>991</v>
      </c>
      <c r="O9" s="2248"/>
      <c r="P9" s="2248"/>
      <c r="Q9" s="2425" t="s">
        <v>992</v>
      </c>
      <c r="R9" s="2426"/>
      <c r="S9" s="2426"/>
      <c r="T9" s="2427"/>
      <c r="U9" s="2425" t="s">
        <v>993</v>
      </c>
      <c r="V9" s="2426"/>
      <c r="W9" s="2426"/>
      <c r="X9" s="2427"/>
      <c r="Y9" s="2141" t="s">
        <v>994</v>
      </c>
      <c r="Z9" s="2142"/>
      <c r="AA9" s="2142"/>
      <c r="AB9" s="2143"/>
    </row>
    <row customHeight="1" ht="41.25">
      <c r="A10" s="1035"/>
      <c r="B10" s="1035"/>
      <c r="C10" s="1035"/>
      <c r="F10" s="2213"/>
      <c r="G10" s="2213"/>
      <c r="H10" s="2271"/>
      <c r="I10" s="2213"/>
      <c r="J10" s="2213"/>
      <c r="K10" s="2213"/>
      <c r="L10" s="2213"/>
      <c r="M10" s="2213"/>
      <c r="N10" s="1033" t="s">
        <v>995</v>
      </c>
      <c r="O10" s="1033" t="s">
        <v>996</v>
      </c>
      <c r="P10" s="1034" t="s">
        <v>997</v>
      </c>
      <c r="Q10" s="1045" t="s">
        <v>86</v>
      </c>
      <c r="R10" s="1045" t="s">
        <v>998</v>
      </c>
      <c r="S10" s="1045" t="s">
        <v>999</v>
      </c>
      <c r="T10" s="1046" t="s">
        <v>1000</v>
      </c>
      <c r="U10" s="1045" t="s">
        <v>86</v>
      </c>
      <c r="V10" s="1045" t="s">
        <v>1001</v>
      </c>
      <c r="W10" s="1045" t="s">
        <v>999</v>
      </c>
      <c r="X10" s="1046" t="s">
        <v>1000</v>
      </c>
      <c r="Y10" s="431" t="s">
        <v>1002</v>
      </c>
      <c r="Z10" s="2141" t="s">
        <v>85</v>
      </c>
      <c r="AA10" s="2143"/>
      <c r="AB10" s="1180" t="s">
        <v>1003</v>
      </c>
    </row>
    <row s="11721" customFormat="1" customHeight="1" ht="5.25" hidden="1">
      <c r="A11" s="1183"/>
      <c r="B11" s="1183"/>
      <c r="C11" s="1183"/>
      <c r="E11" s="1181"/>
      <c r="F11" s="2432" t="s">
        <v>456</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1004</v>
      </c>
    </row>
    <row s="11721"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1005</v>
      </c>
      <c r="H13" s="1300"/>
      <c r="I13" s="702"/>
      <c r="J13" s="702"/>
      <c r="K13" s="702"/>
      <c r="L13" s="702"/>
      <c r="M13" s="702"/>
      <c r="N13" s="702"/>
      <c r="O13" s="702"/>
      <c r="P13" s="702"/>
      <c r="Q13" s="702"/>
      <c r="R13" s="702"/>
      <c r="S13" s="702"/>
      <c r="T13" s="702"/>
      <c r="U13" s="702"/>
      <c r="V13" s="702"/>
      <c r="W13" s="702"/>
      <c r="X13" s="702"/>
      <c r="Y13" s="702"/>
      <c r="Z13" s="826"/>
      <c r="AA13" s="826"/>
      <c r="AB13" s="1047"/>
    </row>
    <row r="15" s="11721" customFormat="1" customHeight="1" ht="10.5">
      <c r="A15" s="1299"/>
      <c r="B15" s="1299"/>
      <c r="C15" s="1299"/>
      <c r="E15" s="648"/>
      <c r="H15" s="64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669EA-54E2-5BE9-DF2B-B6E36A4B2D3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663" width="4.140625" hidden="1" customWidth="1"/>
    <col min="4" max="4" style="11056" width="4.140625" hidden="1" customWidth="1"/>
    <col min="5" max="5" style="12259" width="3.7109375" customWidth="1"/>
    <col min="6" max="6" style="11055" width="14.421875" customWidth="1"/>
    <col min="7" max="7" style="11055" width="3.7109375" customWidth="1"/>
    <col min="8" max="8" style="11734" width="7.7109375" customWidth="1"/>
    <col min="9" max="10" style="11055" width="16.7109375" customWidth="1"/>
    <col min="11" max="11" style="11055" width="25.7109375" customWidth="1"/>
    <col min="12" max="12" style="12693" width="8.00390625" customWidth="1"/>
    <col min="13" max="13" style="12693" width="15.57421875" customWidth="1"/>
    <col min="14" max="14" style="11055" width="3.28125" customWidth="1"/>
    <col min="15" max="15" style="11055" width="4.7109375" customWidth="1"/>
    <col min="16" max="16" style="11055" width="9.00390625" customWidth="1"/>
    <col min="17" max="17" style="11055" width="21.7109375" customWidth="1"/>
    <col min="18" max="18" style="11055" width="14.7109375" customWidth="1"/>
    <col min="19" max="20" style="11055" width="17.7109375" customWidth="1"/>
    <col min="21" max="21" style="11055" width="9.7109375" customWidth="1"/>
    <col min="22" max="22" style="11055" width="12.7109375" customWidth="1"/>
    <col min="23" max="23" style="11055" width="9.7109375" customWidth="1"/>
    <col min="24" max="24" style="11055" width="21.7109375" customWidth="1"/>
    <col min="25" max="25" style="11055" width="12.7109375" customWidth="1"/>
    <col min="26" max="26" style="11055" width="3.28125" customWidth="1"/>
    <col min="27" max="27" style="11055" width="7.140625" customWidth="1"/>
    <col min="28" max="28" style="11055" width="38.421875" customWidth="1"/>
    <col min="29" max="29" style="11055" width="15.7109375" customWidth="1"/>
    <col min="30" max="30" style="12693" width="37.57421875" customWidth="1"/>
    <col min="31" max="31" style="11055" width="15.7109375" customWidth="1"/>
    <col min="32" max="33" style="11055" width="16.7109375" customWidth="1"/>
    <col min="34" max="34" style="12715" width="16.7109375" customWidth="1"/>
    <col min="35" max="35" style="12716" width="16.7109375" customWidth="1"/>
    <col min="36" max="37" style="11055" width="16.7109375" customWidth="1"/>
    <col min="38" max="58" style="11055" width="9.140625"/>
  </cols>
  <sheetData>
    <row s="11056" customFormat="1" customHeight="1" ht="10.5" hidden="1">
      <c r="A1" s="1025"/>
      <c r="B1" s="1025"/>
      <c r="C1" s="1025"/>
      <c r="E1" s="667"/>
      <c r="H1" s="1292"/>
      <c r="L1" s="1260"/>
      <c r="M1" s="1260"/>
      <c r="AD1" s="1260"/>
      <c r="AH1" s="1279"/>
      <c r="AI1" s="1272"/>
    </row>
    <row customHeight="1" ht="10.5" hidden="1"/>
    <row s="12639" customFormat="1" customHeight="1" ht="10.5" hidden="1">
      <c r="A3" s="1025"/>
      <c r="B3" s="1025"/>
      <c r="C3" s="1025"/>
      <c r="D3" s="547"/>
      <c r="E3" s="492"/>
      <c r="H3" s="1288"/>
      <c r="L3" s="1258"/>
      <c r="M3" s="1258"/>
      <c r="AD3" s="1258"/>
      <c r="AH3" s="1277"/>
      <c r="AI3" s="1270"/>
    </row>
    <row customHeight="1" ht="3"/>
    <row customHeight="1" ht="25.5">
      <c r="F5" s="228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7"/>
      <c r="H5" s="2287"/>
      <c r="I5" s="2287"/>
      <c r="J5" s="2287"/>
      <c r="K5" s="2287"/>
      <c r="L5" s="1267"/>
      <c r="M5" s="1267"/>
      <c r="AG5" s="1036"/>
      <c r="AH5" s="1280"/>
    </row>
    <row customHeight="1" ht="10.5">
      <c r="F6" s="2214" t="str">
        <f>IF(org=0,"Не определено",org)</f>
        <v>АО "ДГК"</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378</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1006</v>
      </c>
      <c r="G9" s="2435" t="s">
        <v>1007</v>
      </c>
      <c r="H9" s="2436"/>
      <c r="I9" s="2167" t="s">
        <v>1008</v>
      </c>
      <c r="J9" s="2167"/>
      <c r="K9" s="2167" t="s">
        <v>1009</v>
      </c>
      <c r="L9" s="2167"/>
      <c r="M9" s="2167"/>
      <c r="N9" s="2167"/>
      <c r="O9" s="2167"/>
      <c r="P9" s="2167"/>
      <c r="Q9" s="2167"/>
      <c r="R9" s="2167"/>
      <c r="S9" s="2167"/>
      <c r="T9" s="2167"/>
      <c r="U9" s="2167"/>
      <c r="V9" s="2167"/>
      <c r="W9" s="2167"/>
      <c r="X9" s="2167"/>
      <c r="Y9" s="2167"/>
      <c r="Z9" s="2230" t="s">
        <v>1010</v>
      </c>
      <c r="AA9" s="2231"/>
      <c r="AB9" s="2167" t="s">
        <v>1011</v>
      </c>
      <c r="AC9" s="2167"/>
      <c r="AD9" s="2167"/>
      <c r="AE9" s="2167"/>
      <c r="AF9" s="2213" t="s">
        <v>1012</v>
      </c>
      <c r="AG9" s="2167" t="s">
        <v>1013</v>
      </c>
      <c r="AH9" s="2167"/>
      <c r="AI9" s="2213" t="s">
        <v>1014</v>
      </c>
      <c r="AJ9" s="2167" t="s">
        <v>1015</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1016</v>
      </c>
      <c r="L10" s="2141" t="s">
        <v>1017</v>
      </c>
      <c r="M10" s="2143"/>
      <c r="N10" s="2167" t="s">
        <v>1018</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2693" customFormat="1" customHeight="1" ht="23.25">
      <c r="A11" s="1261"/>
      <c r="B11" s="1261"/>
      <c r="C11" s="1261"/>
      <c r="D11" s="1260"/>
      <c r="E11" s="1262"/>
      <c r="F11" s="2434"/>
      <c r="G11" s="2437"/>
      <c r="H11" s="2438"/>
      <c r="I11" s="2167"/>
      <c r="J11" s="2167"/>
      <c r="K11" s="2167"/>
      <c r="L11" s="2213" t="s">
        <v>1019</v>
      </c>
      <c r="M11" s="2213" t="s">
        <v>1020</v>
      </c>
      <c r="N11" s="2167" t="s">
        <v>1021</v>
      </c>
      <c r="O11" s="2167"/>
      <c r="P11" s="2444" t="s">
        <v>1002</v>
      </c>
      <c r="Q11" s="2444" t="s">
        <v>1022</v>
      </c>
      <c r="R11" s="2444" t="s">
        <v>1023</v>
      </c>
      <c r="S11" s="2444" t="s">
        <v>1024</v>
      </c>
      <c r="T11" s="2444"/>
      <c r="U11" s="2444"/>
      <c r="V11" s="2444"/>
      <c r="W11" s="2444"/>
      <c r="X11" s="2444"/>
      <c r="Y11" s="2444"/>
      <c r="Z11" s="2232"/>
      <c r="AA11" s="2233"/>
      <c r="AB11" s="2167" t="s">
        <v>1025</v>
      </c>
      <c r="AC11" s="2167"/>
      <c r="AD11" s="2141" t="s">
        <v>1026</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86</v>
      </c>
      <c r="J12" s="1285" t="s">
        <v>1027</v>
      </c>
      <c r="K12" s="2167"/>
      <c r="L12" s="2271"/>
      <c r="M12" s="2271"/>
      <c r="N12" s="2167"/>
      <c r="O12" s="2167"/>
      <c r="P12" s="2444"/>
      <c r="Q12" s="2444"/>
      <c r="R12" s="2444"/>
      <c r="S12" s="1266" t="s">
        <v>83</v>
      </c>
      <c r="T12" s="1266" t="s">
        <v>84</v>
      </c>
      <c r="U12" s="1266" t="s">
        <v>82</v>
      </c>
      <c r="V12" s="1266" t="s">
        <v>1028</v>
      </c>
      <c r="W12" s="1266" t="s">
        <v>82</v>
      </c>
      <c r="X12" s="1266" t="s">
        <v>1029</v>
      </c>
      <c r="Y12" s="1266" t="s">
        <v>1030</v>
      </c>
      <c r="Z12" s="2238"/>
      <c r="AA12" s="2239"/>
      <c r="AB12" s="1273" t="s">
        <v>1031</v>
      </c>
      <c r="AC12" s="1273" t="s">
        <v>1032</v>
      </c>
      <c r="AD12" s="1273" t="s">
        <v>1031</v>
      </c>
      <c r="AE12" s="1273" t="s">
        <v>1032</v>
      </c>
      <c r="AF12" s="2271"/>
      <c r="AG12" s="1286" t="s">
        <v>1033</v>
      </c>
      <c r="AH12" s="1286" t="s">
        <v>1034</v>
      </c>
      <c r="AI12" s="2271"/>
      <c r="AJ12" s="1286" t="s">
        <v>1033</v>
      </c>
      <c r="AK12" s="1286" t="s">
        <v>1034</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1035</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71882-0EF5-F54F-4046-4534EBEE639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746" width="4.140625" hidden="1" customWidth="1"/>
    <col min="4" max="4" style="11649" width="4.140625" hidden="1" customWidth="1"/>
    <col min="5" max="5" style="12259" width="3.7109375" customWidth="1"/>
    <col min="6" max="6" style="11734" width="6.28125" customWidth="1"/>
    <col min="7" max="7" style="11734" width="60.140625" customWidth="1"/>
    <col min="8" max="9" style="11734" width="21.7109375" hidden="1" customWidth="1"/>
    <col min="10" max="10" style="11734" width="0.140625" customWidth="1"/>
    <col min="11" max="11" style="11734" width="1.7109375" customWidth="1"/>
    <col min="12" max="22" style="11734" width="9.140625"/>
  </cols>
  <sheetData>
    <row s="11649" customFormat="1" customHeight="1" ht="10.5" hidden="1">
      <c r="A1" s="1298"/>
      <c r="B1" s="1298"/>
      <c r="C1" s="1298"/>
      <c r="E1" s="667"/>
    </row>
    <row customHeight="1" ht="10.5" hidden="1"/>
    <row s="12717" customFormat="1" customHeight="1" ht="10.5" hidden="1">
      <c r="A3" s="1298"/>
      <c r="B3" s="1298"/>
      <c r="C3" s="1298"/>
      <c r="D3" s="1292"/>
      <c r="E3" s="492"/>
    </row>
    <row customHeight="1" ht="3"/>
    <row customHeight="1" ht="25.5">
      <c r="F5" s="228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87"/>
      <c r="H5" s="2287"/>
      <c r="I5" s="2287"/>
      <c r="J5" s="2287"/>
    </row>
    <row customHeight="1" ht="10.5">
      <c r="F6" s="2214" t="str">
        <f>IF(org=0,"Не определено",org)</f>
        <v>АО "ДГК"</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721"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378</v>
      </c>
      <c r="G9" s="2446"/>
      <c r="H9" s="2446"/>
      <c r="I9" s="2446"/>
      <c r="J9" s="2446"/>
      <c r="K9" s="1376"/>
      <c r="L9" s="1289"/>
      <c r="M9" s="1289"/>
      <c r="N9" s="1289"/>
      <c r="O9" s="1289"/>
      <c r="P9" s="1289"/>
      <c r="Q9" s="1289"/>
      <c r="R9" s="1289"/>
      <c r="S9" s="1289"/>
      <c r="T9" s="1289"/>
      <c r="U9" s="1289"/>
      <c r="V9" s="1289"/>
    </row>
    <row customHeight="1" ht="24">
      <c r="E10" s="1289"/>
      <c r="F10" s="2449" t="s">
        <v>85</v>
      </c>
      <c r="G10" s="2454" t="s">
        <v>1036</v>
      </c>
      <c r="H10" s="2452" t="s">
        <v>1037</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1038</v>
      </c>
      <c r="I12" s="1368"/>
      <c r="J12" s="1362"/>
      <c r="K12" s="1370"/>
    </row>
    <row customHeight="1" ht="10.5" hidden="1">
      <c r="F13" s="1362">
        <v>1</v>
      </c>
      <c r="G13" s="1362">
        <v>2</v>
      </c>
      <c r="H13" s="1362">
        <v>3</v>
      </c>
      <c r="I13" s="1362">
        <v>4</v>
      </c>
      <c r="J13" s="1362">
        <v>5</v>
      </c>
      <c r="K13" s="1370"/>
    </row>
    <row customHeight="1" ht="11.25">
      <c r="F14" s="1361" t="s">
        <v>1039</v>
      </c>
      <c r="G14" s="2447" t="s">
        <v>1040</v>
      </c>
      <c r="H14" s="2447"/>
      <c r="I14" s="2447"/>
      <c r="J14" s="2447"/>
      <c r="K14" s="1370"/>
    </row>
    <row customHeight="1" ht="11.25">
      <c r="F15" s="1366">
        <v>1</v>
      </c>
      <c r="G15" s="820" t="s">
        <v>1041</v>
      </c>
      <c r="H15" s="1372">
        <f>SUM(I15:J15)</f>
        <v>0</v>
      </c>
      <c r="I15" s="1372">
        <f>SUM(I16:I27)</f>
        <v>0</v>
      </c>
      <c r="J15" s="1361"/>
      <c r="K15" s="1370"/>
    </row>
    <row customHeight="1" ht="22.5">
      <c r="F16" s="1366" t="s">
        <v>1042</v>
      </c>
      <c r="G16" s="1373" t="s">
        <v>1043</v>
      </c>
      <c r="H16" s="1372">
        <f>SUM(I16:J16)</f>
        <v>0</v>
      </c>
      <c r="I16" s="1371"/>
      <c r="J16" s="1361"/>
      <c r="K16" s="1370"/>
    </row>
    <row customHeight="1" ht="22.5">
      <c r="F17" s="1366" t="s">
        <v>1044</v>
      </c>
      <c r="G17" s="1373" t="s">
        <v>1045</v>
      </c>
      <c r="H17" s="1372">
        <f>SUM(I17:J17)</f>
        <v>0</v>
      </c>
      <c r="I17" s="1371"/>
      <c r="J17" s="1361"/>
      <c r="K17" s="1370"/>
    </row>
    <row customHeight="1" ht="33.75">
      <c r="F18" s="1366" t="s">
        <v>1046</v>
      </c>
      <c r="G18" s="1373" t="s">
        <v>1047</v>
      </c>
      <c r="H18" s="1372">
        <f>SUM(I18:J18)</f>
        <v>0</v>
      </c>
      <c r="I18" s="1371"/>
      <c r="J18" s="1361"/>
      <c r="K18" s="1370"/>
    </row>
    <row customHeight="1" ht="33.75">
      <c r="F19" s="1366" t="s">
        <v>1048</v>
      </c>
      <c r="G19" s="1373" t="s">
        <v>1049</v>
      </c>
      <c r="H19" s="1372">
        <f>SUM(I19:J19)</f>
        <v>0</v>
      </c>
      <c r="I19" s="1371"/>
      <c r="J19" s="1361"/>
      <c r="K19" s="1370"/>
    </row>
    <row customHeight="1" ht="45">
      <c r="F20" s="1366" t="s">
        <v>1050</v>
      </c>
      <c r="G20" s="1373" t="s">
        <v>1051</v>
      </c>
      <c r="H20" s="1372">
        <f>SUM(I20:J20)</f>
        <v>0</v>
      </c>
      <c r="I20" s="1371"/>
      <c r="J20" s="1361"/>
      <c r="K20" s="1370"/>
    </row>
    <row customHeight="1" ht="33.75">
      <c r="F21" s="1366" t="s">
        <v>1052</v>
      </c>
      <c r="G21" s="1373" t="s">
        <v>1053</v>
      </c>
      <c r="H21" s="1372">
        <f>SUM(I21:J21)</f>
        <v>0</v>
      </c>
      <c r="I21" s="1371"/>
      <c r="J21" s="1361"/>
      <c r="K21" s="1370"/>
    </row>
    <row customHeight="1" ht="33.75">
      <c r="F22" s="1366" t="s">
        <v>1054</v>
      </c>
      <c r="G22" s="1373" t="s">
        <v>1055</v>
      </c>
      <c r="H22" s="1372">
        <f>SUM(I22:J22)</f>
        <v>0</v>
      </c>
      <c r="I22" s="1371"/>
      <c r="J22" s="1361"/>
      <c r="K22" s="1370"/>
    </row>
    <row customHeight="1" ht="22.5">
      <c r="F23" s="1366" t="s">
        <v>1056</v>
      </c>
      <c r="G23" s="1373" t="s">
        <v>1057</v>
      </c>
      <c r="H23" s="1372">
        <f>SUM(I23:J23)</f>
        <v>0</v>
      </c>
      <c r="I23" s="1371"/>
      <c r="J23" s="1361"/>
      <c r="K23" s="1370"/>
    </row>
    <row customHeight="1" ht="22.5">
      <c r="F24" s="1366" t="s">
        <v>1058</v>
      </c>
      <c r="G24" s="1373" t="s">
        <v>1059</v>
      </c>
      <c r="H24" s="1372">
        <f>SUM(I24:J24)</f>
        <v>0</v>
      </c>
      <c r="I24" s="1371"/>
      <c r="J24" s="1361"/>
      <c r="K24" s="1370"/>
    </row>
    <row customHeight="1" ht="33.75">
      <c r="F25" s="1366" t="s">
        <v>1060</v>
      </c>
      <c r="G25" s="1373" t="s">
        <v>1061</v>
      </c>
      <c r="H25" s="1372">
        <f>SUM(I25:J25)</f>
        <v>0</v>
      </c>
      <c r="I25" s="1371"/>
      <c r="J25" s="1361"/>
      <c r="K25" s="1370"/>
    </row>
    <row customHeight="1" ht="33.75">
      <c r="F26" s="1366" t="s">
        <v>1062</v>
      </c>
      <c r="G26" s="1373" t="s">
        <v>1063</v>
      </c>
      <c r="H26" s="1372">
        <f>SUM(I26:J26)</f>
        <v>0</v>
      </c>
      <c r="I26" s="1371"/>
      <c r="J26" s="1361"/>
      <c r="K26" s="1370"/>
    </row>
    <row customHeight="1" ht="11.25">
      <c r="F27" s="1366" t="s">
        <v>1064</v>
      </c>
      <c r="G27" s="1373" t="s">
        <v>1065</v>
      </c>
      <c r="H27" s="1372">
        <f>SUM(I27:J27)</f>
        <v>0</v>
      </c>
      <c r="I27" s="1371"/>
      <c r="J27" s="1361"/>
      <c r="K27" s="1370"/>
    </row>
    <row customHeight="1" ht="11.25">
      <c r="F28" s="1366">
        <v>2</v>
      </c>
      <c r="G28" s="820" t="s">
        <v>1066</v>
      </c>
      <c r="H28" s="1372">
        <f>SUM(I28:J28)</f>
        <v>0</v>
      </c>
      <c r="I28" s="1372">
        <f>SUM(I29:I31)</f>
        <v>0</v>
      </c>
      <c r="J28" s="1361"/>
      <c r="K28" s="1370"/>
    </row>
    <row customHeight="1" ht="11.25">
      <c r="F29" s="1366" t="s">
        <v>718</v>
      </c>
      <c r="G29" s="1373" t="s">
        <v>1067</v>
      </c>
      <c r="H29" s="1372">
        <f>SUM(I29:J29)</f>
        <v>0</v>
      </c>
      <c r="I29" s="1371"/>
      <c r="J29" s="1361"/>
      <c r="K29" s="1370"/>
    </row>
    <row customHeight="1" ht="11.25">
      <c r="F30" s="1366" t="s">
        <v>385</v>
      </c>
      <c r="G30" s="1373" t="s">
        <v>1068</v>
      </c>
      <c r="H30" s="1372">
        <f>SUM(I30:J30)</f>
        <v>0</v>
      </c>
      <c r="I30" s="1371"/>
      <c r="J30" s="1361"/>
      <c r="K30" s="1370"/>
    </row>
    <row customHeight="1" ht="11.25">
      <c r="F31" s="1366" t="s">
        <v>388</v>
      </c>
      <c r="G31" s="1373" t="s">
        <v>1069</v>
      </c>
      <c r="H31" s="1372">
        <f>SUM(I31:J31)</f>
        <v>0</v>
      </c>
      <c r="I31" s="1371"/>
      <c r="J31" s="1361"/>
      <c r="K31" s="1370"/>
    </row>
    <row customHeight="1" ht="11.25">
      <c r="F32" s="1366">
        <v>3</v>
      </c>
      <c r="G32" s="820" t="s">
        <v>1070</v>
      </c>
      <c r="H32" s="1372">
        <f>SUM(I32:J32)</f>
        <v>0</v>
      </c>
      <c r="I32" s="1372">
        <f>SUM(I33:I34)</f>
        <v>0</v>
      </c>
      <c r="J32" s="1361"/>
      <c r="K32" s="1370"/>
    </row>
    <row customHeight="1" ht="33.75">
      <c r="F33" s="1366" t="s">
        <v>404</v>
      </c>
      <c r="G33" s="1373" t="s">
        <v>1071</v>
      </c>
      <c r="H33" s="1372">
        <f>SUM(I33:J33)</f>
        <v>0</v>
      </c>
      <c r="I33" s="1371"/>
      <c r="J33" s="1361"/>
      <c r="K33" s="1370"/>
    </row>
    <row customHeight="1" ht="11.25">
      <c r="F34" s="1366" t="s">
        <v>412</v>
      </c>
      <c r="G34" s="1373" t="s">
        <v>1072</v>
      </c>
      <c r="H34" s="1372">
        <f>SUM(I34:J34)</f>
        <v>0</v>
      </c>
      <c r="I34" s="1371"/>
      <c r="J34" s="1361"/>
      <c r="K34" s="1370"/>
    </row>
    <row customHeight="1" ht="11.25">
      <c r="F35" s="1366">
        <v>4</v>
      </c>
      <c r="G35" s="820" t="s">
        <v>1073</v>
      </c>
      <c r="H35" s="1372">
        <f>SUM(I35:J35)</f>
        <v>0</v>
      </c>
      <c r="I35" s="1371"/>
      <c r="J35" s="1361"/>
      <c r="K35" s="1370"/>
    </row>
    <row customHeight="1" ht="11.25">
      <c r="F36" s="1366"/>
      <c r="G36" s="823" t="s">
        <v>1074</v>
      </c>
      <c r="H36" s="1372">
        <f>SUM(I36:J36)</f>
        <v>0</v>
      </c>
      <c r="I36" s="1372">
        <f>SUM(I15,I28,I32,I35)</f>
        <v>0</v>
      </c>
      <c r="J36" s="1361"/>
      <c r="K36" s="1370"/>
    </row>
    <row customHeight="1" ht="27.75">
      <c r="F37" s="1367" t="s">
        <v>1075</v>
      </c>
      <c r="G37" s="2448" t="s">
        <v>1076</v>
      </c>
      <c r="H37" s="2448"/>
      <c r="I37" s="2448"/>
      <c r="J37" s="2448"/>
      <c r="K37" s="1370"/>
    </row>
    <row customHeight="1" ht="22.5">
      <c r="F38" s="1366" t="s">
        <v>165</v>
      </c>
      <c r="G38" s="820" t="s">
        <v>1077</v>
      </c>
      <c r="H38" s="1372">
        <f>SUM(I38:J38)</f>
        <v>0</v>
      </c>
      <c r="I38" s="1372">
        <f>SUM(I39,I44,I47)</f>
        <v>0</v>
      </c>
      <c r="J38" s="1361"/>
      <c r="K38" s="1370"/>
    </row>
    <row customHeight="1" ht="11.25">
      <c r="F39" s="1366" t="s">
        <v>1042</v>
      </c>
      <c r="G39" s="1373" t="s">
        <v>1041</v>
      </c>
      <c r="H39" s="1372">
        <f>SUM(I39:J39)</f>
        <v>0</v>
      </c>
      <c r="I39" s="1372">
        <f>SUM(I40:I43)</f>
        <v>0</v>
      </c>
      <c r="J39" s="1361"/>
      <c r="K39" s="1370"/>
    </row>
    <row customHeight="1" ht="22.5">
      <c r="F40" s="1366" t="s">
        <v>1078</v>
      </c>
      <c r="G40" s="1374" t="s">
        <v>1079</v>
      </c>
      <c r="H40" s="1372">
        <f>SUM(I40:J40)</f>
        <v>0</v>
      </c>
      <c r="I40" s="1371"/>
      <c r="J40" s="1361"/>
      <c r="K40" s="1370"/>
    </row>
    <row customHeight="1" ht="11.25">
      <c r="F41" s="1366" t="s">
        <v>1080</v>
      </c>
      <c r="G41" s="1374" t="s">
        <v>1081</v>
      </c>
      <c r="H41" s="1372">
        <f>SUM(I41:J41)</f>
        <v>0</v>
      </c>
      <c r="I41" s="1371"/>
      <c r="J41" s="1361"/>
      <c r="K41" s="1370"/>
    </row>
    <row customHeight="1" ht="11.25">
      <c r="F42" s="1366" t="s">
        <v>1082</v>
      </c>
      <c r="G42" s="1374" t="s">
        <v>1083</v>
      </c>
      <c r="H42" s="1372">
        <f>SUM(I42:J42)</f>
        <v>0</v>
      </c>
      <c r="I42" s="1371"/>
      <c r="J42" s="1361"/>
      <c r="K42" s="1370"/>
    </row>
    <row customHeight="1" ht="33.75">
      <c r="F43" s="1366" t="s">
        <v>1084</v>
      </c>
      <c r="G43" s="1374" t="s">
        <v>1085</v>
      </c>
      <c r="H43" s="1372">
        <f>SUM(I43:J43)</f>
        <v>0</v>
      </c>
      <c r="I43" s="1371"/>
      <c r="J43" s="1361"/>
      <c r="K43" s="1370"/>
    </row>
    <row customHeight="1" ht="11.25">
      <c r="F44" s="1366" t="s">
        <v>1044</v>
      </c>
      <c r="G44" s="1373" t="s">
        <v>1070</v>
      </c>
      <c r="H44" s="1372">
        <f>SUM(I44:J44)</f>
        <v>0</v>
      </c>
      <c r="I44" s="1372">
        <f>SUM(I45:I46)</f>
        <v>0</v>
      </c>
      <c r="J44" s="1361"/>
      <c r="K44" s="1370"/>
    </row>
    <row customHeight="1" ht="45">
      <c r="F45" s="1366" t="s">
        <v>1086</v>
      </c>
      <c r="G45" s="1374" t="s">
        <v>1071</v>
      </c>
      <c r="H45" s="1372">
        <f>SUM(I45:J45)</f>
        <v>0</v>
      </c>
      <c r="I45" s="1371"/>
      <c r="J45" s="1361"/>
      <c r="K45" s="1370"/>
    </row>
    <row customHeight="1" ht="11.25">
      <c r="F46" s="1366" t="s">
        <v>1087</v>
      </c>
      <c r="G46" s="1374" t="s">
        <v>1072</v>
      </c>
      <c r="H46" s="1372">
        <f>SUM(I46:J46)</f>
        <v>0</v>
      </c>
      <c r="I46" s="1371"/>
      <c r="J46" s="1361"/>
      <c r="K46" s="1370"/>
    </row>
    <row customHeight="1" ht="11.25">
      <c r="F47" s="1366" t="s">
        <v>1046</v>
      </c>
      <c r="G47" s="1373" t="s">
        <v>1088</v>
      </c>
      <c r="H47" s="1372">
        <f>SUM(I47:J47)</f>
        <v>0</v>
      </c>
      <c r="I47" s="1371"/>
      <c r="J47" s="1361"/>
      <c r="K47" s="1370"/>
    </row>
    <row customHeight="1" ht="22.5">
      <c r="F48" s="1366" t="s">
        <v>100</v>
      </c>
      <c r="G48" s="820" t="s">
        <v>1089</v>
      </c>
      <c r="H48" s="1372">
        <f>SUM(I48:J48)</f>
        <v>0</v>
      </c>
      <c r="I48" s="1372">
        <f>SUM(I49,I54,I57)</f>
        <v>0</v>
      </c>
      <c r="J48" s="1361"/>
      <c r="K48" s="1370"/>
    </row>
    <row customHeight="1" ht="11.25">
      <c r="F49" s="1366" t="s">
        <v>718</v>
      </c>
      <c r="G49" s="1373" t="s">
        <v>1041</v>
      </c>
      <c r="H49" s="1372">
        <f>SUM(I49:J49)</f>
        <v>0</v>
      </c>
      <c r="I49" s="1372">
        <f>SUM(I50:I53)</f>
        <v>0</v>
      </c>
      <c r="J49" s="1361"/>
      <c r="K49" s="1370"/>
    </row>
    <row customHeight="1" ht="22.5">
      <c r="F50" s="1366" t="s">
        <v>721</v>
      </c>
      <c r="G50" s="1374" t="s">
        <v>1079</v>
      </c>
      <c r="H50" s="1372">
        <f>SUM(I50:J50)</f>
        <v>0</v>
      </c>
      <c r="I50" s="1371"/>
      <c r="J50" s="1361"/>
      <c r="K50" s="1370"/>
    </row>
    <row customHeight="1" ht="11.25">
      <c r="F51" s="1366" t="s">
        <v>724</v>
      </c>
      <c r="G51" s="1374" t="s">
        <v>1081</v>
      </c>
      <c r="H51" s="1372">
        <f>SUM(I51:J51)</f>
        <v>0</v>
      </c>
      <c r="I51" s="1371"/>
      <c r="J51" s="1361"/>
      <c r="K51" s="1370"/>
    </row>
    <row customHeight="1" ht="11.25">
      <c r="F52" s="1366" t="s">
        <v>1090</v>
      </c>
      <c r="G52" s="1374" t="s">
        <v>1083</v>
      </c>
      <c r="H52" s="1372">
        <f>SUM(I52:J52)</f>
        <v>0</v>
      </c>
      <c r="I52" s="1371"/>
      <c r="J52" s="1361"/>
      <c r="K52" s="1370"/>
    </row>
    <row customHeight="1" ht="33.75">
      <c r="F53" s="1366" t="s">
        <v>1091</v>
      </c>
      <c r="G53" s="1374" t="s">
        <v>1085</v>
      </c>
      <c r="H53" s="1372">
        <f>SUM(I53:J53)</f>
        <v>0</v>
      </c>
      <c r="I53" s="1371"/>
      <c r="J53" s="1361"/>
      <c r="K53" s="1370"/>
    </row>
    <row customHeight="1" ht="11.25">
      <c r="F54" s="1366" t="s">
        <v>385</v>
      </c>
      <c r="G54" s="1373" t="s">
        <v>1070</v>
      </c>
      <c r="H54" s="1372">
        <f>SUM(I54:J54)</f>
        <v>0</v>
      </c>
      <c r="I54" s="1372">
        <f>SUM(I55:I56)</f>
        <v>0</v>
      </c>
      <c r="J54" s="1361"/>
      <c r="K54" s="1370"/>
    </row>
    <row customHeight="1" ht="45">
      <c r="F55" s="1366" t="s">
        <v>728</v>
      </c>
      <c r="G55" s="1374" t="s">
        <v>1071</v>
      </c>
      <c r="H55" s="1372">
        <f>SUM(I55:J55)</f>
        <v>0</v>
      </c>
      <c r="I55" s="1371"/>
      <c r="J55" s="1361"/>
      <c r="K55" s="1370"/>
    </row>
    <row customHeight="1" ht="11.25">
      <c r="F56" s="1366" t="s">
        <v>730</v>
      </c>
      <c r="G56" s="1374" t="s">
        <v>1072</v>
      </c>
      <c r="H56" s="1372">
        <f>SUM(I56:J56)</f>
        <v>0</v>
      </c>
      <c r="I56" s="1371"/>
      <c r="J56" s="1361"/>
      <c r="K56" s="1370"/>
    </row>
    <row customHeight="1" ht="11.25">
      <c r="F57" s="1366" t="s">
        <v>388</v>
      </c>
      <c r="G57" s="1373" t="s">
        <v>1088</v>
      </c>
      <c r="H57" s="1372">
        <f>SUM(I57:J57)</f>
        <v>0</v>
      </c>
      <c r="I57" s="1371"/>
      <c r="J57" s="1361"/>
      <c r="K57" s="1370"/>
    </row>
    <row customHeight="1" ht="11.25">
      <c r="F58" s="1366"/>
      <c r="G58" s="1375" t="s">
        <v>1074</v>
      </c>
      <c r="H58" s="1372">
        <f>SUM(I58:J58)</f>
        <v>0</v>
      </c>
      <c r="I58" s="1372">
        <f>SUM(I38,I48)</f>
        <v>0</v>
      </c>
      <c r="J58" s="1361"/>
      <c r="K58" s="137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FE715-F29E-78DA-B928-C937CC3BD6A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821" width="4.7109375" hidden="1" customWidth="1"/>
    <col min="2" max="2" style="12822" width="4.7109375" hidden="1" customWidth="1"/>
    <col min="3" max="4" style="12821" width="4.7109375" hidden="1" customWidth="1"/>
    <col min="5" max="5" style="12821" width="3.57421875" customWidth="1"/>
    <col min="6" max="6" style="12821" width="6.7109375" customWidth="1"/>
    <col min="7" max="7" style="12821" width="18.7109375" customWidth="1"/>
    <col min="8" max="8" style="12821" width="27.28125" customWidth="1"/>
    <col min="9" max="9" style="12821" width="18.7109375" customWidth="1"/>
    <col min="10" max="14" style="12821" width="0.8515625" hidden="1" customWidth="1"/>
    <col min="15" max="28" style="12821" width="21.7109375" customWidth="1"/>
    <col min="29" max="71" style="12821" width="0.8515625" customWidth="1"/>
    <col min="72" max="79" style="12821" width="21.7109375" hidden="1" customWidth="1"/>
    <col min="80" max="81" style="12821" width="29.140625" hidden="1" customWidth="1"/>
    <col min="82" max="89" style="12821" width="21.7109375" hidden="1" customWidth="1"/>
    <col min="90" max="102" style="12821" width="0.7109375" hidden="1" customWidth="1"/>
    <col min="103" max="114" style="12821" width="21.7109375" hidden="1" customWidth="1"/>
    <col min="115" max="178" style="12821" width="0.7109375" hidden="1" customWidth="1"/>
    <col min="179" max="179" style="12821" width="0.140625" customWidth="1"/>
    <col min="180" max="184" style="12821" width="9.140625"/>
  </cols>
  <sheetData>
    <row s="12747" customFormat="1" customHeight="1" ht="12" hidden="1">
      <c r="B1" s="1053"/>
      <c r="C1" s="1054"/>
      <c r="D1" s="1054"/>
    </row>
    <row s="12747"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2747"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2755"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2759" customFormat="1" customHeight="1" ht="18">
      <c r="B6" s="1074"/>
      <c r="E6" s="1076"/>
      <c r="F6" s="2253" t="str">
        <f>IF(org=0,"Не определено",org)</f>
        <v>АО "ДГК"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2762"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2766" customFormat="1" customHeight="1" ht="11.25" hidden="1">
      <c r="B8" s="1064"/>
      <c r="F8" s="1187"/>
      <c r="G8" s="893"/>
      <c r="H8" s="490"/>
      <c r="I8" s="490"/>
      <c r="J8" s="490"/>
      <c r="K8" s="490"/>
      <c r="L8" s="490"/>
      <c r="M8" s="1187"/>
      <c r="N8" s="1187"/>
      <c r="O8" s="2479" t="s">
        <v>1092</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1093</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2766"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2766" customFormat="1" customHeight="1" ht="11.25">
      <c r="B10" s="1064"/>
      <c r="F10" s="2455" t="s">
        <v>378</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85</v>
      </c>
      <c r="G11" s="2243" t="s">
        <v>1094</v>
      </c>
      <c r="H11" s="2466" t="s">
        <v>1095</v>
      </c>
      <c r="I11" s="2466" t="s">
        <v>1096</v>
      </c>
      <c r="J11" s="2467"/>
      <c r="K11" s="2467"/>
      <c r="L11" s="2467"/>
      <c r="M11" s="2467"/>
      <c r="N11" s="2467"/>
      <c r="O11" s="2248" t="s">
        <v>1097</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1097</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1097</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1098</v>
      </c>
      <c r="P12" s="2248"/>
      <c r="Q12" s="2248"/>
      <c r="R12" s="2248"/>
      <c r="S12" s="2248" t="s">
        <v>1099</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1100</v>
      </c>
      <c r="BU12" s="2460"/>
      <c r="BV12" s="2460"/>
      <c r="BW12" s="2461"/>
      <c r="BX12" s="2459" t="s">
        <v>1101</v>
      </c>
      <c r="BY12" s="2460"/>
      <c r="BZ12" s="2460"/>
      <c r="CA12" s="2461"/>
      <c r="CB12" s="2459" t="s">
        <v>1102</v>
      </c>
      <c r="CC12" s="2461"/>
      <c r="CD12" s="2459" t="s">
        <v>1103</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1104</v>
      </c>
      <c r="CZ12" s="2460"/>
      <c r="DA12" s="2460"/>
      <c r="DB12" s="2460"/>
      <c r="DC12" s="2460"/>
      <c r="DD12" s="2461"/>
      <c r="DE12" s="2459" t="s">
        <v>1105</v>
      </c>
      <c r="DF12" s="2461"/>
      <c r="DG12" s="2459" t="s">
        <v>1103</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1106</v>
      </c>
      <c r="P13" s="2248"/>
      <c r="Q13" s="2248"/>
      <c r="R13" s="2248"/>
      <c r="S13" s="2368" t="s">
        <v>1107</v>
      </c>
      <c r="T13" s="2463"/>
      <c r="U13" s="2167" t="s">
        <v>1108</v>
      </c>
      <c r="V13" s="2167"/>
      <c r="W13" s="2167"/>
      <c r="X13" s="2167"/>
      <c r="Y13" s="2167" t="s">
        <v>1109</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1110</v>
      </c>
      <c r="BU13" s="2463"/>
      <c r="BV13" s="2368" t="s">
        <v>1111</v>
      </c>
      <c r="BW13" s="2463"/>
      <c r="BX13" s="2368" t="s">
        <v>1112</v>
      </c>
      <c r="BY13" s="2463"/>
      <c r="BZ13" s="2368" t="s">
        <v>1113</v>
      </c>
      <c r="CA13" s="2463"/>
      <c r="CB13" s="2368" t="s">
        <v>1114</v>
      </c>
      <c r="CC13" s="2463"/>
      <c r="CD13" s="2368" t="s">
        <v>1115</v>
      </c>
      <c r="CE13" s="2463"/>
      <c r="CF13" s="2368" t="s">
        <v>1116</v>
      </c>
      <c r="CG13" s="2463"/>
      <c r="CH13" s="2459" t="s">
        <v>1117</v>
      </c>
      <c r="CI13" s="2460"/>
      <c r="CJ13" s="2460"/>
      <c r="CK13" s="2461"/>
      <c r="CL13" s="2465"/>
      <c r="CM13" s="2462"/>
      <c r="CN13" s="2462"/>
      <c r="CO13" s="2462"/>
      <c r="CP13" s="2462"/>
      <c r="CQ13" s="2462"/>
      <c r="CR13" s="2462"/>
      <c r="CS13" s="2462"/>
      <c r="CT13" s="2462"/>
      <c r="CU13" s="2462"/>
      <c r="CV13" s="2462"/>
      <c r="CW13" s="2462"/>
      <c r="CX13" s="2482"/>
      <c r="CY13" s="2368" t="s">
        <v>1118</v>
      </c>
      <c r="CZ13" s="2463"/>
      <c r="DA13" s="2368" t="s">
        <v>1119</v>
      </c>
      <c r="DB13" s="2463"/>
      <c r="DC13" s="2368" t="s">
        <v>1120</v>
      </c>
      <c r="DD13" s="2463"/>
      <c r="DE13" s="2368" t="s">
        <v>1121</v>
      </c>
      <c r="DF13" s="2463"/>
      <c r="DG13" s="2459" t="s">
        <v>1122</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1123</v>
      </c>
      <c r="P14" s="2463"/>
      <c r="Q14" s="2368" t="s">
        <v>1124</v>
      </c>
      <c r="R14" s="2463"/>
      <c r="S14" s="2369"/>
      <c r="T14" s="2249"/>
      <c r="U14" s="2368" t="s">
        <v>846</v>
      </c>
      <c r="V14" s="2463"/>
      <c r="W14" s="2368" t="s">
        <v>849</v>
      </c>
      <c r="X14" s="2463"/>
      <c r="Y14" s="2368" t="s">
        <v>846</v>
      </c>
      <c r="Z14" s="2463"/>
      <c r="AA14" s="2368" t="s">
        <v>856</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1125</v>
      </c>
      <c r="CI14" s="2463"/>
      <c r="CJ14" s="2368" t="s">
        <v>1126</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1127</v>
      </c>
      <c r="DH14" s="2463"/>
      <c r="DI14" s="2368" t="s">
        <v>1128</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836</v>
      </c>
      <c r="P16" s="2461"/>
      <c r="Q16" s="2459" t="s">
        <v>838</v>
      </c>
      <c r="R16" s="2461"/>
      <c r="S16" s="2459" t="s">
        <v>842</v>
      </c>
      <c r="T16" s="2461"/>
      <c r="U16" s="2459" t="s">
        <v>847</v>
      </c>
      <c r="V16" s="2461"/>
      <c r="W16" s="2459" t="s">
        <v>850</v>
      </c>
      <c r="X16" s="2461"/>
      <c r="Y16" s="2459" t="s">
        <v>854</v>
      </c>
      <c r="Z16" s="2461"/>
      <c r="AA16" s="2459" t="s">
        <v>857</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641</v>
      </c>
      <c r="BU16" s="2461"/>
      <c r="BV16" s="2459" t="s">
        <v>641</v>
      </c>
      <c r="BW16" s="2461"/>
      <c r="BX16" s="2459" t="s">
        <v>641</v>
      </c>
      <c r="BY16" s="2461"/>
      <c r="BZ16" s="2459" t="s">
        <v>641</v>
      </c>
      <c r="CA16" s="2461"/>
      <c r="CB16" s="2459" t="s">
        <v>1129</v>
      </c>
      <c r="CC16" s="2461"/>
      <c r="CD16" s="2459" t="s">
        <v>641</v>
      </c>
      <c r="CE16" s="2461"/>
      <c r="CF16" s="2459" t="s">
        <v>1130</v>
      </c>
      <c r="CG16" s="2461"/>
      <c r="CH16" s="2459" t="s">
        <v>1131</v>
      </c>
      <c r="CI16" s="2461"/>
      <c r="CJ16" s="2459" t="s">
        <v>1131</v>
      </c>
      <c r="CK16" s="2461"/>
      <c r="CL16" s="2465"/>
      <c r="CM16" s="2462"/>
      <c r="CN16" s="2462"/>
      <c r="CO16" s="2462"/>
      <c r="CP16" s="2462"/>
      <c r="CQ16" s="2462"/>
      <c r="CR16" s="2462"/>
      <c r="CS16" s="2462"/>
      <c r="CT16" s="2462"/>
      <c r="CU16" s="2462"/>
      <c r="CV16" s="2462"/>
      <c r="CW16" s="2462"/>
      <c r="CX16" s="2482"/>
      <c r="CY16" s="2368" t="s">
        <v>641</v>
      </c>
      <c r="CZ16" s="2463"/>
      <c r="DA16" s="2368" t="s">
        <v>641</v>
      </c>
      <c r="DB16" s="2463"/>
      <c r="DC16" s="2368" t="s">
        <v>641</v>
      </c>
      <c r="DD16" s="2463"/>
      <c r="DE16" s="2459" t="s">
        <v>1129</v>
      </c>
      <c r="DF16" s="2461"/>
      <c r="DG16" s="2459" t="s">
        <v>1132</v>
      </c>
      <c r="DH16" s="2461"/>
      <c r="DI16" s="2459" t="s">
        <v>1132</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1133</v>
      </c>
      <c r="P17" s="1325" t="s">
        <v>1134</v>
      </c>
      <c r="Q17" s="1325" t="s">
        <v>1133</v>
      </c>
      <c r="R17" s="1325" t="s">
        <v>1134</v>
      </c>
      <c r="S17" s="1325" t="s">
        <v>1133</v>
      </c>
      <c r="T17" s="1325" t="s">
        <v>1134</v>
      </c>
      <c r="U17" s="1325" t="s">
        <v>1133</v>
      </c>
      <c r="V17" s="1325" t="s">
        <v>1134</v>
      </c>
      <c r="W17" s="1325" t="s">
        <v>1133</v>
      </c>
      <c r="X17" s="1325" t="s">
        <v>1134</v>
      </c>
      <c r="Y17" s="1325" t="s">
        <v>1133</v>
      </c>
      <c r="Z17" s="1325" t="s">
        <v>1134</v>
      </c>
      <c r="AA17" s="1325" t="s">
        <v>1133</v>
      </c>
      <c r="AB17" s="1325" t="s">
        <v>1134</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1133</v>
      </c>
      <c r="BU17" s="1325" t="s">
        <v>1134</v>
      </c>
      <c r="BV17" s="1325" t="s">
        <v>1133</v>
      </c>
      <c r="BW17" s="1325" t="s">
        <v>1134</v>
      </c>
      <c r="BX17" s="1325" t="s">
        <v>1133</v>
      </c>
      <c r="BY17" s="1325" t="s">
        <v>1134</v>
      </c>
      <c r="BZ17" s="1325" t="s">
        <v>1133</v>
      </c>
      <c r="CA17" s="1325" t="s">
        <v>1134</v>
      </c>
      <c r="CB17" s="1325" t="s">
        <v>1133</v>
      </c>
      <c r="CC17" s="1325" t="s">
        <v>1134</v>
      </c>
      <c r="CD17" s="1325" t="s">
        <v>1133</v>
      </c>
      <c r="CE17" s="1325" t="s">
        <v>1134</v>
      </c>
      <c r="CF17" s="1325" t="s">
        <v>1133</v>
      </c>
      <c r="CG17" s="1325" t="s">
        <v>1134</v>
      </c>
      <c r="CH17" s="1325" t="s">
        <v>1133</v>
      </c>
      <c r="CI17" s="1325" t="s">
        <v>1134</v>
      </c>
      <c r="CJ17" s="1325" t="s">
        <v>1133</v>
      </c>
      <c r="CK17" s="1325" t="s">
        <v>1134</v>
      </c>
      <c r="CL17" s="2465"/>
      <c r="CM17" s="2462"/>
      <c r="CN17" s="2462"/>
      <c r="CO17" s="2462"/>
      <c r="CP17" s="2462"/>
      <c r="CQ17" s="2462"/>
      <c r="CR17" s="2462"/>
      <c r="CS17" s="2462"/>
      <c r="CT17" s="2462"/>
      <c r="CU17" s="2462"/>
      <c r="CV17" s="2462"/>
      <c r="CW17" s="2462"/>
      <c r="CX17" s="2482"/>
      <c r="CY17" s="1325" t="s">
        <v>1133</v>
      </c>
      <c r="CZ17" s="1325" t="s">
        <v>1134</v>
      </c>
      <c r="DA17" s="1325" t="s">
        <v>1133</v>
      </c>
      <c r="DB17" s="1325" t="s">
        <v>1134</v>
      </c>
      <c r="DC17" s="1325" t="s">
        <v>1133</v>
      </c>
      <c r="DD17" s="1325" t="s">
        <v>1134</v>
      </c>
      <c r="DE17" s="1325" t="s">
        <v>1133</v>
      </c>
      <c r="DF17" s="1325" t="s">
        <v>1134</v>
      </c>
      <c r="DG17" s="1325" t="s">
        <v>1133</v>
      </c>
      <c r="DH17" s="1325" t="s">
        <v>1134</v>
      </c>
      <c r="DI17" s="1325" t="s">
        <v>1133</v>
      </c>
      <c r="DJ17" s="1325" t="s">
        <v>1134</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2801"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2801"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2747" customFormat="1" customHeight="1" ht="11.25" hidden="1">
      <c r="B20" s="1070"/>
      <c r="D20" s="1054"/>
      <c r="E20" s="1069"/>
      <c r="F20" s="1331" t="s">
        <v>456</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2747"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2747" customFormat="1" customHeight="1" ht="12">
      <c r="A22" s="1071"/>
      <c r="B22" s="1071"/>
      <c r="C22" s="1071"/>
      <c r="D22" s="1071"/>
      <c r="E22" s="1071"/>
      <c r="FX22" s="1071"/>
      <c r="FY22" s="1071"/>
      <c r="FZ22" s="1071"/>
      <c r="GA22" s="1071"/>
      <c r="GB22" s="1071"/>
    </row>
    <row s="12817"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EA4BA-4A0F-EE2C-99EE-F5891589CDE3}" mc:Ignorable="x14ac xr xr2 xr3">
  <sheetPr>
    <tabColor theme="2" tint="-0.1"/>
  </sheetPr>
  <dimension ref="A1:AE22"/>
  <sheetViews>
    <sheetView topLeftCell="C4" showGridLines="0" zoomScale="90" workbookViewId="0">
      <selection activeCell="R16" sqref="R16"/>
    </sheetView>
  </sheetViews>
  <sheetFormatPr defaultColWidth="10.57421875" customHeight="1" defaultRowHeight="15"/>
  <cols>
    <col min="1" max="1" style="11503" width="9.140625" hidden="1" customWidth="1"/>
    <col min="2" max="2" style="11506" width="9.140625" hidden="1" customWidth="1"/>
    <col min="3" max="3" style="12636" width="4.7109375" customWidth="1"/>
    <col min="4" max="4" style="11506" width="6.28125" customWidth="1"/>
    <col min="5" max="5" style="11506" width="36.7109375" customWidth="1"/>
    <col min="6" max="6" style="11506" width="9.57421875" customWidth="1"/>
    <col min="7" max="7" style="11055" width="42.421875" hidden="1" customWidth="1"/>
    <col min="8" max="8" style="11506" width="40.7109375" customWidth="1"/>
    <col min="9" max="21" style="12241" width="42.421875" customWidth="1"/>
    <col min="22" max="22" style="11056" width="93.421875" customWidth="1"/>
    <col min="23" max="30" style="11506" width="10.57421875"/>
    <col min="31" max="31" style="12637" width="10.57421875"/>
  </cols>
  <sheetData>
    <row s="11056" customFormat="1" customHeight="1" ht="15" hidden="1">
      <c r="C1" s="802"/>
      <c r="H1" s="547">
        <v>4</v>
      </c>
      <c r="I1" s="6321"/>
      <c r="J1" s="6321"/>
      <c r="K1" s="6321"/>
      <c r="L1" s="6321"/>
      <c r="M1" s="6321"/>
      <c r="N1" s="6321"/>
      <c r="O1" s="6321"/>
      <c r="P1" s="6321"/>
      <c r="Q1" s="6321"/>
      <c r="R1" s="6321"/>
      <c r="S1" s="6321"/>
      <c r="T1" s="6321"/>
      <c r="U1" s="6321"/>
      <c r="AE1" s="550"/>
    </row>
    <row customHeight="1" ht="22.5" hidden="1">
      <c r="C2" s="2067" t="s">
        <v>101</v>
      </c>
      <c r="D2" s="669"/>
      <c r="E2" s="793"/>
      <c r="F2" s="1898" t="str">
        <f>IF(TEMPLATE_SPHERE="HEAT","Гкал/час","тыс. куб. м/сутки")</f>
        <v>Гкал/час</v>
      </c>
      <c r="G2" s="810"/>
      <c r="H2" s="810"/>
      <c r="I2" s="6685"/>
      <c r="J2" s="6685"/>
      <c r="K2" s="6685"/>
      <c r="L2" s="6685"/>
      <c r="M2" s="6685"/>
      <c r="N2" s="6685"/>
      <c r="O2" s="6685"/>
      <c r="P2" s="6685"/>
      <c r="Q2" s="6685"/>
      <c r="R2" s="6685"/>
      <c r="S2" s="6685"/>
      <c r="T2" s="6685"/>
      <c r="U2" s="6685"/>
      <c r="V2" s="419"/>
    </row>
    <row s="11056" customFormat="1" customHeight="1" ht="15" hidden="1">
      <c r="C3" s="802"/>
      <c r="I3" s="6321"/>
      <c r="J3" s="6321"/>
      <c r="K3" s="6321"/>
      <c r="L3" s="6321"/>
      <c r="M3" s="6321"/>
      <c r="N3" s="6321"/>
      <c r="O3" s="6321"/>
      <c r="P3" s="6321"/>
      <c r="Q3" s="6321"/>
      <c r="R3" s="6321"/>
      <c r="S3" s="6321"/>
      <c r="T3" s="6321"/>
      <c r="U3" s="6321"/>
      <c r="AE3" s="550"/>
    </row>
    <row customHeight="1" ht="15">
      <c r="C4" s="306"/>
      <c r="D4" s="639"/>
      <c r="E4" s="639"/>
      <c r="F4" s="639"/>
      <c r="G4" s="639"/>
      <c r="H4" s="639"/>
      <c r="I4" s="6300"/>
      <c r="J4" s="6300"/>
      <c r="K4" s="6300"/>
      <c r="L4" s="6300"/>
      <c r="M4" s="6300"/>
      <c r="N4" s="6300"/>
      <c r="O4" s="6300"/>
      <c r="P4" s="6300"/>
      <c r="Q4" s="6300"/>
      <c r="R4" s="6300"/>
      <c r="S4" s="6300"/>
      <c r="T4" s="6300"/>
      <c r="U4" s="6300"/>
    </row>
    <row customHeight="1" ht="37.5">
      <c r="C5" s="306"/>
      <c r="D5" s="22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76"/>
      <c r="F5" s="2276"/>
      <c r="G5" s="2276"/>
      <c r="H5" s="2276"/>
      <c r="I5" s="6333"/>
      <c r="J5" s="6333"/>
      <c r="K5" s="6333"/>
      <c r="L5" s="6333"/>
      <c r="M5" s="6333"/>
      <c r="N5" s="6333"/>
      <c r="O5" s="6333"/>
      <c r="P5" s="6333"/>
      <c r="Q5" s="6333"/>
      <c r="R5" s="6333"/>
      <c r="S5" s="6333"/>
      <c r="T5" s="6333"/>
      <c r="U5" s="6333"/>
      <c r="V5" s="667"/>
    </row>
    <row customHeight="1" ht="15">
      <c r="C6" s="306"/>
      <c r="D6" s="2214" t="str">
        <f>IF(org=0,"Не определено",org)</f>
        <v>АО "ДГК"</v>
      </c>
      <c r="E6" s="2214"/>
      <c r="F6" s="2214"/>
      <c r="G6" s="2214"/>
      <c r="H6" s="2214"/>
      <c r="I6" s="6335"/>
      <c r="J6" s="6335"/>
      <c r="K6" s="6335"/>
      <c r="L6" s="6335"/>
      <c r="M6" s="6335"/>
      <c r="N6" s="6335"/>
      <c r="O6" s="6335"/>
      <c r="P6" s="6335"/>
      <c r="Q6" s="6335"/>
      <c r="R6" s="6335"/>
      <c r="S6" s="6335"/>
      <c r="T6" s="6335"/>
      <c r="U6" s="6335"/>
      <c r="V6" s="667"/>
    </row>
    <row s="11055" customFormat="1" customHeight="1" ht="15">
      <c r="A7" s="889"/>
      <c r="C7" s="306"/>
      <c r="D7" s="806"/>
      <c r="E7" s="806"/>
      <c r="F7" s="806"/>
      <c r="G7" s="806"/>
      <c r="H7" s="882"/>
      <c r="I7" s="7107" t="s">
        <v>18</v>
      </c>
      <c r="J7" s="7107" t="s">
        <v>18</v>
      </c>
      <c r="K7" s="7107" t="s">
        <v>18</v>
      </c>
      <c r="L7" s="7107" t="s">
        <v>18</v>
      </c>
      <c r="M7" s="7107" t="s">
        <v>18</v>
      </c>
      <c r="N7" s="7107" t="s">
        <v>18</v>
      </c>
      <c r="O7" s="7107" t="s">
        <v>18</v>
      </c>
      <c r="P7" s="7107" t="s">
        <v>18</v>
      </c>
      <c r="Q7" s="7107" t="s">
        <v>18</v>
      </c>
      <c r="R7" s="7107" t="s">
        <v>18</v>
      </c>
      <c r="S7" s="7107" t="s">
        <v>18</v>
      </c>
      <c r="T7" s="7107" t="s">
        <v>18</v>
      </c>
      <c r="U7" s="7107" t="s">
        <v>18</v>
      </c>
      <c r="V7" s="667"/>
      <c r="AE7" s="805"/>
    </row>
    <row customHeight="1" ht="0.75">
      <c r="C8" s="306"/>
      <c r="D8" s="639"/>
      <c r="E8" s="639"/>
      <c r="F8" s="639"/>
      <c r="G8" s="639"/>
      <c r="H8" s="667" t="s">
        <v>171</v>
      </c>
      <c r="I8" s="6300" t="s">
        <v>176</v>
      </c>
      <c r="J8" s="6300" t="s">
        <v>178</v>
      </c>
      <c r="K8" s="6300" t="s">
        <v>180</v>
      </c>
      <c r="L8" s="6300" t="s">
        <v>182</v>
      </c>
      <c r="M8" s="6300" t="s">
        <v>184</v>
      </c>
      <c r="N8" s="6300" t="s">
        <v>186</v>
      </c>
      <c r="O8" s="6300" t="s">
        <v>188</v>
      </c>
      <c r="P8" s="6300" t="s">
        <v>190</v>
      </c>
      <c r="Q8" s="6300" t="s">
        <v>192</v>
      </c>
      <c r="R8" s="6300" t="s">
        <v>194</v>
      </c>
      <c r="S8" s="6300" t="s">
        <v>196</v>
      </c>
      <c r="T8" s="6300" t="s">
        <v>198</v>
      </c>
      <c r="U8" s="6300" t="s">
        <v>200</v>
      </c>
    </row>
    <row customHeight="1" ht="15">
      <c r="C9" s="306"/>
      <c r="D9" s="841"/>
      <c r="E9" s="2396" t="s">
        <v>161</v>
      </c>
      <c r="F9" s="2397"/>
      <c r="G9" s="946" t="str">
        <f>IF(G8="","",INDEX(DIFFERENTIATION_UNMERGE_VD,MATCH(G8,DIFFERENTIATION_ID_DIFF,0)))</f>
        <v/>
      </c>
      <c r="H9" s="946" t="str">
        <f>IF(H8="","",INDEX(DIFFERENTIATION_UNMERGE_VD,MATCH(H8,DIFFERENTIATION_ID_DIFF,0)))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6767"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6767" t="str">
        <f>IF(J8="","",INDEX(DIFFERENTIATION_UNMERGE_VD,MATCH(J8,DIFFERENTIATION_ID_DIFF,0)))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6767"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6767" t="str">
        <f>IF(L8="","",INDEX(DIFFERENTIATION_UNMERGE_VD,MATCH(L8,DIFFERENTIATION_ID_DIFF,0)))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6767" t="str">
        <f>IF(M8="","",INDEX(DIFFERENTIATION_UNMERGE_VD,MATCH(M8,DIFFERENTIATION_ID_DIFF,0)))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6767" t="str">
        <f>IF(N8="","",INDEX(DIFFERENTIATION_UNMERGE_VD,MATCH(N8,DIFFERENTIATION_ID_DIFF,0)))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9" s="6767" t="str">
        <f>IF(O8="","",INDEX(DIFFERENTIATION_UNMERGE_VD,MATCH(O8,DIFFERENTIATION_ID_DIFF,0)))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6767" t="str">
        <f>IF(P8="","",INDEX(DIFFERENTIATION_UNMERGE_VD,MATCH(P8,DIFFERENTIATION_ID_DIFF,0)))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9" s="6767" t="str">
        <f>IF(Q8="","",INDEX(DIFFERENTIATION_UNMERGE_VD,MATCH(Q8,DIFFERENTIATION_ID_DIFF,0)))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6767" t="str">
        <f>IF(R8="","",INDEX(DIFFERENTIATION_UNMERGE_VD,MATCH(R8,DIFFERENTIATION_ID_DIFF,0)))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9" s="6767" t="str">
        <f>IF(S8="","",INDEX(DIFFERENTIATION_UNMERGE_VD,MATCH(S8,DIFFERENTIATION_ID_DIFF,0)))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6767" t="str">
        <f>IF(T8="","",INDEX(DIFFERENTIATION_UNMERGE_VD,MATCH(T8,DIFFERENTIATION_ID_DIFF,0)))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9" s="6767" t="str">
        <f>IF(U8="","",INDEX(DIFFERENTIATION_UNMERGE_VD,MATCH(U8,DIFFERENTIATION_ID_DIFF,0)))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2167" t="s">
        <v>379</v>
      </c>
    </row>
    <row s="11055" customFormat="1" customHeight="1" ht="15">
      <c r="A10" s="889"/>
      <c r="C10" s="306"/>
      <c r="D10" s="841"/>
      <c r="E10" s="2396" t="s">
        <v>647</v>
      </c>
      <c r="F10" s="2397"/>
      <c r="G10" s="946" t="str">
        <f>IF(G8="","",INDEX(DIFFERENTIATION_UNMERGE_AREA,MATCH(G8,DIFFERENTIATION_ID_DIFF,0)))</f>
        <v/>
      </c>
      <c r="H10" s="946" t="str">
        <f>IF(H8="","",INDEX(DIFFERENTIATION_UNMERGE_AREA,MATCH(H8,DIFFERENTIATION_ID_DIFF,0)))</f>
        <v>Территория 1</v>
      </c>
      <c r="I10" s="6767" t="str">
        <f>IF(I8="","",INDEX(DIFFERENTIATION_UNMERGE_AREA,MATCH(I8,DIFFERENTIATION_ID_DIFF,0)))</f>
        <v>Территория 2</v>
      </c>
      <c r="J10" s="6767" t="str">
        <f>IF(J8="","",INDEX(DIFFERENTIATION_UNMERGE_AREA,MATCH(J8,DIFFERENTIATION_ID_DIFF,0)))</f>
        <v>Территория 3</v>
      </c>
      <c r="K10" s="6767" t="str">
        <f>IF(K8="","",INDEX(DIFFERENTIATION_UNMERGE_AREA,MATCH(K8,DIFFERENTIATION_ID_DIFF,0)))</f>
        <v>Территория 3</v>
      </c>
      <c r="L10" s="6767" t="str">
        <f>IF(L8="","",INDEX(DIFFERENTIATION_UNMERGE_AREA,MATCH(L8,DIFFERENTIATION_ID_DIFF,0)))</f>
        <v>Территория 3</v>
      </c>
      <c r="M10" s="6767" t="str">
        <f>IF(M8="","",INDEX(DIFFERENTIATION_UNMERGE_AREA,MATCH(M8,DIFFERENTIATION_ID_DIFF,0)))</f>
        <v>Территория 3</v>
      </c>
      <c r="N10" s="6767" t="str">
        <f>IF(N8="","",INDEX(DIFFERENTIATION_UNMERGE_AREA,MATCH(N8,DIFFERENTIATION_ID_DIFF,0)))</f>
        <v>Территория 4</v>
      </c>
      <c r="O10" s="6767" t="str">
        <f>IF(O8="","",INDEX(DIFFERENTIATION_UNMERGE_AREA,MATCH(O8,DIFFERENTIATION_ID_DIFF,0)))</f>
        <v>Территория 4</v>
      </c>
      <c r="P10" s="6767" t="str">
        <f>IF(P8="","",INDEX(DIFFERENTIATION_UNMERGE_AREA,MATCH(P8,DIFFERENTIATION_ID_DIFF,0)))</f>
        <v>Территория 5</v>
      </c>
      <c r="Q10" s="6767" t="str">
        <f>IF(Q8="","",INDEX(DIFFERENTIATION_UNMERGE_AREA,MATCH(Q8,DIFFERENTIATION_ID_DIFF,0)))</f>
        <v>Территория 6</v>
      </c>
      <c r="R10" s="6767" t="str">
        <f>IF(R8="","",INDEX(DIFFERENTIATION_UNMERGE_AREA,MATCH(R8,DIFFERENTIATION_ID_DIFF,0)))</f>
        <v>Территория 7</v>
      </c>
      <c r="S10" s="6767" t="str">
        <f>IF(S8="","",INDEX(DIFFERENTIATION_UNMERGE_AREA,MATCH(S8,DIFFERENTIATION_ID_DIFF,0)))</f>
        <v>Территория 7</v>
      </c>
      <c r="T10" s="6767" t="str">
        <f>IF(T8="","",INDEX(DIFFERENTIATION_UNMERGE_AREA,MATCH(T8,DIFFERENTIATION_ID_DIFF,0)))</f>
        <v>Территория 8</v>
      </c>
      <c r="U10" s="6767" t="str">
        <f>IF(U8="","",INDEX(DIFFERENTIATION_UNMERGE_AREA,MATCH(U8,DIFFERENTIATION_ID_DIFF,0)))</f>
        <v>Территория 9</v>
      </c>
      <c r="V10" s="2167"/>
      <c r="AE10" s="805"/>
    </row>
    <row s="11055" customFormat="1" customHeight="1" ht="15">
      <c r="A11" s="889"/>
      <c r="C11" s="306"/>
      <c r="D11" s="841"/>
      <c r="E11" s="2396" t="s">
        <v>648</v>
      </c>
      <c r="F11" s="2397"/>
      <c r="G11" s="946" t="str">
        <f>IF(G8="","",INDEX(DIFFERENTIATION_UNMERGE_SYSTEM,MATCH(G8,DIFFERENTIATION_ID_DIFF,0)))</f>
        <v/>
      </c>
      <c r="H11" s="946" t="str">
        <f>IF(H8="","",INDEX(DIFFERENTIATION_UNMERGE_SYSTEM,MATCH(H8,DIFFERENTIATION_ID_DIFF,0)))</f>
        <v>Амурская ТЭЦ-1 (г. Амурск)</v>
      </c>
      <c r="I11" s="6767" t="str">
        <f>IF(I8="","",INDEX(DIFFERENTIATION_UNMERGE_SYSTEM,MATCH(I8,DIFFERENTIATION_ID_DIFF,0)))</f>
        <v>Николаевская ТЭЦ (г. Николаевск)</v>
      </c>
      <c r="J11" s="6767" t="str">
        <f>IF(J8="","",INDEX(DIFFERENTIATION_UNMERGE_SYSTEM,MATCH(J8,DIFFERENTIATION_ID_DIFF,0)))</f>
        <v>Комсомольская ТЭЦ-1 (г. Комсомольск)</v>
      </c>
      <c r="K11" s="6767" t="str">
        <f>IF(K8="","",INDEX(DIFFERENTIATION_UNMERGE_SYSTEM,MATCH(K8,DIFFERENTIATION_ID_DIFF,0)))</f>
        <v>Комсомольская ТЭЦ-2 (г. Комсомольск)</v>
      </c>
      <c r="L11" s="6767" t="str">
        <f>IF(L8="","",INDEX(DIFFERENTIATION_UNMERGE_SYSTEM,MATCH(L8,DIFFERENTIATION_ID_DIFF,0)))</f>
        <v>Комсомольская ТЭЦ-3 (г. Комсомольск)</v>
      </c>
      <c r="M11" s="6767" t="str">
        <f>IF(M8="","",INDEX(DIFFERENTIATION_UNMERGE_SYSTEM,MATCH(M8,DIFFERENTIATION_ID_DIFF,0)))</f>
        <v>ВК "Дземги" (г. Комсомольск)</v>
      </c>
      <c r="N11" s="6767" t="str">
        <f>IF(N8="","",INDEX(DIFFERENTIATION_UNMERGE_SYSTEM,MATCH(N8,DIFFERENTIATION_ID_DIFF,0)))</f>
        <v>ТЭЦ в г. Советская Гавань (г. Советская Гавань)</v>
      </c>
      <c r="O11" s="6767" t="str">
        <f>IF(O8="","",INDEX(DIFFERENTIATION_UNMERGE_SYSTEM,MATCH(O8,DIFFERENTIATION_ID_DIFF,0)))</f>
        <v>Майская котельная </v>
      </c>
      <c r="P11" s="6767" t="str">
        <f>IF(P8="","",INDEX(DIFFERENTIATION_UNMERGE_SYSTEM,MATCH(P8,DIFFERENTIATION_ID_DIFF,0)))</f>
        <v>Ургальская котельная (п. Чегдомын)</v>
      </c>
      <c r="Q11" s="6767" t="str">
        <f>IF(Q8="","",INDEX(DIFFERENTIATION_UNMERGE_SYSTEM,MATCH(Q8,DIFFERENTIATION_ID_DIFF,0)))</f>
        <v>Хабаровская ТЭЦ-1 (г. Хабаровск, с. Ильинское, п. Корфовский, с. Ракитненское)</v>
      </c>
      <c r="R11" s="6767" t="str">
        <f>IF(R8="","",INDEX(DIFFERENTIATION_UNMERGE_SYSTEM,MATCH(R8,DIFFERENTIATION_ID_DIFF,0)))</f>
        <v>Хабаровская ТЭЦ-2 (г. Хабаровск)</v>
      </c>
      <c r="S11" s="6767" t="str">
        <f>IF(S8="","",INDEX(DIFFERENTIATION_UNMERGE_SYSTEM,MATCH(S8,DIFFERENTIATION_ID_DIFF,0)))</f>
        <v>Котельная в Волочаевском городке</v>
      </c>
      <c r="T11" s="6767" t="str">
        <f>IF(T8="","",INDEX(DIFFERENTIATION_UNMERGE_SYSTEM,MATCH(T8,DIFFERENTIATION_ID_DIFF,0)))</f>
        <v>Хабаровская ТЭЦ-3 (г. Хабаровск, с. Восточное, с. Мирненское, с. Тополевское)</v>
      </c>
      <c r="U11" s="6767" t="str">
        <f>IF(U8="","",INDEX(DIFFERENTIATION_UNMERGE_SYSTEM,MATCH(U8,DIFFERENTIATION_ID_DIFF,0)))</f>
        <v>Котельная в с. Некрасовка (с. Дружбинское, с. Некрасовское) </v>
      </c>
      <c r="V11" s="2167"/>
      <c r="AE11" s="805"/>
    </row>
    <row s="11055" customFormat="1" customHeight="1" ht="15">
      <c r="A12" s="889"/>
      <c r="C12" s="306"/>
      <c r="D12" s="2398" t="s">
        <v>378</v>
      </c>
      <c r="E12" s="2399"/>
      <c r="F12" s="2399"/>
      <c r="G12" s="1017"/>
      <c r="H12" s="1017"/>
      <c r="I12" s="6348"/>
      <c r="J12" s="6348"/>
      <c r="K12" s="6348"/>
      <c r="L12" s="6348"/>
      <c r="M12" s="6348"/>
      <c r="N12" s="6348"/>
      <c r="O12" s="6348"/>
      <c r="P12" s="6348"/>
      <c r="Q12" s="6348"/>
      <c r="R12" s="6348"/>
      <c r="S12" s="6348"/>
      <c r="T12" s="6348"/>
      <c r="U12" s="6348"/>
      <c r="V12" s="2167"/>
      <c r="AE12" s="805"/>
    </row>
    <row customHeight="1" ht="33.75">
      <c r="C13" s="306"/>
      <c r="D13" s="891" t="s">
        <v>85</v>
      </c>
      <c r="E13" s="890" t="s">
        <v>380</v>
      </c>
      <c r="F13" s="890" t="s">
        <v>649</v>
      </c>
      <c r="G13" s="938" t="s">
        <v>381</v>
      </c>
      <c r="H13" s="884" t="s">
        <v>381</v>
      </c>
      <c r="I13" s="6774" t="s">
        <v>381</v>
      </c>
      <c r="J13" s="6774" t="s">
        <v>381</v>
      </c>
      <c r="K13" s="6774" t="s">
        <v>381</v>
      </c>
      <c r="L13" s="6774" t="s">
        <v>381</v>
      </c>
      <c r="M13" s="6774" t="s">
        <v>381</v>
      </c>
      <c r="N13" s="6774" t="s">
        <v>381</v>
      </c>
      <c r="O13" s="6774" t="s">
        <v>381</v>
      </c>
      <c r="P13" s="6774" t="s">
        <v>381</v>
      </c>
      <c r="Q13" s="6774" t="s">
        <v>381</v>
      </c>
      <c r="R13" s="6774" t="s">
        <v>381</v>
      </c>
      <c r="S13" s="6774" t="s">
        <v>381</v>
      </c>
      <c r="T13" s="6774" t="s">
        <v>381</v>
      </c>
      <c r="U13" s="6774" t="s">
        <v>381</v>
      </c>
      <c r="V13" s="2167"/>
    </row>
    <row customHeight="1" ht="15" hidden="1">
      <c r="C14" s="306"/>
      <c r="D14" s="723" t="s">
        <v>165</v>
      </c>
      <c r="E14" s="723" t="s">
        <v>100</v>
      </c>
      <c r="F14" s="723" t="s">
        <v>87</v>
      </c>
      <c r="G14" s="789" t="str">
        <f>G1&amp;".1"</f>
        <v>.1</v>
      </c>
      <c r="H14" s="789" t="str">
        <f>H1&amp;".1"</f>
        <v>4.1</v>
      </c>
      <c r="I14" s="6776" t="str">
        <f>I1&amp;".1"</f>
        <v>.1</v>
      </c>
      <c r="J14" s="6776" t="str">
        <f>J1&amp;".1"</f>
        <v>.1</v>
      </c>
      <c r="K14" s="6776" t="str">
        <f>K1&amp;".1"</f>
        <v>.1</v>
      </c>
      <c r="L14" s="6776" t="str">
        <f>L1&amp;".1"</f>
        <v>.1</v>
      </c>
      <c r="M14" s="6776" t="str">
        <f>M1&amp;".1"</f>
        <v>.1</v>
      </c>
      <c r="N14" s="6776" t="str">
        <f>N1&amp;".1"</f>
        <v>.1</v>
      </c>
      <c r="O14" s="6776" t="str">
        <f>O1&amp;".1"</f>
        <v>.1</v>
      </c>
      <c r="P14" s="6776" t="str">
        <f>P1&amp;".1"</f>
        <v>.1</v>
      </c>
      <c r="Q14" s="6776" t="str">
        <f>Q1&amp;".1"</f>
        <v>.1</v>
      </c>
      <c r="R14" s="6776" t="str">
        <f>R1&amp;".1"</f>
        <v>.1</v>
      </c>
      <c r="S14" s="6776" t="str">
        <f>S1&amp;".1"</f>
        <v>.1</v>
      </c>
      <c r="T14" s="6776" t="str">
        <f>T1&amp;".1"</f>
        <v>.1</v>
      </c>
      <c r="U14" s="6776" t="str">
        <f>U1&amp;".1"</f>
        <v>.1</v>
      </c>
      <c r="V14" s="419"/>
    </row>
    <row customHeight="1" ht="22.5">
      <c r="A15" s="635"/>
      <c r="C15" s="656"/>
      <c r="D15" s="651">
        <v>1</v>
      </c>
      <c r="E15" s="2069" t="str">
        <f>TP_P_A</f>
        <v>Количество поданных заявок</v>
      </c>
      <c r="F15" s="651" t="s">
        <v>1135</v>
      </c>
      <c r="G15" s="815"/>
      <c r="H15" s="815">
        <v>1</v>
      </c>
      <c r="I15" s="7112">
        <v>0</v>
      </c>
      <c r="J15" s="7112">
        <v>0</v>
      </c>
      <c r="K15" s="7112">
        <v>2</v>
      </c>
      <c r="L15" s="7112">
        <v>1</v>
      </c>
      <c r="M15" s="7112">
        <v>1</v>
      </c>
      <c r="N15" s="7112">
        <v>0</v>
      </c>
      <c r="O15" s="7112">
        <v>0</v>
      </c>
      <c r="P15" s="7112">
        <v>0</v>
      </c>
      <c r="Q15" s="7112">
        <v>4</v>
      </c>
      <c r="R15" s="7112">
        <v>5</v>
      </c>
      <c r="S15" s="7112">
        <v>0</v>
      </c>
      <c r="T15" s="7112">
        <v>15</v>
      </c>
      <c r="U15" s="7112">
        <v>0</v>
      </c>
      <c r="V15" s="33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635"/>
      <c r="C16" s="656"/>
      <c r="D16" s="651">
        <v>2</v>
      </c>
      <c r="E16" s="2069" t="str">
        <f>TP_P_B</f>
        <v>Количество рассмотренных заявок</v>
      </c>
      <c r="F16" s="651" t="s">
        <v>1135</v>
      </c>
      <c r="G16" s="815"/>
      <c r="H16" s="815">
        <v>2</v>
      </c>
      <c r="I16" s="7112">
        <v>0</v>
      </c>
      <c r="J16" s="7112">
        <v>2</v>
      </c>
      <c r="K16" s="7112">
        <v>6</v>
      </c>
      <c r="L16" s="7112">
        <v>4</v>
      </c>
      <c r="M16" s="7112">
        <v>4</v>
      </c>
      <c r="N16" s="7112">
        <v>0</v>
      </c>
      <c r="O16" s="7112">
        <v>0</v>
      </c>
      <c r="P16" s="7112">
        <v>0</v>
      </c>
      <c r="Q16" s="7112">
        <v>8</v>
      </c>
      <c r="R16" s="7112">
        <v>2</v>
      </c>
      <c r="S16" s="7112">
        <v>0</v>
      </c>
      <c r="T16" s="7112">
        <v>7</v>
      </c>
      <c r="U16" s="7112">
        <v>0</v>
      </c>
      <c r="V16" s="33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635"/>
      <c r="C17" s="656"/>
      <c r="D17" s="651">
        <v>3</v>
      </c>
      <c r="E17" s="206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51" t="s">
        <v>1135</v>
      </c>
      <c r="G17" s="815"/>
      <c r="H17" s="815">
        <v>0</v>
      </c>
      <c r="I17" s="7112">
        <v>0</v>
      </c>
      <c r="J17" s="7112">
        <v>0</v>
      </c>
      <c r="K17" s="7112">
        <v>0</v>
      </c>
      <c r="L17" s="7112">
        <v>0</v>
      </c>
      <c r="M17" s="7112">
        <v>0</v>
      </c>
      <c r="N17" s="7112">
        <v>0</v>
      </c>
      <c r="O17" s="7112">
        <v>0</v>
      </c>
      <c r="P17" s="7112">
        <v>0</v>
      </c>
      <c r="Q17" s="7112">
        <v>1</v>
      </c>
      <c r="R17" s="7112">
        <v>0</v>
      </c>
      <c r="S17" s="7112">
        <v>0</v>
      </c>
      <c r="T17" s="7112">
        <v>5</v>
      </c>
      <c r="U17" s="7112">
        <v>0</v>
      </c>
      <c r="V17" s="338" t="str">
        <f>TP_P_NOTE_V</f>
        <v>Указывается количество заявок с решением об отказе в течение отчетного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системе теплоснабжения</v>
      </c>
      <c r="F18" s="651" t="s">
        <v>384</v>
      </c>
      <c r="G18" s="816"/>
      <c r="H18" s="816"/>
      <c r="I18" s="6698"/>
      <c r="J18" s="6698"/>
      <c r="K18" s="6698"/>
      <c r="L18" s="6698"/>
      <c r="M18" s="6698"/>
      <c r="N18" s="6698"/>
      <c r="O18" s="6698"/>
      <c r="P18" s="6698"/>
      <c r="Q18" s="6761" t="s">
        <v>1136</v>
      </c>
      <c r="R18" s="6698"/>
      <c r="S18" s="6698"/>
      <c r="T18" s="6761" t="s">
        <v>1136</v>
      </c>
      <c r="U18" s="6698"/>
      <c r="V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Резерв мощности источников тепловой энергии, входящих в систему теплоснабжения, в течение одного квартала, в том числе:</v>
      </c>
      <c r="F19" s="651" t="str">
        <f>IF(TEMPLATE_SPHERE="HEAT","Гкал/час","тыс. куб. м/сутки")</f>
        <v>Гкал/час</v>
      </c>
      <c r="G19" s="817">
        <f>SUM(G20:G22)</f>
        <v>0</v>
      </c>
      <c r="H19" s="817">
        <f>SUM(H20:H22)</f>
        <v>394.83</v>
      </c>
      <c r="I19" s="7116">
        <f>SUM(I20:I22)</f>
        <v>247.81</v>
      </c>
      <c r="J19" s="7116">
        <f>SUM(J20:J22)</f>
        <v>99.66</v>
      </c>
      <c r="K19" s="7116">
        <f>SUM(K20:K22)</f>
        <v>48.46</v>
      </c>
      <c r="L19" s="7116">
        <f>SUM(L20:L22)</f>
        <v>243.68</v>
      </c>
      <c r="M19" s="7116">
        <f>SUM(M20:M22)</f>
        <v>58.66</v>
      </c>
      <c r="N19" s="7116">
        <f>SUM(N20:N22)</f>
        <v>132.73</v>
      </c>
      <c r="O19" s="7116">
        <f>SUM(O20:O22)</f>
        <v>5.48</v>
      </c>
      <c r="P19" s="7116">
        <f>SUM(P20:P22)</f>
        <v>65.99</v>
      </c>
      <c r="Q19" s="7116">
        <f>SUM(Q20:Q22)</f>
        <v>0</v>
      </c>
      <c r="R19" s="7116">
        <f>SUM(R20:R22)</f>
        <v>0</v>
      </c>
      <c r="S19" s="7116">
        <f>SUM(S20:S22)</f>
        <v>3.3</v>
      </c>
      <c r="T19" s="7116">
        <f>SUM(T20:T22)</f>
        <v>0</v>
      </c>
      <c r="U19" s="7116">
        <f>SUM(U20:U22)</f>
        <v>0</v>
      </c>
      <c r="V19" s="33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39" t="s">
        <v>1137</v>
      </c>
      <c r="E20" s="818"/>
      <c r="F20" s="639"/>
      <c r="G20" s="639"/>
      <c r="H20" s="639"/>
      <c r="I20" s="6300"/>
      <c r="J20" s="6300"/>
      <c r="K20" s="6300"/>
      <c r="L20" s="6300"/>
      <c r="M20" s="6300"/>
      <c r="N20" s="6300"/>
      <c r="O20" s="6300"/>
      <c r="P20" s="6300"/>
      <c r="Q20" s="6300"/>
      <c r="R20" s="6300"/>
      <c r="S20" s="6300"/>
      <c r="T20" s="6300"/>
      <c r="U20" s="6300"/>
      <c r="V20" s="1900"/>
    </row>
    <row customHeight="1" ht="27.75">
      <c r="C21" s="581"/>
      <c r="D21" s="669" t="s">
        <v>393</v>
      </c>
      <c r="E21" s="800" t="s">
        <v>1138</v>
      </c>
      <c r="F21" s="1898" t="str">
        <f>IF(TEMPLATE_SPHERE="HEAT","Гкал/час","тыс. куб. м/сутки")</f>
        <v>Гкал/час</v>
      </c>
      <c r="G21" s="810"/>
      <c r="H21" s="810">
        <v>394.83</v>
      </c>
      <c r="I21" s="6685">
        <v>247.81</v>
      </c>
      <c r="J21" s="6685">
        <v>99.66</v>
      </c>
      <c r="K21" s="6685">
        <v>48.46</v>
      </c>
      <c r="L21" s="6685">
        <v>243.68</v>
      </c>
      <c r="M21" s="6685">
        <v>58.66</v>
      </c>
      <c r="N21" s="6685">
        <v>132.73</v>
      </c>
      <c r="O21" s="6685">
        <v>5.48</v>
      </c>
      <c r="P21" s="6685">
        <v>65.99</v>
      </c>
      <c r="Q21" s="6685">
        <v>0</v>
      </c>
      <c r="R21" s="6685">
        <v>0</v>
      </c>
      <c r="S21" s="6685">
        <v>3.3</v>
      </c>
      <c r="T21" s="6685">
        <v>0</v>
      </c>
      <c r="U21" s="6685">
        <v>0</v>
      </c>
      <c r="V21" s="220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35"/>
      <c r="C22" s="635"/>
      <c r="D22" s="477"/>
      <c r="E22" s="710" t="s">
        <v>1139</v>
      </c>
      <c r="F22" s="702"/>
      <c r="G22" s="702"/>
      <c r="H22" s="702"/>
      <c r="I22" s="7120"/>
      <c r="J22" s="7121"/>
      <c r="K22" s="7122"/>
      <c r="L22" s="7123"/>
      <c r="M22" s="7124"/>
      <c r="N22" s="7125"/>
      <c r="O22" s="7126"/>
      <c r="P22" s="7127"/>
      <c r="Q22" s="7128"/>
      <c r="R22" s="7129"/>
      <c r="S22" s="7130"/>
      <c r="T22" s="7131"/>
      <c r="U22" s="7132"/>
      <c r="V22" s="2209"/>
      <c r="AE22" s="635"/>
    </row>
  </sheetData>
  <sheetProtection sheet="1" formatColumns="0" formatRows="0" autoFilter="0" sort="1" insertRows="1" insertColumns="1" deleteRows="1" deleteColumns="1"/>
  <mergeCells count="8">
    <mergeCell ref="V21:V22"/>
    <mergeCell ref="V9:V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U18">
      <formula1>900</formula1>
    </dataValidation>
    <dataValidation type="whole" allowBlank="1" showErrorMessage="1" errorTitle="Ошибка" error="Допускается ввод только неотрицательных целых чисел!" sqref="G15:U17">
      <formula1>0</formula1>
      <formula2>9.99999999999999E+23</formula2>
    </dataValidation>
    <dataValidation type="decimal" allowBlank="1" showErrorMessage="1" errorTitle="Ошибка" error="Допускается ввод только действительных чисел!" sqref="G2:U2 G21:U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9B50D-36DE-5D3E-216F-C153327E0E2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902" width="9.140625" hidden="1" customWidth="1"/>
    <col min="2" max="2" style="12903" width="9.140625" hidden="1" customWidth="1"/>
    <col min="3" max="3" style="12904" width="3.7109375" customWidth="1"/>
    <col min="4" max="4" style="11058" width="6.28125" customWidth="1"/>
    <col min="5" max="6" style="11058" width="64.140625" customWidth="1"/>
    <col min="7" max="7" style="11058" width="141.140625" customWidth="1"/>
    <col min="8" max="8" style="11058" width="10.57421875"/>
    <col min="9" max="10" style="11059" width="10.57421875"/>
    <col min="11" max="16" style="11058"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84"/>
      <c r="F5" s="2484"/>
      <c r="G5" s="2485"/>
    </row>
    <row s="11055" customFormat="1" customHeight="1" ht="18">
      <c r="A6" s="1012"/>
      <c r="B6" s="547"/>
      <c r="C6" s="506"/>
      <c r="D6" s="2486" t="str">
        <f>IF(org=0,"Не определено",org)</f>
        <v>АО "ДГК"</v>
      </c>
      <c r="E6" s="2487"/>
      <c r="F6" s="2487"/>
      <c r="G6" s="2488"/>
      <c r="I6" s="630"/>
      <c r="J6" s="630"/>
    </row>
    <row customHeight="1" ht="14.25">
      <c r="C7" s="226"/>
      <c r="D7" s="213"/>
      <c r="E7" s="225"/>
      <c r="F7" s="882"/>
      <c r="G7" s="323"/>
    </row>
    <row s="11775" customFormat="1" customHeight="1" ht="0.75">
      <c r="A8" s="1806"/>
      <c r="B8" s="1292"/>
      <c r="C8" s="506"/>
      <c r="D8" s="493"/>
      <c r="E8" s="519"/>
      <c r="F8" s="882"/>
      <c r="G8" s="323"/>
      <c r="I8" s="1761"/>
      <c r="J8" s="1761"/>
    </row>
    <row customHeight="1" ht="14.25">
      <c r="C9" s="226"/>
      <c r="D9" s="2248" t="s">
        <v>378</v>
      </c>
      <c r="E9" s="2248"/>
      <c r="F9" s="2248"/>
      <c r="G9" s="2489" t="s">
        <v>379</v>
      </c>
    </row>
    <row customHeight="1" ht="14.25">
      <c r="C10" s="226"/>
      <c r="D10" s="235" t="s">
        <v>85</v>
      </c>
      <c r="E10" s="238" t="s">
        <v>380</v>
      </c>
      <c r="F10" s="238" t="s">
        <v>470</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8" t="s">
        <v>384</v>
      </c>
      <c r="G12" s="281"/>
    </row>
    <row customHeight="1" ht="22.5">
      <c r="A13" s="322"/>
      <c r="C13" s="226"/>
      <c r="D13" s="277" t="s">
        <v>1042</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384</v>
      </c>
      <c r="G13" s="281"/>
    </row>
    <row customHeight="1" ht="14.25">
      <c r="A14" s="322"/>
      <c r="C14" s="226"/>
      <c r="D14" s="277" t="s">
        <v>1078</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1140</v>
      </c>
      <c r="F15" s="331"/>
      <c r="G15" s="2209"/>
    </row>
    <row customHeight="1" ht="22.5">
      <c r="A16" s="322"/>
      <c r="C16" s="226"/>
      <c r="D16" s="277" t="s">
        <v>1044</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8" t="s">
        <v>384</v>
      </c>
      <c r="G16" s="467"/>
    </row>
    <row customHeight="1" ht="14.25">
      <c r="A17" s="322"/>
      <c r="C17" s="226"/>
      <c r="D17" s="277" t="s">
        <v>1086</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2881" customFormat="1" customHeight="1" ht="21">
      <c r="A18" s="473"/>
      <c r="B18" s="276"/>
      <c r="C18" s="437"/>
      <c r="D18" s="477"/>
      <c r="E18" s="479" t="s">
        <v>1141</v>
      </c>
      <c r="F18" s="468"/>
      <c r="G18" s="2209"/>
      <c r="I18" s="480"/>
      <c r="J18" s="480"/>
    </row>
    <row s="11055" customFormat="1" customHeight="1" ht="256.5" hidden="1">
      <c r="A19" s="473"/>
      <c r="B19" s="547"/>
      <c r="C19" s="506"/>
      <c r="D19" s="1014" t="s">
        <v>1046</v>
      </c>
      <c r="E19" s="1013" t="s">
        <v>1142</v>
      </c>
      <c r="F19" s="515"/>
      <c r="G19" s="467" t="s">
        <v>1143</v>
      </c>
      <c r="I19" s="630"/>
      <c r="J19" s="630"/>
    </row>
    <row s="12881" customFormat="1" customHeight="1" ht="14.25">
      <c r="A20" s="473"/>
      <c r="B20" s="276"/>
      <c r="C20" s="437"/>
      <c r="D20" s="1015">
        <v>2</v>
      </c>
      <c r="E20" s="460" t="s">
        <v>1144</v>
      </c>
      <c r="F20" s="328" t="s">
        <v>384</v>
      </c>
      <c r="G20" s="467"/>
      <c r="I20" s="480"/>
      <c r="J20" s="480"/>
    </row>
    <row s="12881" customFormat="1" customHeight="1" ht="18.75" hidden="1">
      <c r="A21" s="473"/>
      <c r="B21" s="276"/>
      <c r="C21" s="437"/>
      <c r="D21" s="463" t="s">
        <v>962</v>
      </c>
      <c r="E21" s="462"/>
      <c r="F21" s="461"/>
      <c r="G21" s="471"/>
      <c r="H21" s="464"/>
      <c r="I21" s="480"/>
      <c r="J21" s="480"/>
    </row>
    <row customHeight="1" ht="15">
      <c r="A22" s="322"/>
      <c r="C22" s="226"/>
      <c r="D22" s="239"/>
      <c r="E22" s="333" t="s">
        <v>1145</v>
      </c>
      <c r="F22" s="468"/>
      <c r="G22" s="469"/>
    </row>
    <row s="11775" customFormat="1" customHeight="1" ht="22.5" hidden="1">
      <c r="A23" s="473"/>
      <c r="B23" s="1292"/>
      <c r="C23" s="506"/>
      <c r="D23" s="1810" t="s">
        <v>100</v>
      </c>
      <c r="E23" s="327" t="s">
        <v>1146</v>
      </c>
      <c r="F23" s="1807" t="s">
        <v>384</v>
      </c>
      <c r="G23" s="475"/>
      <c r="I23" s="1761"/>
      <c r="J23" s="1761"/>
    </row>
    <row s="11775" customFormat="1" customHeight="1" ht="14.25" hidden="1">
      <c r="A24" s="473"/>
      <c r="B24" s="1292"/>
      <c r="C24" s="506"/>
      <c r="D24" s="1810" t="s">
        <v>718</v>
      </c>
      <c r="E24" s="1809" t="s">
        <v>1147</v>
      </c>
      <c r="F24" s="1807" t="s">
        <v>384</v>
      </c>
      <c r="G24" s="467"/>
      <c r="I24" s="1761"/>
      <c r="J24" s="1761"/>
    </row>
    <row s="11775" customFormat="1" customHeight="1" ht="14.25" hidden="1">
      <c r="A25" s="473"/>
      <c r="B25" s="1292"/>
      <c r="C25" s="506"/>
      <c r="D25" s="1810" t="s">
        <v>721</v>
      </c>
      <c r="E25" s="325"/>
      <c r="F25" s="515"/>
      <c r="G25" s="2207" t="s">
        <v>1148</v>
      </c>
      <c r="I25" s="1761"/>
      <c r="J25" s="1761"/>
    </row>
    <row s="11775" customFormat="1" customHeight="1" ht="22.5" hidden="1">
      <c r="A26" s="473"/>
      <c r="B26" s="1292"/>
      <c r="C26" s="506"/>
      <c r="D26" s="477"/>
      <c r="E26" s="479" t="s">
        <v>1149</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14D4A-743D-DD76-2B37-8D69D9DECF5F}"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1730" width="9.140625" hidden="1" customWidth="1"/>
    <col min="2" max="2" style="12903" width="9.140625" hidden="1" customWidth="1"/>
    <col min="3" max="3" style="12904" width="3.7109375" customWidth="1"/>
    <col min="4" max="4" style="11058" width="6.28125" customWidth="1"/>
    <col min="5" max="5" style="11058" width="63.421875" customWidth="1"/>
    <col min="6" max="6" style="11058" width="1.7109375" hidden="1" customWidth="1"/>
    <col min="7" max="8" style="11058" width="35.7109375" customWidth="1"/>
    <col min="9" max="9" style="11058" width="91.57421875" customWidth="1"/>
    <col min="10" max="10" style="11058" width="68.8515625" customWidth="1"/>
    <col min="11" max="12" style="11059" width="10.57421875"/>
  </cols>
  <sheetData>
    <row r="2" s="11775" customFormat="1" customHeight="1" ht="18.75">
      <c r="A2" s="1820"/>
      <c r="B2" s="1292"/>
      <c r="C2" s="1867" t="s">
        <v>101</v>
      </c>
      <c r="D2" s="1810"/>
      <c r="E2" s="329"/>
      <c r="F2" s="1807"/>
      <c r="G2" s="1807" t="s">
        <v>384</v>
      </c>
      <c r="H2" s="1293"/>
      <c r="K2" s="1761"/>
      <c r="L2" s="1761"/>
    </row>
    <row s="11775" customFormat="1" customHeight="1" ht="14.25">
      <c r="A3" s="1499"/>
      <c r="B3" s="1292"/>
      <c r="C3" s="474"/>
      <c r="K3" s="1761"/>
      <c r="L3" s="1761"/>
    </row>
    <row s="11775" customFormat="1" customHeight="1" ht="18.75">
      <c r="A4" s="1820"/>
      <c r="B4" s="1292"/>
      <c r="C4" s="1867" t="s">
        <v>101</v>
      </c>
      <c r="D4" s="1810"/>
      <c r="E4" s="335" t="s">
        <v>1150</v>
      </c>
      <c r="F4" s="1807"/>
      <c r="G4" s="387"/>
      <c r="H4" s="1807" t="s">
        <v>384</v>
      </c>
      <c r="K4" s="1761"/>
      <c r="L4" s="1761"/>
    </row>
    <row s="11775" customFormat="1" customHeight="1" ht="14.25">
      <c r="A5" s="1499"/>
      <c r="B5" s="1292"/>
      <c r="C5" s="474"/>
      <c r="K5" s="1761"/>
      <c r="L5" s="1761"/>
    </row>
    <row s="11775" customFormat="1" customHeight="1" ht="18.75">
      <c r="A6" s="1820"/>
      <c r="B6" s="1292"/>
      <c r="C6" s="1867" t="s">
        <v>101</v>
      </c>
      <c r="D6" s="1810"/>
      <c r="E6" s="336" t="s">
        <v>1151</v>
      </c>
      <c r="F6" s="1807"/>
      <c r="G6" s="387"/>
      <c r="H6" s="1807" t="s">
        <v>384</v>
      </c>
      <c r="K6" s="1761"/>
      <c r="L6" s="1761"/>
    </row>
    <row s="11775" customFormat="1" customHeight="1" ht="14.25">
      <c r="A7" s="1499"/>
      <c r="B7" s="1292"/>
      <c r="C7" s="474"/>
      <c r="K7" s="1761"/>
      <c r="L7" s="1761"/>
    </row>
    <row s="11775" customFormat="1" customHeight="1" ht="18.75">
      <c r="A8" s="1820"/>
      <c r="B8" s="1292"/>
      <c r="C8" s="1867" t="s">
        <v>101</v>
      </c>
      <c r="D8" s="1810"/>
      <c r="E8" s="336" t="s">
        <v>1152</v>
      </c>
      <c r="F8" s="1807"/>
      <c r="G8" s="387"/>
      <c r="H8" s="1807" t="s">
        <v>384</v>
      </c>
      <c r="K8" s="1761"/>
      <c r="L8" s="1761"/>
    </row>
    <row s="11775" customFormat="1" customHeight="1" ht="14.25">
      <c r="A9" s="1499"/>
      <c r="B9" s="1292"/>
      <c r="C9" s="474"/>
      <c r="K9" s="1761"/>
      <c r="L9" s="1761"/>
    </row>
    <row s="11775" customFormat="1" customHeight="1" ht="18.75">
      <c r="A10" s="1820"/>
      <c r="B10" s="1292"/>
      <c r="C10" s="1867" t="s">
        <v>101</v>
      </c>
      <c r="D10" s="1810"/>
      <c r="E10" s="336" t="s">
        <v>1153</v>
      </c>
      <c r="F10" s="1807"/>
      <c r="G10" s="1811"/>
      <c r="H10" s="1807" t="s">
        <v>384</v>
      </c>
      <c r="K10" s="1761"/>
      <c r="L10" s="1761" t="s">
        <v>1154</v>
      </c>
    </row>
    <row r="13" customHeight="1" ht="14.25">
      <c r="C13" s="226"/>
      <c r="D13" s="213"/>
      <c r="E13" s="213"/>
      <c r="F13" s="213"/>
      <c r="G13" s="213"/>
      <c r="H13" s="214"/>
      <c r="I13" s="214"/>
    </row>
    <row customHeight="1" ht="27.75">
      <c r="C14" s="226"/>
      <c r="D14" s="24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84"/>
      <c r="F14" s="2484"/>
      <c r="G14" s="2484"/>
      <c r="H14" s="2485"/>
      <c r="J14" s="1768"/>
    </row>
    <row s="11775" customFormat="1" customHeight="1" ht="14.25">
      <c r="A15" s="1499"/>
      <c r="B15" s="1292"/>
      <c r="C15" s="506"/>
      <c r="D15" s="2486" t="str">
        <f>IF(org=0,"Не определено",org)</f>
        <v>АО "ДГК"</v>
      </c>
      <c r="E15" s="2487"/>
      <c r="F15" s="2487"/>
      <c r="G15" s="2487"/>
      <c r="H15" s="2488"/>
      <c r="J15" s="982"/>
      <c r="K15" s="1761"/>
      <c r="L15" s="1761"/>
    </row>
    <row customHeight="1" ht="14.25">
      <c r="C16" s="226"/>
      <c r="D16" s="213"/>
      <c r="E16" s="225"/>
      <c r="F16" s="225"/>
      <c r="G16" s="225"/>
      <c r="H16" s="882"/>
      <c r="I16" s="323"/>
    </row>
    <row s="11775" customFormat="1" customHeight="1" ht="14.25" hidden="1">
      <c r="A17" s="1499"/>
      <c r="B17" s="1292"/>
      <c r="C17" s="506"/>
      <c r="D17" s="493"/>
      <c r="E17" s="519"/>
      <c r="F17" s="519"/>
      <c r="G17" s="519"/>
      <c r="H17" s="882"/>
      <c r="I17" s="323"/>
      <c r="K17" s="1761"/>
      <c r="L17" s="1761"/>
    </row>
    <row customHeight="1" ht="21">
      <c r="C18" s="226"/>
      <c r="D18" s="2248" t="s">
        <v>378</v>
      </c>
      <c r="E18" s="2248"/>
      <c r="F18" s="2248"/>
      <c r="G18" s="2248"/>
      <c r="H18" s="2248"/>
      <c r="I18" s="2489" t="s">
        <v>379</v>
      </c>
    </row>
    <row customHeight="1" ht="21">
      <c r="C19" s="226"/>
      <c r="D19" s="235" t="s">
        <v>85</v>
      </c>
      <c r="E19" s="238" t="s">
        <v>380</v>
      </c>
      <c r="F19" s="238"/>
      <c r="G19" s="238" t="s">
        <v>381</v>
      </c>
      <c r="H19" s="238" t="s">
        <v>470</v>
      </c>
      <c r="I19" s="2489"/>
    </row>
    <row customHeight="1" ht="12" hidden="1">
      <c r="C20" s="226"/>
      <c r="D20" s="216"/>
      <c r="E20" s="216"/>
      <c r="F20" s="216"/>
      <c r="G20" s="216"/>
      <c r="H20" s="216"/>
      <c r="I20" s="216"/>
    </row>
    <row customHeight="1" ht="14.25">
      <c r="A21" s="1820"/>
      <c r="C21" s="226"/>
      <c r="D21" s="277">
        <v>1</v>
      </c>
      <c r="E21" s="2491" t="s">
        <v>1155</v>
      </c>
      <c r="F21" s="2491"/>
      <c r="G21" s="2491"/>
      <c r="H21" s="2491"/>
      <c r="I21" s="338"/>
    </row>
    <row customHeight="1" ht="20.25">
      <c r="A22" s="1820"/>
      <c r="C22" s="226"/>
      <c r="D22" s="277" t="s">
        <v>1042</v>
      </c>
      <c r="E22" s="324" t="s">
        <v>1156</v>
      </c>
      <c r="F22" s="328"/>
      <c r="G22" s="1874"/>
      <c r="H22" s="328" t="s">
        <v>384</v>
      </c>
      <c r="I22" s="281" t="s">
        <v>1157</v>
      </c>
    </row>
    <row customHeight="1" ht="45">
      <c r="A23" s="1820"/>
      <c r="C23" s="226"/>
      <c r="D23" s="277" t="s">
        <v>1044</v>
      </c>
      <c r="E23" s="324" t="s">
        <v>1158</v>
      </c>
      <c r="F23" s="328"/>
      <c r="G23" s="387"/>
      <c r="H23" s="343"/>
      <c r="I23" s="388" t="s">
        <v>1159</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8"/>
      <c r="G24" s="328" t="s">
        <v>384</v>
      </c>
      <c r="H24" s="343"/>
      <c r="I24" s="389" t="s">
        <v>899</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90"/>
      <c r="G25" s="2490"/>
      <c r="H25" s="2490"/>
      <c r="I25" s="386"/>
    </row>
    <row customHeight="1" ht="14.25">
      <c r="A26" s="1820"/>
      <c r="C26" s="226"/>
      <c r="D26" s="277" t="s">
        <v>404</v>
      </c>
      <c r="E26" s="329"/>
      <c r="F26" s="328"/>
      <c r="G26" s="328" t="s">
        <v>384</v>
      </c>
      <c r="H26" s="343"/>
      <c r="I26" s="2207" t="s">
        <v>1160</v>
      </c>
    </row>
    <row customHeight="1" ht="15">
      <c r="A27" s="1820" t="s">
        <v>165</v>
      </c>
      <c r="C27" s="226"/>
      <c r="D27" s="239"/>
      <c r="E27" s="333" t="s">
        <v>1145</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90"/>
      <c r="G28" s="2490"/>
      <c r="H28" s="2490"/>
      <c r="I28" s="386"/>
    </row>
    <row customHeight="1" ht="20.25">
      <c r="A29" s="1820"/>
      <c r="C29" s="226"/>
      <c r="D29" s="277" t="s">
        <v>763</v>
      </c>
      <c r="E29" s="335" t="s">
        <v>1150</v>
      </c>
      <c r="F29" s="328"/>
      <c r="G29" s="387"/>
      <c r="H29" s="328" t="s">
        <v>384</v>
      </c>
      <c r="I29" s="2207" t="s">
        <v>1161</v>
      </c>
    </row>
    <row customHeight="1" ht="15">
      <c r="A30" s="1820" t="s">
        <v>100</v>
      </c>
      <c r="C30" s="226"/>
      <c r="D30" s="239"/>
      <c r="E30" s="333" t="s">
        <v>1145</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90"/>
      <c r="G31" s="2490"/>
      <c r="H31" s="2490"/>
      <c r="I31" s="386"/>
    </row>
    <row customHeight="1" ht="26.25">
      <c r="A32" s="1820"/>
      <c r="C32" s="226"/>
      <c r="D32" s="277" t="s">
        <v>393</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9"/>
      <c r="G32" s="2429"/>
      <c r="H32" s="2429"/>
      <c r="I32" s="386"/>
    </row>
    <row customHeight="1" ht="14.25">
      <c r="A33" s="1820"/>
      <c r="C33" s="226"/>
      <c r="D33" s="277" t="s">
        <v>1162</v>
      </c>
      <c r="E33" s="336" t="s">
        <v>1151</v>
      </c>
      <c r="F33" s="328"/>
      <c r="G33" s="387"/>
      <c r="H33" s="328" t="s">
        <v>384</v>
      </c>
      <c r="I33" s="2207" t="s">
        <v>1163</v>
      </c>
    </row>
    <row customHeight="1" ht="15">
      <c r="A34" s="1820" t="s">
        <v>87</v>
      </c>
      <c r="C34" s="226"/>
      <c r="D34" s="239"/>
      <c r="E34" s="334" t="s">
        <v>1145</v>
      </c>
      <c r="F34" s="330"/>
      <c r="G34" s="330"/>
      <c r="H34" s="331"/>
      <c r="I34" s="2209"/>
    </row>
    <row customHeight="1" ht="24">
      <c r="A35" s="1820"/>
      <c r="C35" s="226"/>
      <c r="D35" s="277" t="s">
        <v>395</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9"/>
      <c r="G35" s="2429"/>
      <c r="H35" s="2429"/>
      <c r="I35" s="386"/>
    </row>
    <row customHeight="1" ht="14.25">
      <c r="A36" s="1820"/>
      <c r="C36" s="226"/>
      <c r="D36" s="277" t="s">
        <v>1164</v>
      </c>
      <c r="E36" s="336" t="s">
        <v>1152</v>
      </c>
      <c r="F36" s="328"/>
      <c r="G36" s="387"/>
      <c r="H36" s="328" t="s">
        <v>384</v>
      </c>
      <c r="I36" s="2183" t="s">
        <v>1165</v>
      </c>
    </row>
    <row customHeight="1" ht="15">
      <c r="A37" s="1820" t="s">
        <v>88</v>
      </c>
      <c r="C37" s="226"/>
      <c r="D37" s="239"/>
      <c r="E37" s="334" t="s">
        <v>1145</v>
      </c>
      <c r="F37" s="330"/>
      <c r="G37" s="330"/>
      <c r="H37" s="331"/>
      <c r="I37" s="2183"/>
    </row>
    <row customHeight="1" ht="26.25">
      <c r="A38" s="1820"/>
      <c r="C38" s="226"/>
      <c r="D38" s="277" t="s">
        <v>398</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9"/>
      <c r="G38" s="2429"/>
      <c r="H38" s="2429"/>
      <c r="I38" s="386"/>
    </row>
    <row customHeight="1" ht="14.25">
      <c r="A39" s="1820"/>
      <c r="C39" s="226"/>
      <c r="D39" s="277" t="s">
        <v>892</v>
      </c>
      <c r="E39" s="336" t="s">
        <v>1153</v>
      </c>
      <c r="F39" s="328"/>
      <c r="G39" s="337"/>
      <c r="H39" s="328" t="s">
        <v>384</v>
      </c>
      <c r="I39" s="2207" t="s">
        <v>1166</v>
      </c>
      <c r="L39" s="285" t="s">
        <v>1154</v>
      </c>
    </row>
    <row customHeight="1" ht="15">
      <c r="A40" s="1820" t="s">
        <v>119</v>
      </c>
      <c r="C40" s="226"/>
      <c r="D40" s="239"/>
      <c r="E40" s="334" t="s">
        <v>1145</v>
      </c>
      <c r="F40" s="330"/>
      <c r="G40" s="330"/>
      <c r="H40" s="331"/>
      <c r="I40" s="2209"/>
    </row>
    <row s="12924" customFormat="1" customHeight="1" ht="3">
      <c r="A41" s="1820"/>
      <c r="K41" s="326"/>
      <c r="L41" s="326"/>
    </row>
    <row customHeight="1" ht="24.75">
      <c r="D42" s="1818" t="s">
        <v>814</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24"/>
      <c r="G42" s="2324"/>
      <c r="H42" s="2324"/>
      <c r="I42" s="2324"/>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4622D-1735-B1D7-8073-EA708839D75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963" width="25.140625" hidden="1" customWidth="1"/>
    <col min="3" max="3" style="12964" width="9.140625" hidden="1" customWidth="1"/>
    <col min="4" max="4" style="11732" width="3.7109375" customWidth="1"/>
    <col min="5" max="5" style="12965" width="6.28125" customWidth="1"/>
    <col min="6" max="6" style="12965" width="46.7109375" customWidth="1"/>
    <col min="7" max="7" style="12965" width="35.7109375" customWidth="1"/>
    <col min="8" max="8" style="12965" width="3.7109375" customWidth="1"/>
    <col min="9" max="10" style="12965" width="11.7109375" customWidth="1"/>
    <col min="11" max="12" style="12965" width="35.7109375" customWidth="1"/>
    <col min="13" max="13" style="12965" width="84.8515625" customWidth="1"/>
    <col min="14" max="14" style="12965" width="10.57421875"/>
    <col min="15" max="16" style="12966" width="10.57421875"/>
    <col min="17" max="33" style="12965" width="10.57421875"/>
  </cols>
  <sheetData>
    <row s="11775"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775" customFormat="1" customHeight="1" ht="18.75" hidden="1">
      <c r="A2" s="1918" t="s">
        <v>235</v>
      </c>
      <c r="B2" s="1918" t="s">
        <v>236</v>
      </c>
      <c r="C2" s="499"/>
      <c r="D2" s="474"/>
      <c r="E2" s="1162"/>
      <c r="F2" s="1162"/>
      <c r="G2" s="2453" t="str">
        <f>INDEX(PT_DIFFERENTIATION_NTAR,MATCH(B2,PT_DIFFERENTIATION_NTAR_ID,0))</f>
        <v/>
      </c>
      <c r="H2" s="2003"/>
      <c r="I2" s="1876"/>
      <c r="J2" s="1911"/>
      <c r="K2" s="2004"/>
      <c r="L2" s="2003" t="s">
        <v>384</v>
      </c>
      <c r="M2" s="2014"/>
      <c r="N2" s="464"/>
      <c r="O2" s="1761"/>
      <c r="P2" s="1761"/>
    </row>
    <row s="11775" customFormat="1" customHeight="1" ht="18.75" hidden="1">
      <c r="A3" s="1918"/>
      <c r="B3" s="1918"/>
      <c r="C3" s="499" t="s">
        <v>1167</v>
      </c>
      <c r="D3" s="474"/>
      <c r="E3" s="1162"/>
      <c r="F3" s="1162"/>
      <c r="G3" s="2453"/>
      <c r="H3" s="1637"/>
      <c r="I3" s="781" t="s">
        <v>1168</v>
      </c>
      <c r="J3" s="701"/>
      <c r="K3" s="1637"/>
      <c r="L3" s="344"/>
      <c r="M3" s="2014"/>
      <c r="N3" s="464"/>
      <c r="O3" s="1761"/>
      <c r="P3" s="1761"/>
    </row>
    <row s="11775"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775" customFormat="1" customHeight="1" ht="18.75" hidden="1">
      <c r="A5" s="1918" t="s">
        <v>235</v>
      </c>
      <c r="B5" s="1918" t="s">
        <v>236</v>
      </c>
      <c r="C5" s="499"/>
      <c r="D5" s="474"/>
      <c r="E5" s="1162"/>
      <c r="F5" s="1162"/>
      <c r="G5" s="2453" t="str">
        <f>INDEX(PT_DIFFERENTIATION_NTAR,MATCH(B5,PT_DIFFERENTIATION_NTAR_ID,0))</f>
        <v/>
      </c>
      <c r="H5" s="2003"/>
      <c r="I5" s="1876"/>
      <c r="J5" s="1911"/>
      <c r="K5" s="1916"/>
      <c r="L5" s="2003" t="s">
        <v>384</v>
      </c>
      <c r="M5" s="2014"/>
      <c r="N5" s="464"/>
      <c r="O5" s="1761"/>
      <c r="P5" s="1761"/>
    </row>
    <row s="11775" customFormat="1" customHeight="1" ht="18.75" hidden="1">
      <c r="A6" s="1918"/>
      <c r="B6" s="1918"/>
      <c r="C6" s="499" t="s">
        <v>1169</v>
      </c>
      <c r="D6" s="474"/>
      <c r="E6" s="1162"/>
      <c r="F6" s="1162"/>
      <c r="G6" s="2453"/>
      <c r="H6" s="1637"/>
      <c r="I6" s="781" t="s">
        <v>1168</v>
      </c>
      <c r="J6" s="701"/>
      <c r="K6" s="1637"/>
      <c r="L6" s="344"/>
      <c r="M6" s="2014"/>
      <c r="N6" s="464"/>
      <c r="O6" s="1761"/>
      <c r="P6" s="1761"/>
    </row>
    <row s="11775"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775" customFormat="1" customHeight="1" ht="56.25" hidden="1">
      <c r="A8" s="1918"/>
      <c r="B8" s="1918"/>
      <c r="C8" s="499"/>
      <c r="D8" s="474"/>
      <c r="E8" s="1162"/>
      <c r="F8" s="1162"/>
      <c r="G8" s="1162"/>
      <c r="H8" s="1909"/>
      <c r="I8" s="1876"/>
      <c r="J8" s="1911"/>
      <c r="K8" s="2004"/>
      <c r="L8" s="1909" t="s">
        <v>384</v>
      </c>
      <c r="M8" s="2014"/>
      <c r="N8" s="464"/>
      <c r="O8" s="1761"/>
      <c r="P8" s="1761"/>
    </row>
    <row customHeight="1" ht="14.25" hidden="1">
      <c r="T9" s="527"/>
      <c r="AG9" s="385"/>
    </row>
    <row s="11775" customFormat="1" customHeight="1" ht="56.25" hidden="1">
      <c r="A10" s="1918"/>
      <c r="B10" s="1918"/>
      <c r="C10" s="499"/>
      <c r="D10" s="474"/>
      <c r="E10" s="1162"/>
      <c r="F10" s="1162"/>
      <c r="G10" s="1162"/>
      <c r="H10" s="1908"/>
      <c r="I10" s="1876"/>
      <c r="J10" s="1911"/>
      <c r="K10" s="1916"/>
      <c r="L10" s="1909" t="s">
        <v>384</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378</v>
      </c>
      <c r="F19" s="2248"/>
      <c r="G19" s="2248"/>
      <c r="H19" s="2248"/>
      <c r="I19" s="2248"/>
      <c r="J19" s="2248"/>
      <c r="K19" s="2248"/>
      <c r="L19" s="2248"/>
      <c r="M19" s="2489" t="s">
        <v>379</v>
      </c>
    </row>
    <row customHeight="1" ht="21">
      <c r="D20" s="506"/>
      <c r="E20" s="2316" t="s">
        <v>85</v>
      </c>
      <c r="F20" s="2263" t="s">
        <v>203</v>
      </c>
      <c r="G20" s="2263" t="s">
        <v>204</v>
      </c>
      <c r="H20" s="2459" t="s">
        <v>1170</v>
      </c>
      <c r="I20" s="2460"/>
      <c r="J20" s="2461"/>
      <c r="K20" s="2263" t="s">
        <v>381</v>
      </c>
      <c r="L20" s="2263" t="s">
        <v>470</v>
      </c>
      <c r="M20" s="2489"/>
    </row>
    <row customHeight="1" ht="21">
      <c r="D21" s="506"/>
      <c r="E21" s="2318"/>
      <c r="F21" s="2264"/>
      <c r="G21" s="2264"/>
      <c r="H21" s="2257" t="s">
        <v>1171</v>
      </c>
      <c r="I21" s="2259"/>
      <c r="J21" s="238" t="s">
        <v>1172</v>
      </c>
      <c r="K21" s="2264"/>
      <c r="L21" s="2264"/>
      <c r="M21" s="2489"/>
    </row>
    <row customHeight="1" ht="12">
      <c r="D22" s="506"/>
      <c r="E22" s="411"/>
      <c r="F22" s="411"/>
      <c r="G22" s="411"/>
      <c r="H22" s="2497"/>
      <c r="I22" s="2497"/>
      <c r="J22" s="411"/>
      <c r="K22" s="411"/>
      <c r="L22" s="411"/>
      <c r="M22" s="411"/>
    </row>
    <row customHeight="1" ht="18.75">
      <c r="A23" s="1918"/>
      <c r="B23" s="1918"/>
      <c r="D23" s="506"/>
      <c r="E23" s="2005" t="s">
        <v>165</v>
      </c>
      <c r="F23" s="2498" t="str">
        <f>"Предлагаемый метод регулирования"&amp;IF(TEMPLATE_SPHERE="HEAT"," в сфере "&amp;TEMPLATE_SPHERE_RUS,"")</f>
        <v>Предлагаемый метод регулирования в сфере теплоснабжения</v>
      </c>
      <c r="G23" s="2499"/>
      <c r="H23" s="2491"/>
      <c r="I23" s="2491"/>
      <c r="J23" s="2491"/>
      <c r="K23" s="2499" t="s">
        <v>384</v>
      </c>
      <c r="L23" s="2491"/>
      <c r="M23" s="1907"/>
      <c r="N23" s="464"/>
    </row>
    <row customHeight="1" ht="60.75" hidden="1">
      <c r="A24" s="1918" t="s">
        <v>235</v>
      </c>
      <c r="B24" s="1918" t="s">
        <v>236</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384</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775" customFormat="1" customHeight="1" ht="18.75" hidden="1">
      <c r="A25" s="1918"/>
      <c r="B25" s="1918"/>
      <c r="C25" s="499" t="s">
        <v>1167</v>
      </c>
      <c r="D25" s="2496"/>
      <c r="E25" s="2242"/>
      <c r="F25" s="2500"/>
      <c r="G25" s="2453"/>
      <c r="H25" s="1637"/>
      <c r="I25" s="781" t="s">
        <v>1168</v>
      </c>
      <c r="J25" s="701"/>
      <c r="K25" s="1637"/>
      <c r="L25" s="344"/>
      <c r="M25" s="2208"/>
      <c r="N25" s="464"/>
      <c r="O25" s="1761"/>
      <c r="P25" s="1761"/>
    </row>
    <row customHeight="1" ht="0.75" hidden="1">
      <c r="A26" s="1918"/>
      <c r="B26" s="1918"/>
      <c r="C26" s="499" t="s">
        <v>1173</v>
      </c>
      <c r="D26" s="2496"/>
      <c r="E26" s="2242"/>
      <c r="F26" s="2412"/>
      <c r="G26" s="530"/>
      <c r="H26" s="1637"/>
      <c r="I26" s="525"/>
      <c r="J26" s="479"/>
      <c r="K26" s="1637"/>
      <c r="L26" s="331"/>
      <c r="M26" s="2208"/>
      <c r="N26" s="464"/>
    </row>
    <row s="11775" customFormat="1" customHeight="1" ht="45" hidden="1">
      <c r="A27" s="1918" t="s">
        <v>241</v>
      </c>
      <c r="B27" s="1918" t="s">
        <v>242</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384</v>
      </c>
      <c r="M27" s="2208"/>
      <c r="N27" s="464"/>
      <c r="O27" s="1761"/>
      <c r="P27" s="1761"/>
    </row>
    <row s="11775" customFormat="1" customHeight="1" ht="18.75" hidden="1">
      <c r="A28" s="1918"/>
      <c r="B28" s="1918"/>
      <c r="C28" s="499" t="s">
        <v>1167</v>
      </c>
      <c r="D28" s="2492"/>
      <c r="E28" s="2493"/>
      <c r="F28" s="2494"/>
      <c r="G28" s="2453"/>
      <c r="H28" s="1637"/>
      <c r="I28" s="781" t="s">
        <v>1168</v>
      </c>
      <c r="J28" s="701"/>
      <c r="K28" s="1637"/>
      <c r="L28" s="344"/>
      <c r="M28" s="2208"/>
      <c r="N28" s="464"/>
      <c r="O28" s="1761"/>
      <c r="P28" s="1761"/>
    </row>
    <row s="11775" customFormat="1" customHeight="1" ht="0.75" hidden="1">
      <c r="A29" s="1918"/>
      <c r="B29" s="1918"/>
      <c r="C29" s="499" t="s">
        <v>1173</v>
      </c>
      <c r="D29" s="2492"/>
      <c r="E29" s="2242"/>
      <c r="F29" s="2412"/>
      <c r="G29" s="530"/>
      <c r="H29" s="1637"/>
      <c r="I29" s="781"/>
      <c r="J29" s="701"/>
      <c r="K29" s="1637"/>
      <c r="L29" s="344"/>
      <c r="M29" s="2208"/>
      <c r="N29" s="464"/>
      <c r="O29" s="1761"/>
      <c r="P29" s="1761"/>
    </row>
    <row s="11775" customFormat="1" customHeight="1" ht="45" hidden="1">
      <c r="A30" s="1918" t="s">
        <v>247</v>
      </c>
      <c r="B30" s="1918" t="s">
        <v>248</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384</v>
      </c>
      <c r="M30" s="2208"/>
      <c r="N30" s="464"/>
      <c r="O30" s="1761"/>
      <c r="P30" s="1761"/>
    </row>
    <row s="11775" customFormat="1" customHeight="1" ht="18.75" hidden="1">
      <c r="A31" s="1918"/>
      <c r="B31" s="1918"/>
      <c r="C31" s="499" t="s">
        <v>1167</v>
      </c>
      <c r="D31" s="2492"/>
      <c r="E31" s="2242"/>
      <c r="F31" s="2412"/>
      <c r="G31" s="2453"/>
      <c r="H31" s="1637"/>
      <c r="I31" s="781" t="s">
        <v>1168</v>
      </c>
      <c r="J31" s="701"/>
      <c r="K31" s="1637"/>
      <c r="L31" s="344"/>
      <c r="M31" s="2208"/>
      <c r="N31" s="464"/>
      <c r="O31" s="1761"/>
      <c r="P31" s="1761"/>
    </row>
    <row s="11775" customFormat="1" customHeight="1" ht="0.75" hidden="1">
      <c r="A32" s="1918"/>
      <c r="B32" s="1918"/>
      <c r="C32" s="499" t="s">
        <v>1173</v>
      </c>
      <c r="D32" s="2492"/>
      <c r="E32" s="2242"/>
      <c r="F32" s="2412"/>
      <c r="G32" s="530"/>
      <c r="H32" s="1637"/>
      <c r="I32" s="781"/>
      <c r="J32" s="701"/>
      <c r="K32" s="1637"/>
      <c r="L32" s="344"/>
      <c r="M32" s="2208"/>
      <c r="N32" s="464"/>
      <c r="O32" s="1761"/>
      <c r="P32" s="1761"/>
    </row>
    <row s="11775" customFormat="1" customHeight="1" ht="45" hidden="1">
      <c r="A33" s="1918" t="s">
        <v>253</v>
      </c>
      <c r="B33" s="1918" t="s">
        <v>254</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384</v>
      </c>
      <c r="M33" s="2208"/>
      <c r="N33" s="464"/>
      <c r="O33" s="1761"/>
      <c r="P33" s="1761"/>
    </row>
    <row s="11775" customFormat="1" customHeight="1" ht="18.75" hidden="1">
      <c r="A34" s="1918"/>
      <c r="B34" s="1918"/>
      <c r="C34" s="499" t="s">
        <v>1167</v>
      </c>
      <c r="D34" s="2492"/>
      <c r="E34" s="2242"/>
      <c r="F34" s="2412"/>
      <c r="G34" s="2453"/>
      <c r="H34" s="1637"/>
      <c r="I34" s="781" t="s">
        <v>1168</v>
      </c>
      <c r="J34" s="701"/>
      <c r="K34" s="1637"/>
      <c r="L34" s="344"/>
      <c r="M34" s="2208"/>
      <c r="N34" s="464"/>
      <c r="O34" s="1761"/>
      <c r="P34" s="1761"/>
    </row>
    <row s="11775" customFormat="1" customHeight="1" ht="0.75" hidden="1">
      <c r="A35" s="1918"/>
      <c r="B35" s="1918"/>
      <c r="C35" s="499" t="s">
        <v>1173</v>
      </c>
      <c r="D35" s="2492"/>
      <c r="E35" s="2242"/>
      <c r="F35" s="2412"/>
      <c r="G35" s="530"/>
      <c r="H35" s="1637"/>
      <c r="I35" s="781"/>
      <c r="J35" s="701"/>
      <c r="K35" s="1637"/>
      <c r="L35" s="344"/>
      <c r="M35" s="2208"/>
      <c r="N35" s="464"/>
      <c r="O35" s="1761"/>
      <c r="P35" s="1761"/>
    </row>
    <row s="11775" customFormat="1" customHeight="1" ht="18.75" hidden="1">
      <c r="A36" s="1918" t="s">
        <v>259</v>
      </c>
      <c r="B36" s="1918" t="s">
        <v>260</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384</v>
      </c>
      <c r="M36" s="2208"/>
      <c r="N36" s="464"/>
      <c r="O36" s="1761"/>
      <c r="P36" s="1761"/>
    </row>
    <row s="11775" customFormat="1" customHeight="1" ht="18.75" hidden="1">
      <c r="A37" s="1918"/>
      <c r="B37" s="1918"/>
      <c r="C37" s="499" t="s">
        <v>1167</v>
      </c>
      <c r="D37" s="2492"/>
      <c r="E37" s="2242"/>
      <c r="F37" s="2412"/>
      <c r="G37" s="2453"/>
      <c r="H37" s="1637"/>
      <c r="I37" s="781" t="s">
        <v>1168</v>
      </c>
      <c r="J37" s="701"/>
      <c r="K37" s="1637"/>
      <c r="L37" s="344"/>
      <c r="M37" s="2208"/>
      <c r="N37" s="464"/>
      <c r="O37" s="1761"/>
      <c r="P37" s="1761"/>
    </row>
    <row s="11775" customFormat="1" customHeight="1" ht="0.75" hidden="1">
      <c r="A38" s="1918"/>
      <c r="B38" s="1918"/>
      <c r="C38" s="499" t="s">
        <v>1173</v>
      </c>
      <c r="D38" s="2492"/>
      <c r="E38" s="2242"/>
      <c r="F38" s="2412"/>
      <c r="G38" s="530"/>
      <c r="H38" s="1637"/>
      <c r="I38" s="781"/>
      <c r="J38" s="701"/>
      <c r="K38" s="1637"/>
      <c r="L38" s="344"/>
      <c r="M38" s="2208"/>
      <c r="N38" s="464"/>
      <c r="O38" s="1761"/>
      <c r="P38" s="1761"/>
    </row>
    <row s="11775" customFormat="1" customHeight="1" ht="18.75" hidden="1">
      <c r="A39" s="1918" t="s">
        <v>265</v>
      </c>
      <c r="B39" s="1918" t="s">
        <v>266</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384</v>
      </c>
      <c r="M39" s="2208"/>
      <c r="N39" s="464"/>
      <c r="O39" s="1761"/>
      <c r="P39" s="1761"/>
    </row>
    <row s="11775" customFormat="1" customHeight="1" ht="18.75" hidden="1">
      <c r="A40" s="1918"/>
      <c r="B40" s="1918"/>
      <c r="C40" s="499" t="s">
        <v>1167</v>
      </c>
      <c r="D40" s="2492"/>
      <c r="E40" s="2242"/>
      <c r="F40" s="2412"/>
      <c r="G40" s="2453"/>
      <c r="H40" s="1637"/>
      <c r="I40" s="781" t="s">
        <v>1168</v>
      </c>
      <c r="J40" s="701"/>
      <c r="K40" s="1637"/>
      <c r="L40" s="344"/>
      <c r="M40" s="2208"/>
      <c r="N40" s="464"/>
      <c r="O40" s="1761"/>
      <c r="P40" s="1761"/>
    </row>
    <row s="11775" customFormat="1" customHeight="1" ht="0.75" hidden="1">
      <c r="A41" s="1918"/>
      <c r="B41" s="1918"/>
      <c r="C41" s="499" t="s">
        <v>1173</v>
      </c>
      <c r="D41" s="2492"/>
      <c r="E41" s="2242"/>
      <c r="F41" s="2412"/>
      <c r="G41" s="530"/>
      <c r="H41" s="1637"/>
      <c r="I41" s="781"/>
      <c r="J41" s="701"/>
      <c r="K41" s="1637"/>
      <c r="L41" s="344"/>
      <c r="M41" s="2208"/>
      <c r="N41" s="464"/>
      <c r="O41" s="1761"/>
      <c r="P41" s="1761"/>
    </row>
    <row s="11775" customFormat="1" customHeight="1" ht="18.75" hidden="1">
      <c r="A42" s="1918" t="s">
        <v>271</v>
      </c>
      <c r="B42" s="1918" t="s">
        <v>272</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384</v>
      </c>
      <c r="M42" s="2208"/>
      <c r="N42" s="464"/>
      <c r="O42" s="1761"/>
      <c r="P42" s="1761"/>
    </row>
    <row s="11775" customFormat="1" customHeight="1" ht="18.75" hidden="1">
      <c r="A43" s="1918"/>
      <c r="B43" s="1918"/>
      <c r="C43" s="499" t="s">
        <v>1167</v>
      </c>
      <c r="D43" s="2492"/>
      <c r="E43" s="2242"/>
      <c r="F43" s="2412"/>
      <c r="G43" s="2453"/>
      <c r="H43" s="1637"/>
      <c r="I43" s="781" t="s">
        <v>1168</v>
      </c>
      <c r="J43" s="701"/>
      <c r="K43" s="1637"/>
      <c r="L43" s="344"/>
      <c r="M43" s="2208"/>
      <c r="N43" s="464"/>
      <c r="O43" s="1761"/>
      <c r="P43" s="1761"/>
    </row>
    <row s="11775" customFormat="1" customHeight="1" ht="0.75" hidden="1">
      <c r="A44" s="1918"/>
      <c r="B44" s="1918"/>
      <c r="C44" s="499" t="s">
        <v>1173</v>
      </c>
      <c r="D44" s="2492"/>
      <c r="E44" s="2242"/>
      <c r="F44" s="2412"/>
      <c r="G44" s="530"/>
      <c r="H44" s="1637"/>
      <c r="I44" s="781"/>
      <c r="J44" s="701"/>
      <c r="K44" s="1637"/>
      <c r="L44" s="344"/>
      <c r="M44" s="2208"/>
      <c r="N44" s="464"/>
      <c r="O44" s="1761"/>
      <c r="P44" s="1761"/>
    </row>
    <row s="11775" customFormat="1" customHeight="1" ht="18.75" hidden="1">
      <c r="A45" s="1918" t="s">
        <v>277</v>
      </c>
      <c r="B45" s="1918" t="s">
        <v>278</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384</v>
      </c>
      <c r="M45" s="2208"/>
      <c r="N45" s="464"/>
      <c r="O45" s="1761"/>
      <c r="P45" s="1761"/>
    </row>
    <row s="11775" customFormat="1" customHeight="1" ht="18.75" hidden="1">
      <c r="A46" s="1918"/>
      <c r="B46" s="1918"/>
      <c r="C46" s="499" t="s">
        <v>1167</v>
      </c>
      <c r="D46" s="2492"/>
      <c r="E46" s="2242"/>
      <c r="F46" s="2412"/>
      <c r="G46" s="2453"/>
      <c r="H46" s="1637"/>
      <c r="I46" s="781" t="s">
        <v>1168</v>
      </c>
      <c r="J46" s="701"/>
      <c r="K46" s="1637"/>
      <c r="L46" s="344"/>
      <c r="M46" s="2208"/>
      <c r="N46" s="464"/>
      <c r="O46" s="1761"/>
      <c r="P46" s="1761"/>
    </row>
    <row s="11775" customFormat="1" customHeight="1" ht="0.75" hidden="1">
      <c r="A47" s="1918"/>
      <c r="B47" s="1918"/>
      <c r="C47" s="499" t="s">
        <v>1173</v>
      </c>
      <c r="D47" s="2492"/>
      <c r="E47" s="2242"/>
      <c r="F47" s="2412"/>
      <c r="G47" s="530"/>
      <c r="H47" s="1637"/>
      <c r="I47" s="781"/>
      <c r="J47" s="701"/>
      <c r="K47" s="1637"/>
      <c r="L47" s="344"/>
      <c r="M47" s="2208"/>
      <c r="N47" s="464"/>
      <c r="O47" s="1761"/>
      <c r="P47" s="1761"/>
    </row>
    <row s="11775" customFormat="1" customHeight="1" ht="18.75" hidden="1">
      <c r="A48" s="1918" t="s">
        <v>303</v>
      </c>
      <c r="B48" s="1918" t="s">
        <v>304</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384</v>
      </c>
      <c r="M48" s="2208"/>
      <c r="N48" s="464"/>
      <c r="O48" s="1761"/>
      <c r="P48" s="1761"/>
    </row>
    <row s="11775" customFormat="1" customHeight="1" ht="18.75" hidden="1">
      <c r="A49" s="1918"/>
      <c r="B49" s="1918"/>
      <c r="C49" s="499" t="s">
        <v>1167</v>
      </c>
      <c r="D49" s="2492"/>
      <c r="E49" s="2242"/>
      <c r="F49" s="2412"/>
      <c r="G49" s="2453"/>
      <c r="H49" s="1637"/>
      <c r="I49" s="781" t="s">
        <v>1168</v>
      </c>
      <c r="J49" s="701"/>
      <c r="K49" s="1637"/>
      <c r="L49" s="344"/>
      <c r="M49" s="2208"/>
      <c r="N49" s="464"/>
      <c r="O49" s="1761"/>
      <c r="P49" s="1761"/>
    </row>
    <row s="11775" customFormat="1" customHeight="1" ht="0.75" hidden="1">
      <c r="A50" s="1918"/>
      <c r="B50" s="1918"/>
      <c r="C50" s="499" t="s">
        <v>1173</v>
      </c>
      <c r="D50" s="2492"/>
      <c r="E50" s="2242"/>
      <c r="F50" s="2412"/>
      <c r="G50" s="530"/>
      <c r="H50" s="1637"/>
      <c r="I50" s="781"/>
      <c r="J50" s="701"/>
      <c r="K50" s="1637"/>
      <c r="L50" s="344"/>
      <c r="M50" s="2208"/>
      <c r="N50" s="464"/>
      <c r="O50" s="1761"/>
      <c r="P50" s="1761"/>
    </row>
    <row s="11775" customFormat="1" customHeight="1" ht="18.75" hidden="1">
      <c r="A51" s="1918" t="s">
        <v>308</v>
      </c>
      <c r="B51" s="1918" t="s">
        <v>309</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384</v>
      </c>
      <c r="M51" s="2208"/>
      <c r="N51" s="464"/>
      <c r="O51" s="1761"/>
      <c r="P51" s="1761"/>
    </row>
    <row s="11775" customFormat="1" customHeight="1" ht="18.75" hidden="1">
      <c r="A52" s="1918"/>
      <c r="B52" s="1918"/>
      <c r="C52" s="499" t="s">
        <v>1167</v>
      </c>
      <c r="D52" s="2492"/>
      <c r="E52" s="2242"/>
      <c r="F52" s="2412"/>
      <c r="G52" s="2453"/>
      <c r="H52" s="1637"/>
      <c r="I52" s="781" t="s">
        <v>1168</v>
      </c>
      <c r="J52" s="701"/>
      <c r="K52" s="1637"/>
      <c r="L52" s="344"/>
      <c r="M52" s="2208"/>
      <c r="N52" s="464"/>
      <c r="O52" s="1761"/>
      <c r="P52" s="1761"/>
    </row>
    <row s="11775" customFormat="1" customHeight="1" ht="0.75" hidden="1">
      <c r="A53" s="1918"/>
      <c r="B53" s="1918"/>
      <c r="C53" s="499" t="s">
        <v>1173</v>
      </c>
      <c r="D53" s="2492"/>
      <c r="E53" s="2242"/>
      <c r="F53" s="2412"/>
      <c r="G53" s="530"/>
      <c r="H53" s="1637"/>
      <c r="I53" s="781"/>
      <c r="J53" s="701"/>
      <c r="K53" s="1637"/>
      <c r="L53" s="344"/>
      <c r="M53" s="2208"/>
      <c r="N53" s="464"/>
      <c r="O53" s="1761"/>
      <c r="P53" s="1761"/>
    </row>
    <row s="11775" customFormat="1" customHeight="1" ht="18.75" hidden="1">
      <c r="A54" s="1918" t="s">
        <v>313</v>
      </c>
      <c r="B54" s="1918" t="s">
        <v>314</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384</v>
      </c>
      <c r="M54" s="2208"/>
      <c r="N54" s="464"/>
      <c r="O54" s="1761"/>
      <c r="P54" s="1761"/>
    </row>
    <row s="11775" customFormat="1" customHeight="1" ht="18.75" hidden="1">
      <c r="A55" s="1918"/>
      <c r="B55" s="1918"/>
      <c r="C55" s="499" t="s">
        <v>1167</v>
      </c>
      <c r="D55" s="2492"/>
      <c r="E55" s="2242"/>
      <c r="F55" s="2412"/>
      <c r="G55" s="2453"/>
      <c r="H55" s="1637"/>
      <c r="I55" s="781" t="s">
        <v>1168</v>
      </c>
      <c r="J55" s="701"/>
      <c r="K55" s="1637"/>
      <c r="L55" s="344"/>
      <c r="M55" s="2208"/>
      <c r="N55" s="464"/>
      <c r="O55" s="1761"/>
      <c r="P55" s="1761"/>
    </row>
    <row s="11775" customFormat="1" customHeight="1" ht="0.75" hidden="1">
      <c r="A56" s="1918"/>
      <c r="B56" s="1918"/>
      <c r="C56" s="499" t="s">
        <v>1173</v>
      </c>
      <c r="D56" s="2492"/>
      <c r="E56" s="2242"/>
      <c r="F56" s="2412"/>
      <c r="G56" s="530"/>
      <c r="H56" s="1637"/>
      <c r="I56" s="781"/>
      <c r="J56" s="701"/>
      <c r="K56" s="1637"/>
      <c r="L56" s="344"/>
      <c r="M56" s="2208"/>
      <c r="N56" s="464"/>
      <c r="O56" s="1761"/>
      <c r="P56" s="1761"/>
    </row>
    <row s="11775" customFormat="1" customHeight="1" ht="18.75" hidden="1">
      <c r="A57" s="1918" t="s">
        <v>318</v>
      </c>
      <c r="B57" s="1918" t="s">
        <v>319</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384</v>
      </c>
      <c r="M57" s="2208"/>
      <c r="N57" s="464"/>
      <c r="O57" s="1761"/>
      <c r="P57" s="1761"/>
    </row>
    <row s="11775" customFormat="1" customHeight="1" ht="18.75" hidden="1">
      <c r="A58" s="1918"/>
      <c r="B58" s="1918"/>
      <c r="C58" s="499" t="s">
        <v>1167</v>
      </c>
      <c r="D58" s="2492"/>
      <c r="E58" s="2242"/>
      <c r="F58" s="2412"/>
      <c r="G58" s="2453"/>
      <c r="H58" s="1637"/>
      <c r="I58" s="781" t="s">
        <v>1168</v>
      </c>
      <c r="J58" s="701"/>
      <c r="K58" s="1637"/>
      <c r="L58" s="344"/>
      <c r="M58" s="2208"/>
      <c r="N58" s="464"/>
      <c r="O58" s="1761"/>
      <c r="P58" s="1761"/>
    </row>
    <row s="11775" customFormat="1" customHeight="1" ht="0.75" hidden="1">
      <c r="A59" s="1918"/>
      <c r="B59" s="1918"/>
      <c r="C59" s="499" t="s">
        <v>1173</v>
      </c>
      <c r="D59" s="2492"/>
      <c r="E59" s="2242"/>
      <c r="F59" s="2412"/>
      <c r="G59" s="530"/>
      <c r="H59" s="1637"/>
      <c r="I59" s="781"/>
      <c r="J59" s="701"/>
      <c r="K59" s="1637"/>
      <c r="L59" s="344"/>
      <c r="M59" s="2208"/>
      <c r="N59" s="464"/>
      <c r="O59" s="1761"/>
      <c r="P59" s="1761"/>
    </row>
    <row s="11775" customFormat="1" customHeight="1" ht="18.75" hidden="1">
      <c r="A60" s="1918" t="s">
        <v>323</v>
      </c>
      <c r="B60" s="1918" t="s">
        <v>324</v>
      </c>
      <c r="C60" s="499"/>
      <c r="D60" s="2492"/>
      <c r="E60" s="2242"/>
      <c r="F60" s="2412">
        <f>INDEX(PT_DIFFERENTIATION_VTAR,MATCH(A60,PT_DIFFERENTIATION_VTAR_ID,0))</f>
      </c>
      <c r="G60" s="2453">
        <f>INDEX(PT_DIFFERENTIATION_NTAR,MATCH(B60,PT_DIFFERENTIATION_NTAR_ID,0))</f>
      </c>
      <c r="H60" s="2001"/>
      <c r="I60" s="1876"/>
      <c r="J60" s="1911"/>
      <c r="K60" s="2004"/>
      <c r="L60" s="2001" t="s">
        <v>384</v>
      </c>
      <c r="M60" s="2208"/>
      <c r="N60" s="464"/>
      <c r="O60" s="1761"/>
      <c r="P60" s="1761"/>
    </row>
    <row s="11775" customFormat="1" customHeight="1" ht="18.75" hidden="1">
      <c r="A61" s="1918"/>
      <c r="B61" s="1918"/>
      <c r="C61" s="499" t="s">
        <v>1167</v>
      </c>
      <c r="D61" s="2492"/>
      <c r="E61" s="2242"/>
      <c r="F61" s="2412"/>
      <c r="G61" s="2453"/>
      <c r="H61" s="1637"/>
      <c r="I61" s="781" t="s">
        <v>1168</v>
      </c>
      <c r="J61" s="701"/>
      <c r="K61" s="1637"/>
      <c r="L61" s="344"/>
      <c r="M61" s="2208"/>
      <c r="N61" s="464"/>
      <c r="O61" s="1761"/>
      <c r="P61" s="1761"/>
    </row>
    <row s="11775" customFormat="1" customHeight="1" ht="0.75" hidden="1">
      <c r="A62" s="1918"/>
      <c r="B62" s="1918"/>
      <c r="C62" s="499" t="s">
        <v>1173</v>
      </c>
      <c r="D62" s="2492"/>
      <c r="E62" s="2242"/>
      <c r="F62" s="2412"/>
      <c r="G62" s="530"/>
      <c r="H62" s="1637"/>
      <c r="I62" s="781"/>
      <c r="J62" s="701"/>
      <c r="K62" s="1637"/>
      <c r="L62" s="344"/>
      <c r="M62" s="2208"/>
      <c r="N62" s="464"/>
      <c r="O62" s="1761"/>
      <c r="P62" s="1761"/>
    </row>
    <row s="11775" customFormat="1" customHeight="1" ht="18.75" hidden="1">
      <c r="A63" s="1918" t="s">
        <v>328</v>
      </c>
      <c r="B63" s="1918" t="s">
        <v>329</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384</v>
      </c>
      <c r="M63" s="2208"/>
      <c r="N63" s="464"/>
      <c r="O63" s="1761"/>
      <c r="P63" s="1761"/>
    </row>
    <row s="11775" customFormat="1" customHeight="1" ht="18.75" hidden="1">
      <c r="A64" s="1918"/>
      <c r="B64" s="1918"/>
      <c r="C64" s="499" t="s">
        <v>1167</v>
      </c>
      <c r="D64" s="2492"/>
      <c r="E64" s="2242"/>
      <c r="F64" s="2412"/>
      <c r="G64" s="2453"/>
      <c r="H64" s="1637"/>
      <c r="I64" s="781" t="s">
        <v>1168</v>
      </c>
      <c r="J64" s="701"/>
      <c r="K64" s="1637"/>
      <c r="L64" s="344"/>
      <c r="M64" s="2208"/>
      <c r="N64" s="464"/>
      <c r="O64" s="1761"/>
      <c r="P64" s="1761"/>
    </row>
    <row s="11775" customFormat="1" customHeight="1" ht="0.75" hidden="1">
      <c r="A65" s="1918"/>
      <c r="B65" s="1918"/>
      <c r="C65" s="499" t="s">
        <v>1173</v>
      </c>
      <c r="D65" s="2492"/>
      <c r="E65" s="2242"/>
      <c r="F65" s="2412"/>
      <c r="G65" s="530"/>
      <c r="H65" s="1637"/>
      <c r="I65" s="781"/>
      <c r="J65" s="701"/>
      <c r="K65" s="1637"/>
      <c r="L65" s="344"/>
      <c r="M65" s="2208"/>
      <c r="N65" s="464"/>
      <c r="O65" s="1761"/>
      <c r="P65" s="1761"/>
    </row>
    <row s="11775" customFormat="1" customHeight="1" ht="18.75" hidden="1">
      <c r="A66" s="1918" t="s">
        <v>333</v>
      </c>
      <c r="B66" s="1918" t="s">
        <v>334</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384</v>
      </c>
      <c r="M66" s="2208"/>
      <c r="N66" s="464"/>
      <c r="O66" s="1761"/>
      <c r="P66" s="1761"/>
    </row>
    <row s="11775" customFormat="1" customHeight="1" ht="18.75" hidden="1">
      <c r="A67" s="1918"/>
      <c r="B67" s="1918"/>
      <c r="C67" s="499" t="s">
        <v>1167</v>
      </c>
      <c r="D67" s="2492"/>
      <c r="E67" s="2242"/>
      <c r="F67" s="2412"/>
      <c r="G67" s="2453"/>
      <c r="H67" s="1637"/>
      <c r="I67" s="781" t="s">
        <v>1168</v>
      </c>
      <c r="J67" s="701"/>
      <c r="K67" s="1637"/>
      <c r="L67" s="344"/>
      <c r="M67" s="2208"/>
      <c r="N67" s="464"/>
      <c r="O67" s="1761"/>
      <c r="P67" s="1761"/>
    </row>
    <row s="11775" customFormat="1" customHeight="1" ht="0.75" hidden="1">
      <c r="A68" s="1918"/>
      <c r="B68" s="1918"/>
      <c r="C68" s="499" t="s">
        <v>1173</v>
      </c>
      <c r="D68" s="2492"/>
      <c r="E68" s="2242"/>
      <c r="F68" s="2412"/>
      <c r="G68" s="530"/>
      <c r="H68" s="1637"/>
      <c r="I68" s="781"/>
      <c r="J68" s="701"/>
      <c r="K68" s="1637"/>
      <c r="L68" s="344"/>
      <c r="M68" s="2208"/>
      <c r="N68" s="464"/>
      <c r="O68" s="1761"/>
      <c r="P68" s="1761"/>
    </row>
    <row s="11775" customFormat="1" customHeight="1" ht="18.75" hidden="1">
      <c r="A69" s="1918" t="s">
        <v>338</v>
      </c>
      <c r="B69" s="1918" t="s">
        <v>339</v>
      </c>
      <c r="C69" s="499"/>
      <c r="D69" s="2492"/>
      <c r="E69" s="2242"/>
      <c r="F69" s="2412">
        <f>INDEX(PT_DIFFERENTIATION_VTAR,MATCH(A69,PT_DIFFERENTIATION_VTAR_ID,0))</f>
      </c>
      <c r="G69" s="2453">
        <f>INDEX(PT_DIFFERENTIATION_NTAR,MATCH(B69,PT_DIFFERENTIATION_NTAR_ID,0))</f>
      </c>
      <c r="H69" s="2001"/>
      <c r="I69" s="1876"/>
      <c r="J69" s="1911"/>
      <c r="K69" s="2004"/>
      <c r="L69" s="2001" t="s">
        <v>384</v>
      </c>
      <c r="M69" s="2208"/>
      <c r="N69" s="464"/>
      <c r="O69" s="1761"/>
      <c r="P69" s="1761"/>
    </row>
    <row s="11775" customFormat="1" customHeight="1" ht="18.75" hidden="1">
      <c r="A70" s="1918"/>
      <c r="B70" s="1918"/>
      <c r="C70" s="499" t="s">
        <v>1167</v>
      </c>
      <c r="D70" s="2492"/>
      <c r="E70" s="2242"/>
      <c r="F70" s="2412"/>
      <c r="G70" s="2453"/>
      <c r="H70" s="1637"/>
      <c r="I70" s="781" t="s">
        <v>1168</v>
      </c>
      <c r="J70" s="701"/>
      <c r="K70" s="1637"/>
      <c r="L70" s="344"/>
      <c r="M70" s="2208"/>
      <c r="N70" s="464"/>
      <c r="O70" s="1761"/>
      <c r="P70" s="1761"/>
    </row>
    <row s="11775" customFormat="1" customHeight="1" ht="0.75" hidden="1">
      <c r="A71" s="1918"/>
      <c r="B71" s="1918"/>
      <c r="C71" s="499" t="s">
        <v>1173</v>
      </c>
      <c r="D71" s="2492"/>
      <c r="E71" s="2242"/>
      <c r="F71" s="2412"/>
      <c r="G71" s="530"/>
      <c r="H71" s="1637"/>
      <c r="I71" s="781"/>
      <c r="J71" s="701"/>
      <c r="K71" s="1637"/>
      <c r="L71" s="344"/>
      <c r="M71" s="2208"/>
      <c r="N71" s="464"/>
      <c r="O71" s="1761"/>
      <c r="P71" s="1761"/>
    </row>
    <row s="11775" customFormat="1" customHeight="1" ht="18.75" hidden="1">
      <c r="A72" s="1918" t="s">
        <v>343</v>
      </c>
      <c r="B72" s="1918" t="s">
        <v>344</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384</v>
      </c>
      <c r="M72" s="2208"/>
      <c r="N72" s="464"/>
      <c r="O72" s="1761"/>
      <c r="P72" s="1761"/>
    </row>
    <row s="11775" customFormat="1" customHeight="1" ht="18.75" hidden="1">
      <c r="A73" s="1918"/>
      <c r="B73" s="1918"/>
      <c r="C73" s="499" t="s">
        <v>1167</v>
      </c>
      <c r="D73" s="2492"/>
      <c r="E73" s="2242"/>
      <c r="F73" s="2412"/>
      <c r="G73" s="2453"/>
      <c r="H73" s="1637"/>
      <c r="I73" s="781" t="s">
        <v>1168</v>
      </c>
      <c r="J73" s="701"/>
      <c r="K73" s="1637"/>
      <c r="L73" s="344"/>
      <c r="M73" s="2208"/>
      <c r="N73" s="464"/>
      <c r="O73" s="1761"/>
      <c r="P73" s="1761"/>
    </row>
    <row s="11775" customFormat="1" customHeight="1" ht="0.75" hidden="1">
      <c r="A74" s="1918"/>
      <c r="B74" s="1918"/>
      <c r="C74" s="499" t="s">
        <v>1173</v>
      </c>
      <c r="D74" s="2492"/>
      <c r="E74" s="2242"/>
      <c r="F74" s="2412"/>
      <c r="G74" s="530"/>
      <c r="H74" s="1637"/>
      <c r="I74" s="781"/>
      <c r="J74" s="701"/>
      <c r="K74" s="1637"/>
      <c r="L74" s="344"/>
      <c r="M74" s="2208"/>
      <c r="N74" s="464"/>
      <c r="O74" s="1761"/>
      <c r="P74" s="1761"/>
    </row>
    <row s="11775" customFormat="1" customHeight="1" ht="18.75" hidden="1">
      <c r="A75" s="1918" t="s">
        <v>348</v>
      </c>
      <c r="B75" s="1918" t="s">
        <v>349</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384</v>
      </c>
      <c r="M75" s="2208"/>
      <c r="N75" s="464"/>
      <c r="O75" s="1761"/>
      <c r="P75" s="1761"/>
    </row>
    <row s="11775" customFormat="1" customHeight="1" ht="18.75" hidden="1">
      <c r="A76" s="1918"/>
      <c r="B76" s="1918"/>
      <c r="C76" s="499" t="s">
        <v>1167</v>
      </c>
      <c r="D76" s="2492"/>
      <c r="E76" s="2242"/>
      <c r="F76" s="2412"/>
      <c r="G76" s="2453"/>
      <c r="H76" s="1637"/>
      <c r="I76" s="781" t="s">
        <v>1168</v>
      </c>
      <c r="J76" s="701"/>
      <c r="K76" s="1637"/>
      <c r="L76" s="344"/>
      <c r="M76" s="2208"/>
      <c r="N76" s="464"/>
      <c r="O76" s="1761"/>
      <c r="P76" s="1761"/>
    </row>
    <row s="11775" customFormat="1" customHeight="1" ht="0.75" hidden="1">
      <c r="A77" s="1918"/>
      <c r="B77" s="1918"/>
      <c r="C77" s="499" t="s">
        <v>1173</v>
      </c>
      <c r="D77" s="2492"/>
      <c r="E77" s="2242"/>
      <c r="F77" s="2412"/>
      <c r="G77" s="530"/>
      <c r="H77" s="1637"/>
      <c r="I77" s="781"/>
      <c r="J77" s="701"/>
      <c r="K77" s="1637"/>
      <c r="L77" s="344"/>
      <c r="M77" s="2208"/>
      <c r="N77" s="464"/>
      <c r="O77" s="1761"/>
      <c r="P77" s="1761"/>
    </row>
    <row s="11775" customFormat="1" customHeight="1" ht="18.75" hidden="1">
      <c r="A78" s="1918" t="s">
        <v>353</v>
      </c>
      <c r="B78" s="1918" t="s">
        <v>354</v>
      </c>
      <c r="C78" s="499"/>
      <c r="D78" s="2492"/>
      <c r="E78" s="2242"/>
      <c r="F78" s="2412">
        <f>INDEX(PT_DIFFERENTIATION_VTAR,MATCH(A78,PT_DIFFERENTIATION_VTAR_ID,0))</f>
      </c>
      <c r="G78" s="2453">
        <f>INDEX(PT_DIFFERENTIATION_NTAR,MATCH(B78,PT_DIFFERENTIATION_NTAR_ID,0))</f>
      </c>
      <c r="H78" s="2001"/>
      <c r="I78" s="1876"/>
      <c r="J78" s="1911"/>
      <c r="K78" s="2004"/>
      <c r="L78" s="2001" t="s">
        <v>384</v>
      </c>
      <c r="M78" s="2208"/>
      <c r="N78" s="464"/>
      <c r="O78" s="1761"/>
      <c r="P78" s="1761"/>
    </row>
    <row s="11775" customFormat="1" customHeight="1" ht="18.75" hidden="1">
      <c r="A79" s="1918"/>
      <c r="B79" s="1918"/>
      <c r="C79" s="499" t="s">
        <v>1167</v>
      </c>
      <c r="D79" s="2492"/>
      <c r="E79" s="2242"/>
      <c r="F79" s="2412"/>
      <c r="G79" s="2453"/>
      <c r="H79" s="1637"/>
      <c r="I79" s="781" t="s">
        <v>1168</v>
      </c>
      <c r="J79" s="701"/>
      <c r="K79" s="1637"/>
      <c r="L79" s="344"/>
      <c r="M79" s="2208"/>
      <c r="N79" s="464"/>
      <c r="O79" s="1761"/>
      <c r="P79" s="1761"/>
    </row>
    <row s="11775" customFormat="1" customHeight="1" ht="0.75">
      <c r="A80" s="1918"/>
      <c r="B80" s="1918"/>
      <c r="C80" s="499" t="s">
        <v>1173</v>
      </c>
      <c r="D80" s="2492"/>
      <c r="E80" s="2242"/>
      <c r="F80" s="2412"/>
      <c r="G80" s="530"/>
      <c r="H80" s="1637"/>
      <c r="I80" s="781"/>
      <c r="J80" s="701"/>
      <c r="K80" s="1637"/>
      <c r="L80" s="344"/>
      <c r="M80" s="2208"/>
      <c r="N80" s="464"/>
      <c r="O80" s="1761"/>
      <c r="P80" s="1761"/>
    </row>
    <row customHeight="1" ht="18.75">
      <c r="A81" s="1918"/>
      <c r="B81" s="1918"/>
      <c r="D81" s="506"/>
      <c r="E81" s="277" t="s">
        <v>100</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90"/>
      <c r="H81" s="2490"/>
      <c r="I81" s="2490"/>
      <c r="J81" s="2490"/>
      <c r="K81" s="2490"/>
      <c r="L81" s="2490"/>
      <c r="M81" s="427"/>
      <c r="N81" s="464"/>
    </row>
    <row customHeight="1" ht="33.75">
      <c r="A82" s="1918"/>
      <c r="B82" s="1918"/>
      <c r="D82" s="506"/>
      <c r="E82" s="529"/>
      <c r="F82" s="328" t="s">
        <v>384</v>
      </c>
      <c r="G82" s="328" t="s">
        <v>384</v>
      </c>
      <c r="H82" s="2257" t="s">
        <v>384</v>
      </c>
      <c r="I82" s="2259"/>
      <c r="J82" s="328" t="s">
        <v>384</v>
      </c>
      <c r="K82" s="328" t="s">
        <v>384</v>
      </c>
      <c r="L82" s="531"/>
      <c r="M82" s="475" t="s">
        <v>1174</v>
      </c>
      <c r="N82" s="464"/>
    </row>
    <row customHeight="1" ht="18.75">
      <c r="A83" s="1918"/>
      <c r="B83" s="1918"/>
      <c r="D83" s="506"/>
      <c r="E83" s="277" t="s">
        <v>87</v>
      </c>
      <c r="F83" s="2490" t="s">
        <v>1175</v>
      </c>
      <c r="G83" s="2490"/>
      <c r="H83" s="2490"/>
      <c r="I83" s="2490"/>
      <c r="J83" s="2490"/>
      <c r="K83" s="2490"/>
      <c r="L83" s="2490"/>
      <c r="M83" s="427"/>
      <c r="N83" s="464"/>
    </row>
    <row s="11775" customFormat="1" customHeight="1" ht="60.75" hidden="1">
      <c r="A84" s="1918" t="s">
        <v>235</v>
      </c>
      <c r="B84" s="1918" t="s">
        <v>236</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384</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775" customFormat="1" customHeight="1" ht="18.75" hidden="1">
      <c r="A85" s="1918"/>
      <c r="B85" s="1918"/>
      <c r="C85" s="499" t="s">
        <v>1169</v>
      </c>
      <c r="D85" s="2492"/>
      <c r="E85" s="2242"/>
      <c r="F85" s="2412"/>
      <c r="G85" s="2453"/>
      <c r="H85" s="1637"/>
      <c r="I85" s="781" t="s">
        <v>1168</v>
      </c>
      <c r="J85" s="701"/>
      <c r="K85" s="1637"/>
      <c r="L85" s="344"/>
      <c r="M85" s="2208"/>
      <c r="N85" s="464"/>
      <c r="O85" s="1761"/>
      <c r="P85" s="1761"/>
    </row>
    <row s="11775" customFormat="1" customHeight="1" ht="0.75" hidden="1">
      <c r="A86" s="1918"/>
      <c r="B86" s="1918"/>
      <c r="C86" s="499" t="s">
        <v>1176</v>
      </c>
      <c r="D86" s="2492"/>
      <c r="E86" s="2242"/>
      <c r="F86" s="2412"/>
      <c r="G86" s="530"/>
      <c r="H86" s="1637"/>
      <c r="I86" s="781"/>
      <c r="J86" s="701"/>
      <c r="K86" s="1637"/>
      <c r="L86" s="344"/>
      <c r="M86" s="2208"/>
      <c r="N86" s="464"/>
      <c r="O86" s="1761"/>
      <c r="P86" s="1761"/>
    </row>
    <row s="11775" customFormat="1" customHeight="1" ht="45" hidden="1">
      <c r="A87" s="1918" t="s">
        <v>241</v>
      </c>
      <c r="B87" s="1918" t="s">
        <v>242</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384</v>
      </c>
      <c r="M87" s="2209"/>
      <c r="N87" s="464"/>
      <c r="O87" s="1761"/>
      <c r="P87" s="1761"/>
    </row>
    <row s="11775" customFormat="1" customHeight="1" ht="18.75" hidden="1">
      <c r="A88" s="1918"/>
      <c r="B88" s="1918"/>
      <c r="C88" s="499" t="s">
        <v>1169</v>
      </c>
      <c r="D88" s="2492"/>
      <c r="E88" s="2242"/>
      <c r="F88" s="2412"/>
      <c r="G88" s="2453"/>
      <c r="H88" s="1637"/>
      <c r="I88" s="781" t="s">
        <v>1168</v>
      </c>
      <c r="J88" s="701"/>
      <c r="K88" s="1637"/>
      <c r="L88" s="344"/>
      <c r="M88" s="2000"/>
      <c r="N88" s="464"/>
      <c r="O88" s="1761"/>
      <c r="P88" s="1761"/>
    </row>
    <row s="11775" customFormat="1" customHeight="1" ht="0.75" hidden="1">
      <c r="A89" s="1918"/>
      <c r="B89" s="1918"/>
      <c r="C89" s="499" t="s">
        <v>1176</v>
      </c>
      <c r="D89" s="2492"/>
      <c r="E89" s="2242"/>
      <c r="F89" s="2412"/>
      <c r="G89" s="530"/>
      <c r="H89" s="1637"/>
      <c r="I89" s="781"/>
      <c r="J89" s="701"/>
      <c r="K89" s="1637"/>
      <c r="L89" s="344"/>
      <c r="M89" s="471"/>
      <c r="N89" s="464"/>
      <c r="O89" s="1761"/>
      <c r="P89" s="1761"/>
    </row>
    <row s="11775" customFormat="1" customHeight="1" ht="45" hidden="1">
      <c r="A90" s="1918" t="s">
        <v>247</v>
      </c>
      <c r="B90" s="1918" t="s">
        <v>248</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384</v>
      </c>
      <c r="M90" s="471"/>
      <c r="N90" s="464"/>
      <c r="O90" s="1761"/>
      <c r="P90" s="1761"/>
    </row>
    <row s="11775" customFormat="1" customHeight="1" ht="18.75" hidden="1">
      <c r="A91" s="1918"/>
      <c r="B91" s="1918"/>
      <c r="C91" s="499" t="s">
        <v>1169</v>
      </c>
      <c r="D91" s="2492"/>
      <c r="E91" s="2242"/>
      <c r="F91" s="2412"/>
      <c r="G91" s="2453"/>
      <c r="H91" s="1637"/>
      <c r="I91" s="781" t="s">
        <v>1168</v>
      </c>
      <c r="J91" s="701"/>
      <c r="K91" s="1637"/>
      <c r="L91" s="344"/>
      <c r="M91" s="471"/>
      <c r="N91" s="464"/>
      <c r="O91" s="1761"/>
      <c r="P91" s="1761"/>
    </row>
    <row s="11775" customFormat="1" customHeight="1" ht="0.75" hidden="1">
      <c r="A92" s="1918"/>
      <c r="B92" s="1918"/>
      <c r="C92" s="499" t="s">
        <v>1176</v>
      </c>
      <c r="D92" s="2492"/>
      <c r="E92" s="2242"/>
      <c r="F92" s="2412"/>
      <c r="G92" s="530"/>
      <c r="H92" s="1637"/>
      <c r="I92" s="781"/>
      <c r="J92" s="701"/>
      <c r="K92" s="1637"/>
      <c r="L92" s="344"/>
      <c r="M92" s="471"/>
      <c r="N92" s="464"/>
      <c r="O92" s="1761"/>
      <c r="P92" s="1761"/>
    </row>
    <row s="11775" customFormat="1" customHeight="1" ht="45" hidden="1">
      <c r="A93" s="1918" t="s">
        <v>253</v>
      </c>
      <c r="B93" s="1918" t="s">
        <v>254</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384</v>
      </c>
      <c r="M93" s="471"/>
      <c r="N93" s="464"/>
      <c r="O93" s="1761"/>
      <c r="P93" s="1761"/>
    </row>
    <row s="11775" customFormat="1" customHeight="1" ht="18.75" hidden="1">
      <c r="A94" s="1918"/>
      <c r="B94" s="1918"/>
      <c r="C94" s="499" t="s">
        <v>1169</v>
      </c>
      <c r="D94" s="2492"/>
      <c r="E94" s="2242"/>
      <c r="F94" s="2412"/>
      <c r="G94" s="2453"/>
      <c r="H94" s="1637"/>
      <c r="I94" s="781" t="s">
        <v>1168</v>
      </c>
      <c r="J94" s="701"/>
      <c r="K94" s="1637"/>
      <c r="L94" s="344"/>
      <c r="M94" s="471"/>
      <c r="N94" s="464"/>
      <c r="O94" s="1761"/>
      <c r="P94" s="1761"/>
    </row>
    <row s="11775" customFormat="1" customHeight="1" ht="0.75" hidden="1">
      <c r="A95" s="1918"/>
      <c r="B95" s="1918"/>
      <c r="C95" s="499" t="s">
        <v>1176</v>
      </c>
      <c r="D95" s="2492"/>
      <c r="E95" s="2242"/>
      <c r="F95" s="2412"/>
      <c r="G95" s="530"/>
      <c r="H95" s="1637"/>
      <c r="I95" s="781"/>
      <c r="J95" s="701"/>
      <c r="K95" s="1637"/>
      <c r="L95" s="344"/>
      <c r="M95" s="471"/>
      <c r="N95" s="464"/>
      <c r="O95" s="1761"/>
      <c r="P95" s="1761"/>
    </row>
    <row s="11775" customFormat="1" customHeight="1" ht="18.75" hidden="1">
      <c r="A96" s="1918" t="s">
        <v>259</v>
      </c>
      <c r="B96" s="1918" t="s">
        <v>260</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384</v>
      </c>
      <c r="M96" s="471"/>
      <c r="N96" s="464"/>
      <c r="O96" s="1761"/>
      <c r="P96" s="1761"/>
    </row>
    <row s="11775" customFormat="1" customHeight="1" ht="18.75" hidden="1">
      <c r="A97" s="1918"/>
      <c r="B97" s="1918"/>
      <c r="C97" s="499" t="s">
        <v>1169</v>
      </c>
      <c r="D97" s="2492"/>
      <c r="E97" s="2242"/>
      <c r="F97" s="2412"/>
      <c r="G97" s="2453"/>
      <c r="H97" s="1637"/>
      <c r="I97" s="781" t="s">
        <v>1168</v>
      </c>
      <c r="J97" s="701"/>
      <c r="K97" s="1637"/>
      <c r="L97" s="344"/>
      <c r="M97" s="471"/>
      <c r="N97" s="464"/>
      <c r="O97" s="1761"/>
      <c r="P97" s="1761"/>
    </row>
    <row s="11775" customFormat="1" customHeight="1" ht="0.75" hidden="1">
      <c r="A98" s="1918"/>
      <c r="B98" s="1918"/>
      <c r="C98" s="499" t="s">
        <v>1176</v>
      </c>
      <c r="D98" s="2492"/>
      <c r="E98" s="2242"/>
      <c r="F98" s="2412"/>
      <c r="G98" s="530"/>
      <c r="H98" s="1637"/>
      <c r="I98" s="781"/>
      <c r="J98" s="701"/>
      <c r="K98" s="1637"/>
      <c r="L98" s="344"/>
      <c r="M98" s="471"/>
      <c r="N98" s="464"/>
      <c r="O98" s="1761"/>
      <c r="P98" s="1761"/>
    </row>
    <row s="11775" customFormat="1" customHeight="1" ht="18.75" hidden="1">
      <c r="A99" s="1918" t="s">
        <v>265</v>
      </c>
      <c r="B99" s="1918" t="s">
        <v>266</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384</v>
      </c>
      <c r="M99" s="471"/>
      <c r="N99" s="464"/>
      <c r="O99" s="1761"/>
      <c r="P99" s="1761"/>
    </row>
    <row s="11775" customFormat="1" customHeight="1" ht="18.75" hidden="1">
      <c r="A100" s="1918"/>
      <c r="B100" s="1918"/>
      <c r="C100" s="499" t="s">
        <v>1169</v>
      </c>
      <c r="D100" s="2492"/>
      <c r="E100" s="2242"/>
      <c r="F100" s="2412"/>
      <c r="G100" s="2453"/>
      <c r="H100" s="1637"/>
      <c r="I100" s="781" t="s">
        <v>1168</v>
      </c>
      <c r="J100" s="701"/>
      <c r="K100" s="1637"/>
      <c r="L100" s="344"/>
      <c r="M100" s="471"/>
      <c r="N100" s="464"/>
      <c r="O100" s="1761"/>
      <c r="P100" s="1761"/>
    </row>
    <row s="11775" customFormat="1" customHeight="1" ht="0.75" hidden="1">
      <c r="A101" s="1918"/>
      <c r="B101" s="1918"/>
      <c r="C101" s="499" t="s">
        <v>1176</v>
      </c>
      <c r="D101" s="2492"/>
      <c r="E101" s="2242"/>
      <c r="F101" s="2412"/>
      <c r="G101" s="530"/>
      <c r="H101" s="1637"/>
      <c r="I101" s="781"/>
      <c r="J101" s="701"/>
      <c r="K101" s="1637"/>
      <c r="L101" s="344"/>
      <c r="M101" s="471"/>
      <c r="N101" s="464"/>
      <c r="O101" s="1761"/>
      <c r="P101" s="1761"/>
    </row>
    <row s="11775" customFormat="1" customHeight="1" ht="18.75" hidden="1">
      <c r="A102" s="1918" t="s">
        <v>271</v>
      </c>
      <c r="B102" s="1918" t="s">
        <v>272</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384</v>
      </c>
      <c r="M102" s="471"/>
      <c r="N102" s="464"/>
      <c r="O102" s="1761"/>
      <c r="P102" s="1761"/>
    </row>
    <row s="11775" customFormat="1" customHeight="1" ht="18.75" hidden="1">
      <c r="A103" s="1918"/>
      <c r="B103" s="1918"/>
      <c r="C103" s="499" t="s">
        <v>1169</v>
      </c>
      <c r="D103" s="2492"/>
      <c r="E103" s="2242"/>
      <c r="F103" s="2412"/>
      <c r="G103" s="2453"/>
      <c r="H103" s="1637"/>
      <c r="I103" s="781" t="s">
        <v>1168</v>
      </c>
      <c r="J103" s="701"/>
      <c r="K103" s="1637"/>
      <c r="L103" s="344"/>
      <c r="M103" s="471"/>
      <c r="N103" s="464"/>
      <c r="O103" s="1761"/>
      <c r="P103" s="1761"/>
    </row>
    <row s="11775" customFormat="1" customHeight="1" ht="0.75" hidden="1">
      <c r="A104" s="1918"/>
      <c r="B104" s="1918"/>
      <c r="C104" s="499" t="s">
        <v>1176</v>
      </c>
      <c r="D104" s="2492"/>
      <c r="E104" s="2242"/>
      <c r="F104" s="2412"/>
      <c r="G104" s="530"/>
      <c r="H104" s="1637"/>
      <c r="I104" s="781"/>
      <c r="J104" s="701"/>
      <c r="K104" s="1637"/>
      <c r="L104" s="344"/>
      <c r="M104" s="471"/>
      <c r="N104" s="464"/>
      <c r="O104" s="1761"/>
      <c r="P104" s="1761"/>
    </row>
    <row s="11775" customFormat="1" customHeight="1" ht="18.75" hidden="1">
      <c r="A105" s="1918" t="s">
        <v>277</v>
      </c>
      <c r="B105" s="1918" t="s">
        <v>278</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384</v>
      </c>
      <c r="M105" s="471"/>
      <c r="N105" s="464"/>
      <c r="O105" s="1761"/>
      <c r="P105" s="1761"/>
    </row>
    <row s="11775" customFormat="1" customHeight="1" ht="18.75" hidden="1">
      <c r="A106" s="1918"/>
      <c r="B106" s="1918"/>
      <c r="C106" s="499" t="s">
        <v>1169</v>
      </c>
      <c r="D106" s="2492"/>
      <c r="E106" s="2242"/>
      <c r="F106" s="2412"/>
      <c r="G106" s="2453"/>
      <c r="H106" s="1637"/>
      <c r="I106" s="781" t="s">
        <v>1168</v>
      </c>
      <c r="J106" s="701"/>
      <c r="K106" s="1637"/>
      <c r="L106" s="344"/>
      <c r="M106" s="471"/>
      <c r="N106" s="464"/>
      <c r="O106" s="1761"/>
      <c r="P106" s="1761"/>
    </row>
    <row s="11775" customFormat="1" customHeight="1" ht="0.75" hidden="1">
      <c r="A107" s="1918"/>
      <c r="B107" s="1918"/>
      <c r="C107" s="499" t="s">
        <v>1176</v>
      </c>
      <c r="D107" s="2492"/>
      <c r="E107" s="2242"/>
      <c r="F107" s="2412"/>
      <c r="G107" s="530"/>
      <c r="H107" s="1637"/>
      <c r="I107" s="781"/>
      <c r="J107" s="701"/>
      <c r="K107" s="1637"/>
      <c r="L107" s="344"/>
      <c r="M107" s="471"/>
      <c r="N107" s="464"/>
      <c r="O107" s="1761"/>
      <c r="P107" s="1761"/>
    </row>
    <row s="11775" customFormat="1" customHeight="1" ht="18.75" hidden="1">
      <c r="A108" s="1918" t="s">
        <v>303</v>
      </c>
      <c r="B108" s="1918" t="s">
        <v>304</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384</v>
      </c>
      <c r="M108" s="471"/>
      <c r="N108" s="464"/>
      <c r="O108" s="1761"/>
      <c r="P108" s="1761"/>
    </row>
    <row s="11775" customFormat="1" customHeight="1" ht="18.75" hidden="1">
      <c r="A109" s="1918"/>
      <c r="B109" s="1918"/>
      <c r="C109" s="499" t="s">
        <v>1169</v>
      </c>
      <c r="D109" s="2492"/>
      <c r="E109" s="2242"/>
      <c r="F109" s="2412"/>
      <c r="G109" s="2453"/>
      <c r="H109" s="1637"/>
      <c r="I109" s="781" t="s">
        <v>1168</v>
      </c>
      <c r="J109" s="701"/>
      <c r="K109" s="1637"/>
      <c r="L109" s="344"/>
      <c r="M109" s="471"/>
      <c r="N109" s="464"/>
      <c r="O109" s="1761"/>
      <c r="P109" s="1761"/>
    </row>
    <row s="11775" customFormat="1" customHeight="1" ht="0.75" hidden="1">
      <c r="A110" s="1918"/>
      <c r="B110" s="1918"/>
      <c r="C110" s="499" t="s">
        <v>1176</v>
      </c>
      <c r="D110" s="2492"/>
      <c r="E110" s="2242"/>
      <c r="F110" s="2412"/>
      <c r="G110" s="530"/>
      <c r="H110" s="1637"/>
      <c r="I110" s="781"/>
      <c r="J110" s="701"/>
      <c r="K110" s="1637"/>
      <c r="L110" s="344"/>
      <c r="M110" s="471"/>
      <c r="N110" s="464"/>
      <c r="O110" s="1761"/>
      <c r="P110" s="1761"/>
    </row>
    <row s="11775" customFormat="1" customHeight="1" ht="18.75" hidden="1">
      <c r="A111" s="1918" t="s">
        <v>308</v>
      </c>
      <c r="B111" s="1918" t="s">
        <v>309</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384</v>
      </c>
      <c r="M111" s="471"/>
      <c r="N111" s="464"/>
      <c r="O111" s="1761"/>
      <c r="P111" s="1761"/>
    </row>
    <row s="11775" customFormat="1" customHeight="1" ht="18.75" hidden="1">
      <c r="A112" s="1918"/>
      <c r="B112" s="1918"/>
      <c r="C112" s="499" t="s">
        <v>1169</v>
      </c>
      <c r="D112" s="2492"/>
      <c r="E112" s="2242"/>
      <c r="F112" s="2412"/>
      <c r="G112" s="2453"/>
      <c r="H112" s="1637"/>
      <c r="I112" s="781" t="s">
        <v>1168</v>
      </c>
      <c r="J112" s="701"/>
      <c r="K112" s="1637"/>
      <c r="L112" s="344"/>
      <c r="M112" s="471"/>
      <c r="N112" s="464"/>
      <c r="O112" s="1761"/>
      <c r="P112" s="1761"/>
    </row>
    <row s="11775" customFormat="1" customHeight="1" ht="0.75" hidden="1">
      <c r="A113" s="1918"/>
      <c r="B113" s="1918"/>
      <c r="C113" s="499" t="s">
        <v>1176</v>
      </c>
      <c r="D113" s="2492"/>
      <c r="E113" s="2242"/>
      <c r="F113" s="2412"/>
      <c r="G113" s="530"/>
      <c r="H113" s="1637"/>
      <c r="I113" s="781"/>
      <c r="J113" s="701"/>
      <c r="K113" s="1637"/>
      <c r="L113" s="344"/>
      <c r="M113" s="471"/>
      <c r="N113" s="464"/>
      <c r="O113" s="1761"/>
      <c r="P113" s="1761"/>
    </row>
    <row s="11775" customFormat="1" customHeight="1" ht="18.75" hidden="1">
      <c r="A114" s="1918" t="s">
        <v>313</v>
      </c>
      <c r="B114" s="1918" t="s">
        <v>314</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384</v>
      </c>
      <c r="M114" s="471"/>
      <c r="N114" s="464"/>
      <c r="O114" s="1761"/>
      <c r="P114" s="1761"/>
    </row>
    <row s="11775" customFormat="1" customHeight="1" ht="18.75" hidden="1">
      <c r="A115" s="1918"/>
      <c r="B115" s="1918"/>
      <c r="C115" s="499" t="s">
        <v>1169</v>
      </c>
      <c r="D115" s="2492"/>
      <c r="E115" s="2242"/>
      <c r="F115" s="2412"/>
      <c r="G115" s="2453"/>
      <c r="H115" s="1637"/>
      <c r="I115" s="781" t="s">
        <v>1168</v>
      </c>
      <c r="J115" s="701"/>
      <c r="K115" s="1637"/>
      <c r="L115" s="344"/>
      <c r="M115" s="471"/>
      <c r="N115" s="464"/>
      <c r="O115" s="1761"/>
      <c r="P115" s="1761"/>
    </row>
    <row s="11775" customFormat="1" customHeight="1" ht="0.75" hidden="1">
      <c r="A116" s="1918"/>
      <c r="B116" s="1918"/>
      <c r="C116" s="499" t="s">
        <v>1176</v>
      </c>
      <c r="D116" s="2492"/>
      <c r="E116" s="2242"/>
      <c r="F116" s="2412"/>
      <c r="G116" s="530"/>
      <c r="H116" s="1637"/>
      <c r="I116" s="781"/>
      <c r="J116" s="701"/>
      <c r="K116" s="1637"/>
      <c r="L116" s="344"/>
      <c r="M116" s="471"/>
      <c r="N116" s="464"/>
      <c r="O116" s="1761"/>
      <c r="P116" s="1761"/>
    </row>
    <row s="11775" customFormat="1" customHeight="1" ht="18.75" hidden="1">
      <c r="A117" s="1918" t="s">
        <v>318</v>
      </c>
      <c r="B117" s="1918" t="s">
        <v>319</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384</v>
      </c>
      <c r="M117" s="471"/>
      <c r="N117" s="464"/>
      <c r="O117" s="1761"/>
      <c r="P117" s="1761"/>
    </row>
    <row s="11775" customFormat="1" customHeight="1" ht="18.75" hidden="1">
      <c r="A118" s="1918"/>
      <c r="B118" s="1918"/>
      <c r="C118" s="499" t="s">
        <v>1169</v>
      </c>
      <c r="D118" s="2492"/>
      <c r="E118" s="2242"/>
      <c r="F118" s="2412"/>
      <c r="G118" s="2453"/>
      <c r="H118" s="1637"/>
      <c r="I118" s="781" t="s">
        <v>1168</v>
      </c>
      <c r="J118" s="701"/>
      <c r="K118" s="1637"/>
      <c r="L118" s="344"/>
      <c r="M118" s="471"/>
      <c r="N118" s="464"/>
      <c r="O118" s="1761"/>
      <c r="P118" s="1761"/>
    </row>
    <row s="11775" customFormat="1" customHeight="1" ht="0.75" hidden="1">
      <c r="A119" s="1918"/>
      <c r="B119" s="1918"/>
      <c r="C119" s="499" t="s">
        <v>1176</v>
      </c>
      <c r="D119" s="2492"/>
      <c r="E119" s="2242"/>
      <c r="F119" s="2412"/>
      <c r="G119" s="530"/>
      <c r="H119" s="1637"/>
      <c r="I119" s="781"/>
      <c r="J119" s="701"/>
      <c r="K119" s="1637"/>
      <c r="L119" s="344"/>
      <c r="M119" s="471"/>
      <c r="N119" s="464"/>
      <c r="O119" s="1761"/>
      <c r="P119" s="1761"/>
    </row>
    <row s="11775" customFormat="1" customHeight="1" ht="18.75" hidden="1">
      <c r="A120" s="1918" t="s">
        <v>323</v>
      </c>
      <c r="B120" s="1918" t="s">
        <v>324</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384</v>
      </c>
      <c r="M120" s="471"/>
      <c r="N120" s="464"/>
      <c r="O120" s="1761"/>
      <c r="P120" s="1761"/>
    </row>
    <row s="11775" customFormat="1" customHeight="1" ht="18.75" hidden="1">
      <c r="A121" s="1918"/>
      <c r="B121" s="1918"/>
      <c r="C121" s="499" t="s">
        <v>1169</v>
      </c>
      <c r="D121" s="2492"/>
      <c r="E121" s="2242"/>
      <c r="F121" s="2412"/>
      <c r="G121" s="2453"/>
      <c r="H121" s="1637"/>
      <c r="I121" s="781" t="s">
        <v>1168</v>
      </c>
      <c r="J121" s="701"/>
      <c r="K121" s="1637"/>
      <c r="L121" s="344"/>
      <c r="M121" s="471"/>
      <c r="N121" s="464"/>
      <c r="O121" s="1761"/>
      <c r="P121" s="1761"/>
    </row>
    <row s="11775" customFormat="1" customHeight="1" ht="0.75" hidden="1">
      <c r="A122" s="1918"/>
      <c r="B122" s="1918"/>
      <c r="C122" s="499" t="s">
        <v>1176</v>
      </c>
      <c r="D122" s="2492"/>
      <c r="E122" s="2242"/>
      <c r="F122" s="2412"/>
      <c r="G122" s="530"/>
      <c r="H122" s="1637"/>
      <c r="I122" s="781"/>
      <c r="J122" s="701"/>
      <c r="K122" s="1637"/>
      <c r="L122" s="344"/>
      <c r="M122" s="471"/>
      <c r="N122" s="464"/>
      <c r="O122" s="1761"/>
      <c r="P122" s="1761"/>
    </row>
    <row s="11775" customFormat="1" customHeight="1" ht="18.75" hidden="1">
      <c r="A123" s="1918" t="s">
        <v>328</v>
      </c>
      <c r="B123" s="1918" t="s">
        <v>329</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384</v>
      </c>
      <c r="M123" s="471"/>
      <c r="N123" s="464"/>
      <c r="O123" s="1761"/>
      <c r="P123" s="1761"/>
    </row>
    <row s="11775" customFormat="1" customHeight="1" ht="18.75" hidden="1">
      <c r="A124" s="1918"/>
      <c r="B124" s="1918"/>
      <c r="C124" s="499" t="s">
        <v>1169</v>
      </c>
      <c r="D124" s="2492"/>
      <c r="E124" s="2242"/>
      <c r="F124" s="2412"/>
      <c r="G124" s="2453"/>
      <c r="H124" s="1637"/>
      <c r="I124" s="781" t="s">
        <v>1168</v>
      </c>
      <c r="J124" s="701"/>
      <c r="K124" s="1637"/>
      <c r="L124" s="344"/>
      <c r="M124" s="471"/>
      <c r="N124" s="464"/>
      <c r="O124" s="1761"/>
      <c r="P124" s="1761"/>
    </row>
    <row s="11775" customFormat="1" customHeight="1" ht="0.75" hidden="1">
      <c r="A125" s="1918"/>
      <c r="B125" s="1918"/>
      <c r="C125" s="499" t="s">
        <v>1176</v>
      </c>
      <c r="D125" s="2492"/>
      <c r="E125" s="2242"/>
      <c r="F125" s="2412"/>
      <c r="G125" s="530"/>
      <c r="H125" s="1637"/>
      <c r="I125" s="781"/>
      <c r="J125" s="701"/>
      <c r="K125" s="1637"/>
      <c r="L125" s="344"/>
      <c r="M125" s="471"/>
      <c r="N125" s="464"/>
      <c r="O125" s="1761"/>
      <c r="P125" s="1761"/>
    </row>
    <row s="11775" customFormat="1" customHeight="1" ht="18.75" hidden="1">
      <c r="A126" s="1918" t="s">
        <v>333</v>
      </c>
      <c r="B126" s="1918" t="s">
        <v>334</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384</v>
      </c>
      <c r="M126" s="471"/>
      <c r="N126" s="464"/>
      <c r="O126" s="1761"/>
      <c r="P126" s="1761"/>
    </row>
    <row s="11775" customFormat="1" customHeight="1" ht="18.75" hidden="1">
      <c r="A127" s="1918"/>
      <c r="B127" s="1918"/>
      <c r="C127" s="499" t="s">
        <v>1169</v>
      </c>
      <c r="D127" s="2492"/>
      <c r="E127" s="2242"/>
      <c r="F127" s="2412"/>
      <c r="G127" s="2453"/>
      <c r="H127" s="1637"/>
      <c r="I127" s="781" t="s">
        <v>1168</v>
      </c>
      <c r="J127" s="701"/>
      <c r="K127" s="1637"/>
      <c r="L127" s="344"/>
      <c r="M127" s="471"/>
      <c r="N127" s="464"/>
      <c r="O127" s="1761"/>
      <c r="P127" s="1761"/>
    </row>
    <row s="11775" customFormat="1" customHeight="1" ht="0.75" hidden="1">
      <c r="A128" s="1918"/>
      <c r="B128" s="1918"/>
      <c r="C128" s="499" t="s">
        <v>1176</v>
      </c>
      <c r="D128" s="2492"/>
      <c r="E128" s="2242"/>
      <c r="F128" s="2412"/>
      <c r="G128" s="530"/>
      <c r="H128" s="1637"/>
      <c r="I128" s="781"/>
      <c r="J128" s="701"/>
      <c r="K128" s="1637"/>
      <c r="L128" s="344"/>
      <c r="M128" s="471"/>
      <c r="N128" s="464"/>
      <c r="O128" s="1761"/>
      <c r="P128" s="1761"/>
    </row>
    <row s="11775" customFormat="1" customHeight="1" ht="18.75" hidden="1">
      <c r="A129" s="1918" t="s">
        <v>338</v>
      </c>
      <c r="B129" s="1918" t="s">
        <v>339</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384</v>
      </c>
      <c r="M129" s="471"/>
      <c r="N129" s="464"/>
      <c r="O129" s="1761"/>
      <c r="P129" s="1761"/>
    </row>
    <row s="11775" customFormat="1" customHeight="1" ht="18.75" hidden="1">
      <c r="A130" s="1918"/>
      <c r="B130" s="1918"/>
      <c r="C130" s="499" t="s">
        <v>1169</v>
      </c>
      <c r="D130" s="2492"/>
      <c r="E130" s="2242"/>
      <c r="F130" s="2412"/>
      <c r="G130" s="2453"/>
      <c r="H130" s="1637"/>
      <c r="I130" s="781" t="s">
        <v>1168</v>
      </c>
      <c r="J130" s="701"/>
      <c r="K130" s="1637"/>
      <c r="L130" s="344"/>
      <c r="M130" s="471"/>
      <c r="N130" s="464"/>
      <c r="O130" s="1761"/>
      <c r="P130" s="1761"/>
    </row>
    <row s="11775" customFormat="1" customHeight="1" ht="0.75" hidden="1">
      <c r="A131" s="1918"/>
      <c r="B131" s="1918"/>
      <c r="C131" s="499" t="s">
        <v>1176</v>
      </c>
      <c r="D131" s="2492"/>
      <c r="E131" s="2242"/>
      <c r="F131" s="2412"/>
      <c r="G131" s="530"/>
      <c r="H131" s="1637"/>
      <c r="I131" s="781"/>
      <c r="J131" s="701"/>
      <c r="K131" s="1637"/>
      <c r="L131" s="344"/>
      <c r="M131" s="471"/>
      <c r="N131" s="464"/>
      <c r="O131" s="1761"/>
      <c r="P131" s="1761"/>
    </row>
    <row s="11775" customFormat="1" customHeight="1" ht="18.75" hidden="1">
      <c r="A132" s="1918" t="s">
        <v>343</v>
      </c>
      <c r="B132" s="1918" t="s">
        <v>344</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384</v>
      </c>
      <c r="M132" s="471"/>
      <c r="N132" s="464"/>
      <c r="O132" s="1761"/>
      <c r="P132" s="1761"/>
    </row>
    <row s="11775" customFormat="1" customHeight="1" ht="18.75" hidden="1">
      <c r="A133" s="1918"/>
      <c r="B133" s="1918"/>
      <c r="C133" s="499" t="s">
        <v>1169</v>
      </c>
      <c r="D133" s="2492"/>
      <c r="E133" s="2242"/>
      <c r="F133" s="2412"/>
      <c r="G133" s="2453"/>
      <c r="H133" s="1637"/>
      <c r="I133" s="781" t="s">
        <v>1168</v>
      </c>
      <c r="J133" s="701"/>
      <c r="K133" s="1637"/>
      <c r="L133" s="344"/>
      <c r="M133" s="471"/>
      <c r="N133" s="464"/>
      <c r="O133" s="1761"/>
      <c r="P133" s="1761"/>
    </row>
    <row s="11775" customFormat="1" customHeight="1" ht="0.75" hidden="1">
      <c r="A134" s="1918"/>
      <c r="B134" s="1918"/>
      <c r="C134" s="499" t="s">
        <v>1176</v>
      </c>
      <c r="D134" s="2492"/>
      <c r="E134" s="2242"/>
      <c r="F134" s="2412"/>
      <c r="G134" s="530"/>
      <c r="H134" s="1637"/>
      <c r="I134" s="781"/>
      <c r="J134" s="701"/>
      <c r="K134" s="1637"/>
      <c r="L134" s="344"/>
      <c r="M134" s="471"/>
      <c r="N134" s="464"/>
      <c r="O134" s="1761"/>
      <c r="P134" s="1761"/>
    </row>
    <row s="11775" customFormat="1" customHeight="1" ht="18.75" hidden="1">
      <c r="A135" s="1918" t="s">
        <v>348</v>
      </c>
      <c r="B135" s="1918" t="s">
        <v>349</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384</v>
      </c>
      <c r="M135" s="471"/>
      <c r="N135" s="464"/>
      <c r="O135" s="1761"/>
      <c r="P135" s="1761"/>
    </row>
    <row s="11775" customFormat="1" customHeight="1" ht="18.75" hidden="1">
      <c r="A136" s="1918"/>
      <c r="B136" s="1918"/>
      <c r="C136" s="499" t="s">
        <v>1169</v>
      </c>
      <c r="D136" s="2492"/>
      <c r="E136" s="2242"/>
      <c r="F136" s="2412"/>
      <c r="G136" s="2453"/>
      <c r="H136" s="1637"/>
      <c r="I136" s="781" t="s">
        <v>1168</v>
      </c>
      <c r="J136" s="701"/>
      <c r="K136" s="1637"/>
      <c r="L136" s="344"/>
      <c r="M136" s="471"/>
      <c r="N136" s="464"/>
      <c r="O136" s="1761"/>
      <c r="P136" s="1761"/>
    </row>
    <row s="11775" customFormat="1" customHeight="1" ht="0.75" hidden="1">
      <c r="A137" s="1918"/>
      <c r="B137" s="1918"/>
      <c r="C137" s="499" t="s">
        <v>1176</v>
      </c>
      <c r="D137" s="2492"/>
      <c r="E137" s="2242"/>
      <c r="F137" s="2412"/>
      <c r="G137" s="530"/>
      <c r="H137" s="1637"/>
      <c r="I137" s="781"/>
      <c r="J137" s="701"/>
      <c r="K137" s="1637"/>
      <c r="L137" s="344"/>
      <c r="M137" s="471"/>
      <c r="N137" s="464"/>
      <c r="O137" s="1761"/>
      <c r="P137" s="1761"/>
    </row>
    <row s="11775" customFormat="1" customHeight="1" ht="18.75" hidden="1">
      <c r="A138" s="1918" t="s">
        <v>353</v>
      </c>
      <c r="B138" s="1918" t="s">
        <v>354</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384</v>
      </c>
      <c r="M138" s="471"/>
      <c r="N138" s="464"/>
      <c r="O138" s="1761"/>
      <c r="P138" s="1761"/>
    </row>
    <row s="11775" customFormat="1" customHeight="1" ht="18.75" hidden="1">
      <c r="A139" s="1918"/>
      <c r="B139" s="1918"/>
      <c r="C139" s="499" t="s">
        <v>1169</v>
      </c>
      <c r="D139" s="2492"/>
      <c r="E139" s="2242"/>
      <c r="F139" s="2412"/>
      <c r="G139" s="2453"/>
      <c r="H139" s="1637"/>
      <c r="I139" s="781" t="s">
        <v>1168</v>
      </c>
      <c r="J139" s="701"/>
      <c r="K139" s="1637"/>
      <c r="L139" s="344"/>
      <c r="M139" s="471"/>
      <c r="N139" s="464"/>
      <c r="O139" s="1761"/>
      <c r="P139" s="1761"/>
    </row>
    <row s="11775" customFormat="1" customHeight="1" ht="0.75">
      <c r="A140" s="1918"/>
      <c r="B140" s="1918"/>
      <c r="C140" s="499" t="s">
        <v>1176</v>
      </c>
      <c r="D140" s="2492"/>
      <c r="E140" s="2242"/>
      <c r="F140" s="2412"/>
      <c r="G140" s="530"/>
      <c r="H140" s="1637"/>
      <c r="I140" s="781"/>
      <c r="J140" s="701"/>
      <c r="K140" s="1637"/>
      <c r="L140" s="344"/>
      <c r="M140" s="471"/>
      <c r="N140" s="464"/>
      <c r="O140" s="1761"/>
      <c r="P140" s="1761"/>
    </row>
    <row customHeight="1" ht="18.75">
      <c r="A141" s="1918"/>
      <c r="B141" s="1918"/>
      <c r="D141" s="506"/>
      <c r="E141" s="277" t="s">
        <v>88</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90"/>
      <c r="H141" s="2490"/>
      <c r="I141" s="2490"/>
      <c r="J141" s="2490"/>
      <c r="K141" s="2490"/>
      <c r="L141" s="2490"/>
      <c r="M141" s="427"/>
      <c r="N141" s="464"/>
    </row>
    <row s="11775" customFormat="1" customHeight="1" ht="60.75" hidden="1">
      <c r="A142" s="1918" t="s">
        <v>235</v>
      </c>
      <c r="B142" s="1918" t="s">
        <v>236</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384</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64"/>
      <c r="O142" s="1761"/>
      <c r="P142" s="1761"/>
    </row>
    <row s="11775" customFormat="1" customHeight="1" ht="18.75" hidden="1">
      <c r="A143" s="1918"/>
      <c r="B143" s="1918"/>
      <c r="C143" s="499" t="s">
        <v>1169</v>
      </c>
      <c r="D143" s="2492"/>
      <c r="E143" s="2242"/>
      <c r="F143" s="2412"/>
      <c r="G143" s="2453"/>
      <c r="H143" s="1637"/>
      <c r="I143" s="781" t="s">
        <v>1168</v>
      </c>
      <c r="J143" s="701"/>
      <c r="K143" s="1637"/>
      <c r="L143" s="344"/>
      <c r="M143" s="2208"/>
      <c r="N143" s="464"/>
      <c r="O143" s="1761"/>
      <c r="P143" s="1761"/>
    </row>
    <row s="11775" customFormat="1" customHeight="1" ht="0.75" hidden="1">
      <c r="A144" s="1918"/>
      <c r="B144" s="1918"/>
      <c r="C144" s="499" t="s">
        <v>1176</v>
      </c>
      <c r="D144" s="2492"/>
      <c r="E144" s="2242"/>
      <c r="F144" s="2412"/>
      <c r="G144" s="530"/>
      <c r="H144" s="1637"/>
      <c r="I144" s="781"/>
      <c r="J144" s="701"/>
      <c r="K144" s="1637"/>
      <c r="L144" s="344"/>
      <c r="M144" s="2208"/>
      <c r="N144" s="464"/>
      <c r="O144" s="1761"/>
      <c r="P144" s="1761"/>
    </row>
    <row s="11775" customFormat="1" customHeight="1" ht="45" hidden="1">
      <c r="A145" s="1918" t="s">
        <v>241</v>
      </c>
      <c r="B145" s="1918" t="s">
        <v>242</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384</v>
      </c>
      <c r="M145" s="2209"/>
      <c r="N145" s="464"/>
      <c r="O145" s="1761"/>
      <c r="P145" s="1761"/>
    </row>
    <row s="11775" customFormat="1" customHeight="1" ht="18.75" hidden="1">
      <c r="A146" s="1918"/>
      <c r="B146" s="1918"/>
      <c r="C146" s="499" t="s">
        <v>1169</v>
      </c>
      <c r="D146" s="2492"/>
      <c r="E146" s="2242"/>
      <c r="F146" s="2412"/>
      <c r="G146" s="2453"/>
      <c r="H146" s="1637"/>
      <c r="I146" s="781" t="s">
        <v>1168</v>
      </c>
      <c r="J146" s="701"/>
      <c r="K146" s="1637"/>
      <c r="L146" s="344"/>
      <c r="M146" s="2000"/>
      <c r="N146" s="464"/>
      <c r="O146" s="1761"/>
      <c r="P146" s="1761"/>
    </row>
    <row s="11775" customFormat="1" customHeight="1" ht="0.75" hidden="1">
      <c r="A147" s="1918"/>
      <c r="B147" s="1918"/>
      <c r="C147" s="499" t="s">
        <v>1176</v>
      </c>
      <c r="D147" s="2492"/>
      <c r="E147" s="2242"/>
      <c r="F147" s="2412"/>
      <c r="G147" s="530"/>
      <c r="H147" s="1637"/>
      <c r="I147" s="781"/>
      <c r="J147" s="701"/>
      <c r="K147" s="1637"/>
      <c r="L147" s="344"/>
      <c r="M147" s="471"/>
      <c r="N147" s="464"/>
      <c r="O147" s="1761"/>
      <c r="P147" s="1761"/>
    </row>
    <row s="11775" customFormat="1" customHeight="1" ht="45" hidden="1">
      <c r="A148" s="1918" t="s">
        <v>247</v>
      </c>
      <c r="B148" s="1918" t="s">
        <v>248</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384</v>
      </c>
      <c r="M148" s="471"/>
      <c r="N148" s="464"/>
      <c r="O148" s="1761"/>
      <c r="P148" s="1761"/>
    </row>
    <row s="11775" customFormat="1" customHeight="1" ht="18.75" hidden="1">
      <c r="A149" s="1918"/>
      <c r="B149" s="1918"/>
      <c r="C149" s="499" t="s">
        <v>1169</v>
      </c>
      <c r="D149" s="2492"/>
      <c r="E149" s="2242"/>
      <c r="F149" s="2412"/>
      <c r="G149" s="2453"/>
      <c r="H149" s="1637"/>
      <c r="I149" s="781" t="s">
        <v>1168</v>
      </c>
      <c r="J149" s="701"/>
      <c r="K149" s="1637"/>
      <c r="L149" s="344"/>
      <c r="M149" s="471"/>
      <c r="N149" s="464"/>
      <c r="O149" s="1761"/>
      <c r="P149" s="1761"/>
    </row>
    <row s="11775" customFormat="1" customHeight="1" ht="0.75" hidden="1">
      <c r="A150" s="1918"/>
      <c r="B150" s="1918"/>
      <c r="C150" s="499" t="s">
        <v>1176</v>
      </c>
      <c r="D150" s="2492"/>
      <c r="E150" s="2242"/>
      <c r="F150" s="2412"/>
      <c r="G150" s="530"/>
      <c r="H150" s="1637"/>
      <c r="I150" s="781"/>
      <c r="J150" s="701"/>
      <c r="K150" s="1637"/>
      <c r="L150" s="344"/>
      <c r="M150" s="471"/>
      <c r="N150" s="464"/>
      <c r="O150" s="1761"/>
      <c r="P150" s="1761"/>
    </row>
    <row s="11775" customFormat="1" customHeight="1" ht="45" hidden="1">
      <c r="A151" s="1918" t="s">
        <v>253</v>
      </c>
      <c r="B151" s="1918" t="s">
        <v>254</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384</v>
      </c>
      <c r="M151" s="471"/>
      <c r="N151" s="464"/>
      <c r="O151" s="1761"/>
      <c r="P151" s="1761"/>
    </row>
    <row s="11775" customFormat="1" customHeight="1" ht="18.75" hidden="1">
      <c r="A152" s="1918"/>
      <c r="B152" s="1918"/>
      <c r="C152" s="499" t="s">
        <v>1169</v>
      </c>
      <c r="D152" s="2492"/>
      <c r="E152" s="2242"/>
      <c r="F152" s="2412"/>
      <c r="G152" s="2453"/>
      <c r="H152" s="1637"/>
      <c r="I152" s="781" t="s">
        <v>1168</v>
      </c>
      <c r="J152" s="701"/>
      <c r="K152" s="1637"/>
      <c r="L152" s="344"/>
      <c r="M152" s="471"/>
      <c r="N152" s="464"/>
      <c r="O152" s="1761"/>
      <c r="P152" s="1761"/>
    </row>
    <row s="11775" customFormat="1" customHeight="1" ht="0.75" hidden="1">
      <c r="A153" s="1918"/>
      <c r="B153" s="1918"/>
      <c r="C153" s="499" t="s">
        <v>1176</v>
      </c>
      <c r="D153" s="2492"/>
      <c r="E153" s="2242"/>
      <c r="F153" s="2412"/>
      <c r="G153" s="530"/>
      <c r="H153" s="1637"/>
      <c r="I153" s="781"/>
      <c r="J153" s="701"/>
      <c r="K153" s="1637"/>
      <c r="L153" s="344"/>
      <c r="M153" s="471"/>
      <c r="N153" s="464"/>
      <c r="O153" s="1761"/>
      <c r="P153" s="1761"/>
    </row>
    <row s="11775" customFormat="1" customHeight="1" ht="18.75" hidden="1">
      <c r="A154" s="1918" t="s">
        <v>259</v>
      </c>
      <c r="B154" s="1918" t="s">
        <v>260</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384</v>
      </c>
      <c r="M154" s="471"/>
      <c r="N154" s="464"/>
      <c r="O154" s="1761"/>
      <c r="P154" s="1761"/>
    </row>
    <row s="11775" customFormat="1" customHeight="1" ht="18.75" hidden="1">
      <c r="A155" s="1918"/>
      <c r="B155" s="1918"/>
      <c r="C155" s="499" t="s">
        <v>1169</v>
      </c>
      <c r="D155" s="2492"/>
      <c r="E155" s="2242"/>
      <c r="F155" s="2412"/>
      <c r="G155" s="2453"/>
      <c r="H155" s="1637"/>
      <c r="I155" s="781" t="s">
        <v>1168</v>
      </c>
      <c r="J155" s="701"/>
      <c r="K155" s="1637"/>
      <c r="L155" s="344"/>
      <c r="M155" s="471"/>
      <c r="N155" s="464"/>
      <c r="O155" s="1761"/>
      <c r="P155" s="1761"/>
    </row>
    <row s="11775" customFormat="1" customHeight="1" ht="0.75" hidden="1">
      <c r="A156" s="1918"/>
      <c r="B156" s="1918"/>
      <c r="C156" s="499" t="s">
        <v>1176</v>
      </c>
      <c r="D156" s="2492"/>
      <c r="E156" s="2242"/>
      <c r="F156" s="2412"/>
      <c r="G156" s="530"/>
      <c r="H156" s="1637"/>
      <c r="I156" s="781"/>
      <c r="J156" s="701"/>
      <c r="K156" s="1637"/>
      <c r="L156" s="344"/>
      <c r="M156" s="471"/>
      <c r="N156" s="464"/>
      <c r="O156" s="1761"/>
      <c r="P156" s="1761"/>
    </row>
    <row s="11775" customFormat="1" customHeight="1" ht="18.75" hidden="1">
      <c r="A157" s="1918" t="s">
        <v>265</v>
      </c>
      <c r="B157" s="1918" t="s">
        <v>266</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384</v>
      </c>
      <c r="M157" s="471"/>
      <c r="N157" s="464"/>
      <c r="O157" s="1761"/>
      <c r="P157" s="1761"/>
    </row>
    <row s="11775" customFormat="1" customHeight="1" ht="18.75" hidden="1">
      <c r="A158" s="1918"/>
      <c r="B158" s="1918"/>
      <c r="C158" s="499" t="s">
        <v>1169</v>
      </c>
      <c r="D158" s="2492"/>
      <c r="E158" s="2242"/>
      <c r="F158" s="2412"/>
      <c r="G158" s="2453"/>
      <c r="H158" s="1637"/>
      <c r="I158" s="781" t="s">
        <v>1168</v>
      </c>
      <c r="J158" s="701"/>
      <c r="K158" s="1637"/>
      <c r="L158" s="344"/>
      <c r="M158" s="471"/>
      <c r="N158" s="464"/>
      <c r="O158" s="1761"/>
      <c r="P158" s="1761"/>
    </row>
    <row s="11775" customFormat="1" customHeight="1" ht="0.75" hidden="1">
      <c r="A159" s="1918"/>
      <c r="B159" s="1918"/>
      <c r="C159" s="499" t="s">
        <v>1176</v>
      </c>
      <c r="D159" s="2492"/>
      <c r="E159" s="2242"/>
      <c r="F159" s="2412"/>
      <c r="G159" s="530"/>
      <c r="H159" s="1637"/>
      <c r="I159" s="781"/>
      <c r="J159" s="701"/>
      <c r="K159" s="1637"/>
      <c r="L159" s="344"/>
      <c r="M159" s="471"/>
      <c r="N159" s="464"/>
      <c r="O159" s="1761"/>
      <c r="P159" s="1761"/>
    </row>
    <row s="11775" customFormat="1" customHeight="1" ht="18.75" hidden="1">
      <c r="A160" s="1918" t="s">
        <v>271</v>
      </c>
      <c r="B160" s="1918" t="s">
        <v>272</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384</v>
      </c>
      <c r="M160" s="471"/>
      <c r="N160" s="464"/>
      <c r="O160" s="1761"/>
      <c r="P160" s="1761"/>
    </row>
    <row s="11775" customFormat="1" customHeight="1" ht="18.75" hidden="1">
      <c r="A161" s="1918"/>
      <c r="B161" s="1918"/>
      <c r="C161" s="499" t="s">
        <v>1169</v>
      </c>
      <c r="D161" s="2492"/>
      <c r="E161" s="2242"/>
      <c r="F161" s="2412"/>
      <c r="G161" s="2453"/>
      <c r="H161" s="1637"/>
      <c r="I161" s="781" t="s">
        <v>1168</v>
      </c>
      <c r="J161" s="701"/>
      <c r="K161" s="1637"/>
      <c r="L161" s="344"/>
      <c r="M161" s="471"/>
      <c r="N161" s="464"/>
      <c r="O161" s="1761"/>
      <c r="P161" s="1761"/>
    </row>
    <row s="11775" customFormat="1" customHeight="1" ht="0.75" hidden="1">
      <c r="A162" s="1918"/>
      <c r="B162" s="1918"/>
      <c r="C162" s="499" t="s">
        <v>1176</v>
      </c>
      <c r="D162" s="2492"/>
      <c r="E162" s="2242"/>
      <c r="F162" s="2412"/>
      <c r="G162" s="530"/>
      <c r="H162" s="1637"/>
      <c r="I162" s="781"/>
      <c r="J162" s="701"/>
      <c r="K162" s="1637"/>
      <c r="L162" s="344"/>
      <c r="M162" s="471"/>
      <c r="N162" s="464"/>
      <c r="O162" s="1761"/>
      <c r="P162" s="1761"/>
    </row>
    <row s="11775" customFormat="1" customHeight="1" ht="18.75" hidden="1">
      <c r="A163" s="1918" t="s">
        <v>277</v>
      </c>
      <c r="B163" s="1918" t="s">
        <v>278</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384</v>
      </c>
      <c r="M163" s="471"/>
      <c r="N163" s="464"/>
      <c r="O163" s="1761"/>
      <c r="P163" s="1761"/>
    </row>
    <row s="11775" customFormat="1" customHeight="1" ht="18.75" hidden="1">
      <c r="A164" s="1918"/>
      <c r="B164" s="1918"/>
      <c r="C164" s="499" t="s">
        <v>1169</v>
      </c>
      <c r="D164" s="2492"/>
      <c r="E164" s="2242"/>
      <c r="F164" s="2412"/>
      <c r="G164" s="2453"/>
      <c r="H164" s="1637"/>
      <c r="I164" s="781" t="s">
        <v>1168</v>
      </c>
      <c r="J164" s="701"/>
      <c r="K164" s="1637"/>
      <c r="L164" s="344"/>
      <c r="M164" s="471"/>
      <c r="N164" s="464"/>
      <c r="O164" s="1761"/>
      <c r="P164" s="1761"/>
    </row>
    <row s="11775" customFormat="1" customHeight="1" ht="0.75" hidden="1">
      <c r="A165" s="1918"/>
      <c r="B165" s="1918"/>
      <c r="C165" s="499" t="s">
        <v>1176</v>
      </c>
      <c r="D165" s="2492"/>
      <c r="E165" s="2242"/>
      <c r="F165" s="2412"/>
      <c r="G165" s="530"/>
      <c r="H165" s="1637"/>
      <c r="I165" s="781"/>
      <c r="J165" s="701"/>
      <c r="K165" s="1637"/>
      <c r="L165" s="344"/>
      <c r="M165" s="471"/>
      <c r="N165" s="464"/>
      <c r="O165" s="1761"/>
      <c r="P165" s="1761"/>
    </row>
    <row s="11775" customFormat="1" customHeight="1" ht="18.75" hidden="1">
      <c r="A166" s="1918" t="s">
        <v>303</v>
      </c>
      <c r="B166" s="1918" t="s">
        <v>304</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384</v>
      </c>
      <c r="M166" s="471"/>
      <c r="N166" s="464"/>
      <c r="O166" s="1761"/>
      <c r="P166" s="1761"/>
    </row>
    <row s="11775" customFormat="1" customHeight="1" ht="18.75" hidden="1">
      <c r="A167" s="1918"/>
      <c r="B167" s="1918"/>
      <c r="C167" s="499" t="s">
        <v>1169</v>
      </c>
      <c r="D167" s="2492"/>
      <c r="E167" s="2242"/>
      <c r="F167" s="2412"/>
      <c r="G167" s="2453"/>
      <c r="H167" s="1637"/>
      <c r="I167" s="781" t="s">
        <v>1168</v>
      </c>
      <c r="J167" s="701"/>
      <c r="K167" s="1637"/>
      <c r="L167" s="344"/>
      <c r="M167" s="471"/>
      <c r="N167" s="464"/>
      <c r="O167" s="1761"/>
      <c r="P167" s="1761"/>
    </row>
    <row s="11775" customFormat="1" customHeight="1" ht="0.75" hidden="1">
      <c r="A168" s="1918"/>
      <c r="B168" s="1918"/>
      <c r="C168" s="499" t="s">
        <v>1176</v>
      </c>
      <c r="D168" s="2492"/>
      <c r="E168" s="2242"/>
      <c r="F168" s="2412"/>
      <c r="G168" s="530"/>
      <c r="H168" s="1637"/>
      <c r="I168" s="781"/>
      <c r="J168" s="701"/>
      <c r="K168" s="1637"/>
      <c r="L168" s="344"/>
      <c r="M168" s="471"/>
      <c r="N168" s="464"/>
      <c r="O168" s="1761"/>
      <c r="P168" s="1761"/>
    </row>
    <row s="11775" customFormat="1" customHeight="1" ht="18.75" hidden="1">
      <c r="A169" s="1918" t="s">
        <v>308</v>
      </c>
      <c r="B169" s="1918" t="s">
        <v>309</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384</v>
      </c>
      <c r="M169" s="471"/>
      <c r="N169" s="464"/>
      <c r="O169" s="1761"/>
      <c r="P169" s="1761"/>
    </row>
    <row s="11775" customFormat="1" customHeight="1" ht="18.75" hidden="1">
      <c r="A170" s="1918"/>
      <c r="B170" s="1918"/>
      <c r="C170" s="499" t="s">
        <v>1169</v>
      </c>
      <c r="D170" s="2492"/>
      <c r="E170" s="2242"/>
      <c r="F170" s="2412"/>
      <c r="G170" s="2453"/>
      <c r="H170" s="1637"/>
      <c r="I170" s="781" t="s">
        <v>1168</v>
      </c>
      <c r="J170" s="701"/>
      <c r="K170" s="1637"/>
      <c r="L170" s="344"/>
      <c r="M170" s="471"/>
      <c r="N170" s="464"/>
      <c r="O170" s="1761"/>
      <c r="P170" s="1761"/>
    </row>
    <row s="11775" customFormat="1" customHeight="1" ht="0.75" hidden="1">
      <c r="A171" s="1918"/>
      <c r="B171" s="1918"/>
      <c r="C171" s="499" t="s">
        <v>1176</v>
      </c>
      <c r="D171" s="2492"/>
      <c r="E171" s="2242"/>
      <c r="F171" s="2412"/>
      <c r="G171" s="530"/>
      <c r="H171" s="1637"/>
      <c r="I171" s="781"/>
      <c r="J171" s="701"/>
      <c r="K171" s="1637"/>
      <c r="L171" s="344"/>
      <c r="M171" s="471"/>
      <c r="N171" s="464"/>
      <c r="O171" s="1761"/>
      <c r="P171" s="1761"/>
    </row>
    <row s="11775" customFormat="1" customHeight="1" ht="18.75" hidden="1">
      <c r="A172" s="1918" t="s">
        <v>313</v>
      </c>
      <c r="B172" s="1918" t="s">
        <v>314</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384</v>
      </c>
      <c r="M172" s="471"/>
      <c r="N172" s="464"/>
      <c r="O172" s="1761"/>
      <c r="P172" s="1761"/>
    </row>
    <row s="11775" customFormat="1" customHeight="1" ht="18.75" hidden="1">
      <c r="A173" s="1918"/>
      <c r="B173" s="1918"/>
      <c r="C173" s="499" t="s">
        <v>1169</v>
      </c>
      <c r="D173" s="2492"/>
      <c r="E173" s="2242"/>
      <c r="F173" s="2412"/>
      <c r="G173" s="2453"/>
      <c r="H173" s="1637"/>
      <c r="I173" s="781" t="s">
        <v>1168</v>
      </c>
      <c r="J173" s="701"/>
      <c r="K173" s="1637"/>
      <c r="L173" s="344"/>
      <c r="M173" s="471"/>
      <c r="N173" s="464"/>
      <c r="O173" s="1761"/>
      <c r="P173" s="1761"/>
    </row>
    <row s="11775" customFormat="1" customHeight="1" ht="0.75" hidden="1">
      <c r="A174" s="1918"/>
      <c r="B174" s="1918"/>
      <c r="C174" s="499" t="s">
        <v>1176</v>
      </c>
      <c r="D174" s="2492"/>
      <c r="E174" s="2242"/>
      <c r="F174" s="2412"/>
      <c r="G174" s="530"/>
      <c r="H174" s="1637"/>
      <c r="I174" s="781"/>
      <c r="J174" s="701"/>
      <c r="K174" s="1637"/>
      <c r="L174" s="344"/>
      <c r="M174" s="471"/>
      <c r="N174" s="464"/>
      <c r="O174" s="1761"/>
      <c r="P174" s="1761"/>
    </row>
    <row s="11775" customFormat="1" customHeight="1" ht="18.75" hidden="1">
      <c r="A175" s="1918" t="s">
        <v>318</v>
      </c>
      <c r="B175" s="1918" t="s">
        <v>319</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384</v>
      </c>
      <c r="M175" s="471"/>
      <c r="N175" s="464"/>
      <c r="O175" s="1761"/>
      <c r="P175" s="1761"/>
    </row>
    <row s="11775" customFormat="1" customHeight="1" ht="18.75" hidden="1">
      <c r="A176" s="1918"/>
      <c r="B176" s="1918"/>
      <c r="C176" s="499" t="s">
        <v>1169</v>
      </c>
      <c r="D176" s="2492"/>
      <c r="E176" s="2242"/>
      <c r="F176" s="2412"/>
      <c r="G176" s="2453"/>
      <c r="H176" s="1637"/>
      <c r="I176" s="781" t="s">
        <v>1168</v>
      </c>
      <c r="J176" s="701"/>
      <c r="K176" s="1637"/>
      <c r="L176" s="344"/>
      <c r="M176" s="471"/>
      <c r="N176" s="464"/>
      <c r="O176" s="1761"/>
      <c r="P176" s="1761"/>
    </row>
    <row s="11775" customFormat="1" customHeight="1" ht="0.75" hidden="1">
      <c r="A177" s="1918"/>
      <c r="B177" s="1918"/>
      <c r="C177" s="499" t="s">
        <v>1176</v>
      </c>
      <c r="D177" s="2492"/>
      <c r="E177" s="2242"/>
      <c r="F177" s="2412"/>
      <c r="G177" s="530"/>
      <c r="H177" s="1637"/>
      <c r="I177" s="781"/>
      <c r="J177" s="701"/>
      <c r="K177" s="1637"/>
      <c r="L177" s="344"/>
      <c r="M177" s="471"/>
      <c r="N177" s="464"/>
      <c r="O177" s="1761"/>
      <c r="P177" s="1761"/>
    </row>
    <row s="11775" customFormat="1" customHeight="1" ht="18.75" hidden="1">
      <c r="A178" s="1918" t="s">
        <v>323</v>
      </c>
      <c r="B178" s="1918" t="s">
        <v>324</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384</v>
      </c>
      <c r="M178" s="471"/>
      <c r="N178" s="464"/>
      <c r="O178" s="1761"/>
      <c r="P178" s="1761"/>
    </row>
    <row s="11775" customFormat="1" customHeight="1" ht="18.75" hidden="1">
      <c r="A179" s="1918"/>
      <c r="B179" s="1918"/>
      <c r="C179" s="499" t="s">
        <v>1169</v>
      </c>
      <c r="D179" s="2492"/>
      <c r="E179" s="2242"/>
      <c r="F179" s="2412"/>
      <c r="G179" s="2453"/>
      <c r="H179" s="1637"/>
      <c r="I179" s="781" t="s">
        <v>1168</v>
      </c>
      <c r="J179" s="701"/>
      <c r="K179" s="1637"/>
      <c r="L179" s="344"/>
      <c r="M179" s="471"/>
      <c r="N179" s="464"/>
      <c r="O179" s="1761"/>
      <c r="P179" s="1761"/>
    </row>
    <row s="11775" customFormat="1" customHeight="1" ht="0.75" hidden="1">
      <c r="A180" s="1918"/>
      <c r="B180" s="1918"/>
      <c r="C180" s="499" t="s">
        <v>1176</v>
      </c>
      <c r="D180" s="2492"/>
      <c r="E180" s="2242"/>
      <c r="F180" s="2412"/>
      <c r="G180" s="530"/>
      <c r="H180" s="1637"/>
      <c r="I180" s="781"/>
      <c r="J180" s="701"/>
      <c r="K180" s="1637"/>
      <c r="L180" s="344"/>
      <c r="M180" s="471"/>
      <c r="N180" s="464"/>
      <c r="O180" s="1761"/>
      <c r="P180" s="1761"/>
    </row>
    <row s="11775" customFormat="1" customHeight="1" ht="18.75" hidden="1">
      <c r="A181" s="1918" t="s">
        <v>328</v>
      </c>
      <c r="B181" s="1918" t="s">
        <v>329</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384</v>
      </c>
      <c r="M181" s="471"/>
      <c r="N181" s="464"/>
      <c r="O181" s="1761"/>
      <c r="P181" s="1761"/>
    </row>
    <row s="11775" customFormat="1" customHeight="1" ht="18.75" hidden="1">
      <c r="A182" s="1918"/>
      <c r="B182" s="1918"/>
      <c r="C182" s="499" t="s">
        <v>1169</v>
      </c>
      <c r="D182" s="2492"/>
      <c r="E182" s="2242"/>
      <c r="F182" s="2412"/>
      <c r="G182" s="2453"/>
      <c r="H182" s="1637"/>
      <c r="I182" s="781" t="s">
        <v>1168</v>
      </c>
      <c r="J182" s="701"/>
      <c r="K182" s="1637"/>
      <c r="L182" s="344"/>
      <c r="M182" s="471"/>
      <c r="N182" s="464"/>
      <c r="O182" s="1761"/>
      <c r="P182" s="1761"/>
    </row>
    <row s="11775" customFormat="1" customHeight="1" ht="0.75" hidden="1">
      <c r="A183" s="1918"/>
      <c r="B183" s="1918"/>
      <c r="C183" s="499" t="s">
        <v>1176</v>
      </c>
      <c r="D183" s="2492"/>
      <c r="E183" s="2242"/>
      <c r="F183" s="2412"/>
      <c r="G183" s="530"/>
      <c r="H183" s="1637"/>
      <c r="I183" s="781"/>
      <c r="J183" s="701"/>
      <c r="K183" s="1637"/>
      <c r="L183" s="344"/>
      <c r="M183" s="471"/>
      <c r="N183" s="464"/>
      <c r="O183" s="1761"/>
      <c r="P183" s="1761"/>
    </row>
    <row s="11775" customFormat="1" customHeight="1" ht="18.75" hidden="1">
      <c r="A184" s="1918" t="s">
        <v>333</v>
      </c>
      <c r="B184" s="1918" t="s">
        <v>334</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384</v>
      </c>
      <c r="M184" s="471"/>
      <c r="N184" s="464"/>
      <c r="O184" s="1761"/>
      <c r="P184" s="1761"/>
    </row>
    <row s="11775" customFormat="1" customHeight="1" ht="18.75" hidden="1">
      <c r="A185" s="1918"/>
      <c r="B185" s="1918"/>
      <c r="C185" s="499" t="s">
        <v>1169</v>
      </c>
      <c r="D185" s="2492"/>
      <c r="E185" s="2242"/>
      <c r="F185" s="2412"/>
      <c r="G185" s="2453"/>
      <c r="H185" s="1637"/>
      <c r="I185" s="781" t="s">
        <v>1168</v>
      </c>
      <c r="J185" s="701"/>
      <c r="K185" s="1637"/>
      <c r="L185" s="344"/>
      <c r="M185" s="471"/>
      <c r="N185" s="464"/>
      <c r="O185" s="1761"/>
      <c r="P185" s="1761"/>
    </row>
    <row s="11775" customFormat="1" customHeight="1" ht="0.75" hidden="1">
      <c r="A186" s="1918"/>
      <c r="B186" s="1918"/>
      <c r="C186" s="499" t="s">
        <v>1176</v>
      </c>
      <c r="D186" s="2492"/>
      <c r="E186" s="2242"/>
      <c r="F186" s="2412"/>
      <c r="G186" s="530"/>
      <c r="H186" s="1637"/>
      <c r="I186" s="781"/>
      <c r="J186" s="701"/>
      <c r="K186" s="1637"/>
      <c r="L186" s="344"/>
      <c r="M186" s="471"/>
      <c r="N186" s="464"/>
      <c r="O186" s="1761"/>
      <c r="P186" s="1761"/>
    </row>
    <row s="11775" customFormat="1" customHeight="1" ht="18.75" hidden="1">
      <c r="A187" s="1918" t="s">
        <v>338</v>
      </c>
      <c r="B187" s="1918" t="s">
        <v>339</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384</v>
      </c>
      <c r="M187" s="471"/>
      <c r="N187" s="464"/>
      <c r="O187" s="1761"/>
      <c r="P187" s="1761"/>
    </row>
    <row s="11775" customFormat="1" customHeight="1" ht="18.75" hidden="1">
      <c r="A188" s="1918"/>
      <c r="B188" s="1918"/>
      <c r="C188" s="499" t="s">
        <v>1169</v>
      </c>
      <c r="D188" s="2492"/>
      <c r="E188" s="2242"/>
      <c r="F188" s="2412"/>
      <c r="G188" s="2453"/>
      <c r="H188" s="1637"/>
      <c r="I188" s="781" t="s">
        <v>1168</v>
      </c>
      <c r="J188" s="701"/>
      <c r="K188" s="1637"/>
      <c r="L188" s="344"/>
      <c r="M188" s="471"/>
      <c r="N188" s="464"/>
      <c r="O188" s="1761"/>
      <c r="P188" s="1761"/>
    </row>
    <row s="11775" customFormat="1" customHeight="1" ht="0.75" hidden="1">
      <c r="A189" s="1918"/>
      <c r="B189" s="1918"/>
      <c r="C189" s="499" t="s">
        <v>1176</v>
      </c>
      <c r="D189" s="2492"/>
      <c r="E189" s="2242"/>
      <c r="F189" s="2412"/>
      <c r="G189" s="530"/>
      <c r="H189" s="1637"/>
      <c r="I189" s="781"/>
      <c r="J189" s="701"/>
      <c r="K189" s="1637"/>
      <c r="L189" s="344"/>
      <c r="M189" s="471"/>
      <c r="N189" s="464"/>
      <c r="O189" s="1761"/>
      <c r="P189" s="1761"/>
    </row>
    <row s="11775" customFormat="1" customHeight="1" ht="18.75" hidden="1">
      <c r="A190" s="1918" t="s">
        <v>343</v>
      </c>
      <c r="B190" s="1918" t="s">
        <v>344</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384</v>
      </c>
      <c r="M190" s="471"/>
      <c r="N190" s="464"/>
      <c r="O190" s="1761"/>
      <c r="P190" s="1761"/>
    </row>
    <row s="11775" customFormat="1" customHeight="1" ht="18.75" hidden="1">
      <c r="A191" s="1918"/>
      <c r="B191" s="1918"/>
      <c r="C191" s="499" t="s">
        <v>1169</v>
      </c>
      <c r="D191" s="2492"/>
      <c r="E191" s="2242"/>
      <c r="F191" s="2412"/>
      <c r="G191" s="2453"/>
      <c r="H191" s="1637"/>
      <c r="I191" s="781" t="s">
        <v>1168</v>
      </c>
      <c r="J191" s="701"/>
      <c r="K191" s="1637"/>
      <c r="L191" s="344"/>
      <c r="M191" s="471"/>
      <c r="N191" s="464"/>
      <c r="O191" s="1761"/>
      <c r="P191" s="1761"/>
    </row>
    <row s="11775" customFormat="1" customHeight="1" ht="0.75" hidden="1">
      <c r="A192" s="1918"/>
      <c r="B192" s="1918"/>
      <c r="C192" s="499" t="s">
        <v>1176</v>
      </c>
      <c r="D192" s="2492"/>
      <c r="E192" s="2242"/>
      <c r="F192" s="2412"/>
      <c r="G192" s="530"/>
      <c r="H192" s="1637"/>
      <c r="I192" s="781"/>
      <c r="J192" s="701"/>
      <c r="K192" s="1637"/>
      <c r="L192" s="344"/>
      <c r="M192" s="471"/>
      <c r="N192" s="464"/>
      <c r="O192" s="1761"/>
      <c r="P192" s="1761"/>
    </row>
    <row s="11775" customFormat="1" customHeight="1" ht="18.75" hidden="1">
      <c r="A193" s="1918" t="s">
        <v>348</v>
      </c>
      <c r="B193" s="1918" t="s">
        <v>349</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384</v>
      </c>
      <c r="M193" s="471"/>
      <c r="N193" s="464"/>
      <c r="O193" s="1761"/>
      <c r="P193" s="1761"/>
    </row>
    <row s="11775" customFormat="1" customHeight="1" ht="18.75" hidden="1">
      <c r="A194" s="1918"/>
      <c r="B194" s="1918"/>
      <c r="C194" s="499" t="s">
        <v>1169</v>
      </c>
      <c r="D194" s="2492"/>
      <c r="E194" s="2242"/>
      <c r="F194" s="2412"/>
      <c r="G194" s="2453"/>
      <c r="H194" s="1637"/>
      <c r="I194" s="781" t="s">
        <v>1168</v>
      </c>
      <c r="J194" s="701"/>
      <c r="K194" s="1637"/>
      <c r="L194" s="344"/>
      <c r="M194" s="471"/>
      <c r="N194" s="464"/>
      <c r="O194" s="1761"/>
      <c r="P194" s="1761"/>
    </row>
    <row s="11775" customFormat="1" customHeight="1" ht="0.75" hidden="1">
      <c r="A195" s="1918"/>
      <c r="B195" s="1918"/>
      <c r="C195" s="499" t="s">
        <v>1176</v>
      </c>
      <c r="D195" s="2492"/>
      <c r="E195" s="2242"/>
      <c r="F195" s="2412"/>
      <c r="G195" s="530"/>
      <c r="H195" s="1637"/>
      <c r="I195" s="781"/>
      <c r="J195" s="701"/>
      <c r="K195" s="1637"/>
      <c r="L195" s="344"/>
      <c r="M195" s="471"/>
      <c r="N195" s="464"/>
      <c r="O195" s="1761"/>
      <c r="P195" s="1761"/>
    </row>
    <row s="11775" customFormat="1" customHeight="1" ht="18.75" hidden="1">
      <c r="A196" s="1918" t="s">
        <v>353</v>
      </c>
      <c r="B196" s="1918" t="s">
        <v>354</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384</v>
      </c>
      <c r="M196" s="471"/>
      <c r="N196" s="464"/>
      <c r="O196" s="1761"/>
      <c r="P196" s="1761"/>
    </row>
    <row s="11775" customFormat="1" customHeight="1" ht="18.75" hidden="1">
      <c r="A197" s="1918"/>
      <c r="B197" s="1918"/>
      <c r="C197" s="499" t="s">
        <v>1169</v>
      </c>
      <c r="D197" s="2492"/>
      <c r="E197" s="2242"/>
      <c r="F197" s="2412"/>
      <c r="G197" s="2453"/>
      <c r="H197" s="1637"/>
      <c r="I197" s="781" t="s">
        <v>1168</v>
      </c>
      <c r="J197" s="701"/>
      <c r="K197" s="1637"/>
      <c r="L197" s="344"/>
      <c r="M197" s="471"/>
      <c r="N197" s="464"/>
      <c r="O197" s="1761"/>
      <c r="P197" s="1761"/>
    </row>
    <row s="11775" customFormat="1" customHeight="1" ht="0.75">
      <c r="A198" s="1918"/>
      <c r="B198" s="1918"/>
      <c r="C198" s="499" t="s">
        <v>1176</v>
      </c>
      <c r="D198" s="2492"/>
      <c r="E198" s="2242"/>
      <c r="F198" s="2412"/>
      <c r="G198" s="530"/>
      <c r="H198" s="1637"/>
      <c r="I198" s="781"/>
      <c r="J198" s="701"/>
      <c r="K198" s="1637"/>
      <c r="L198" s="344"/>
      <c r="M198" s="471"/>
      <c r="N198" s="464"/>
      <c r="O198" s="1761"/>
      <c r="P198" s="1761"/>
    </row>
    <row customHeight="1" ht="26.25">
      <c r="A199" s="1918"/>
      <c r="B199" s="1918"/>
      <c r="D199" s="506"/>
      <c r="E199" s="277" t="s">
        <v>119</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90"/>
      <c r="H199" s="2490"/>
      <c r="I199" s="2490"/>
      <c r="J199" s="2490"/>
      <c r="K199" s="2490"/>
      <c r="L199" s="2490"/>
      <c r="M199" s="427"/>
      <c r="N199" s="464"/>
    </row>
    <row s="11775" customFormat="1" customHeight="1" ht="60.75" hidden="1">
      <c r="A200" s="1918" t="s">
        <v>235</v>
      </c>
      <c r="B200" s="1918" t="s">
        <v>236</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384</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64"/>
      <c r="O200" s="1761"/>
      <c r="P200" s="1761"/>
    </row>
    <row s="11775" customFormat="1" customHeight="1" ht="18.75" hidden="1">
      <c r="A201" s="1918"/>
      <c r="B201" s="1918"/>
      <c r="C201" s="499" t="s">
        <v>1169</v>
      </c>
      <c r="D201" s="2492"/>
      <c r="E201" s="2242"/>
      <c r="F201" s="2412"/>
      <c r="G201" s="2453"/>
      <c r="H201" s="1637"/>
      <c r="I201" s="781" t="s">
        <v>1168</v>
      </c>
      <c r="J201" s="701"/>
      <c r="K201" s="1637"/>
      <c r="L201" s="344"/>
      <c r="M201" s="2208"/>
      <c r="N201" s="464"/>
      <c r="O201" s="1761"/>
      <c r="P201" s="1761"/>
    </row>
    <row s="11775" customFormat="1" customHeight="1" ht="0.75" hidden="1">
      <c r="A202" s="1918"/>
      <c r="B202" s="1918"/>
      <c r="C202" s="499" t="s">
        <v>1176</v>
      </c>
      <c r="D202" s="2492"/>
      <c r="E202" s="2242"/>
      <c r="F202" s="2412"/>
      <c r="G202" s="530"/>
      <c r="H202" s="1637"/>
      <c r="I202" s="781"/>
      <c r="J202" s="701"/>
      <c r="K202" s="1637"/>
      <c r="L202" s="344"/>
      <c r="M202" s="2208"/>
      <c r="N202" s="464"/>
      <c r="O202" s="1761"/>
      <c r="P202" s="1761"/>
    </row>
    <row s="11775" customFormat="1" customHeight="1" ht="45" hidden="1">
      <c r="A203" s="1918" t="s">
        <v>241</v>
      </c>
      <c r="B203" s="1918" t="s">
        <v>242</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384</v>
      </c>
      <c r="M203" s="2209"/>
      <c r="N203" s="464"/>
      <c r="O203" s="1761"/>
      <c r="P203" s="1761"/>
    </row>
    <row s="11775" customFormat="1" customHeight="1" ht="18.75" hidden="1">
      <c r="A204" s="1918"/>
      <c r="B204" s="1918"/>
      <c r="C204" s="499" t="s">
        <v>1169</v>
      </c>
      <c r="D204" s="2492"/>
      <c r="E204" s="2242"/>
      <c r="F204" s="2412"/>
      <c r="G204" s="2453"/>
      <c r="H204" s="1637"/>
      <c r="I204" s="781" t="s">
        <v>1168</v>
      </c>
      <c r="J204" s="701"/>
      <c r="K204" s="1637"/>
      <c r="L204" s="344"/>
      <c r="M204" s="2000"/>
      <c r="N204" s="464"/>
      <c r="O204" s="1761"/>
      <c r="P204" s="1761"/>
    </row>
    <row s="11775" customFormat="1" customHeight="1" ht="0.75" hidden="1">
      <c r="A205" s="1918"/>
      <c r="B205" s="1918"/>
      <c r="C205" s="499" t="s">
        <v>1176</v>
      </c>
      <c r="D205" s="2492"/>
      <c r="E205" s="2242"/>
      <c r="F205" s="2412"/>
      <c r="G205" s="530"/>
      <c r="H205" s="1637"/>
      <c r="I205" s="781"/>
      <c r="J205" s="701"/>
      <c r="K205" s="1637"/>
      <c r="L205" s="344"/>
      <c r="M205" s="471"/>
      <c r="N205" s="464"/>
      <c r="O205" s="1761"/>
      <c r="P205" s="1761"/>
    </row>
    <row s="11775" customFormat="1" customHeight="1" ht="45" hidden="1">
      <c r="A206" s="1918" t="s">
        <v>247</v>
      </c>
      <c r="B206" s="1918" t="s">
        <v>248</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384</v>
      </c>
      <c r="M206" s="471"/>
      <c r="N206" s="464"/>
      <c r="O206" s="1761"/>
      <c r="P206" s="1761"/>
    </row>
    <row s="11775" customFormat="1" customHeight="1" ht="18.75" hidden="1">
      <c r="A207" s="1918"/>
      <c r="B207" s="1918"/>
      <c r="C207" s="499" t="s">
        <v>1169</v>
      </c>
      <c r="D207" s="2492"/>
      <c r="E207" s="2242"/>
      <c r="F207" s="2412"/>
      <c r="G207" s="2453"/>
      <c r="H207" s="1637"/>
      <c r="I207" s="781" t="s">
        <v>1168</v>
      </c>
      <c r="J207" s="701"/>
      <c r="K207" s="1637"/>
      <c r="L207" s="344"/>
      <c r="M207" s="471"/>
      <c r="N207" s="464"/>
      <c r="O207" s="1761"/>
      <c r="P207" s="1761"/>
    </row>
    <row s="11775" customFormat="1" customHeight="1" ht="0.75" hidden="1">
      <c r="A208" s="1918"/>
      <c r="B208" s="1918"/>
      <c r="C208" s="499" t="s">
        <v>1176</v>
      </c>
      <c r="D208" s="2492"/>
      <c r="E208" s="2242"/>
      <c r="F208" s="2412"/>
      <c r="G208" s="530"/>
      <c r="H208" s="1637"/>
      <c r="I208" s="781"/>
      <c r="J208" s="701"/>
      <c r="K208" s="1637"/>
      <c r="L208" s="344"/>
      <c r="M208" s="471"/>
      <c r="N208" s="464"/>
      <c r="O208" s="1761"/>
      <c r="P208" s="1761"/>
    </row>
    <row s="11775" customFormat="1" customHeight="1" ht="45" hidden="1">
      <c r="A209" s="1918" t="s">
        <v>253</v>
      </c>
      <c r="B209" s="1918" t="s">
        <v>254</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384</v>
      </c>
      <c r="M209" s="471"/>
      <c r="N209" s="464"/>
      <c r="O209" s="1761"/>
      <c r="P209" s="1761"/>
    </row>
    <row s="11775" customFormat="1" customHeight="1" ht="18.75" hidden="1">
      <c r="A210" s="1918"/>
      <c r="B210" s="1918"/>
      <c r="C210" s="499" t="s">
        <v>1169</v>
      </c>
      <c r="D210" s="2492"/>
      <c r="E210" s="2242"/>
      <c r="F210" s="2412"/>
      <c r="G210" s="2453"/>
      <c r="H210" s="1637"/>
      <c r="I210" s="781" t="s">
        <v>1168</v>
      </c>
      <c r="J210" s="701"/>
      <c r="K210" s="1637"/>
      <c r="L210" s="344"/>
      <c r="M210" s="471"/>
      <c r="N210" s="464"/>
      <c r="O210" s="1761"/>
      <c r="P210" s="1761"/>
    </row>
    <row s="11775" customFormat="1" customHeight="1" ht="0.75" hidden="1">
      <c r="A211" s="1918"/>
      <c r="B211" s="1918"/>
      <c r="C211" s="499" t="s">
        <v>1176</v>
      </c>
      <c r="D211" s="2492"/>
      <c r="E211" s="2242"/>
      <c r="F211" s="2412"/>
      <c r="G211" s="530"/>
      <c r="H211" s="1637"/>
      <c r="I211" s="781"/>
      <c r="J211" s="701"/>
      <c r="K211" s="1637"/>
      <c r="L211" s="344"/>
      <c r="M211" s="471"/>
      <c r="N211" s="464"/>
      <c r="O211" s="1761"/>
      <c r="P211" s="1761"/>
    </row>
    <row s="11775" customFormat="1" customHeight="1" ht="18.75" hidden="1">
      <c r="A212" s="1918" t="s">
        <v>259</v>
      </c>
      <c r="B212" s="1918" t="s">
        <v>260</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384</v>
      </c>
      <c r="M212" s="471"/>
      <c r="N212" s="464"/>
      <c r="O212" s="1761"/>
      <c r="P212" s="1761"/>
    </row>
    <row s="11775" customFormat="1" customHeight="1" ht="18.75" hidden="1">
      <c r="A213" s="1918"/>
      <c r="B213" s="1918"/>
      <c r="C213" s="499" t="s">
        <v>1169</v>
      </c>
      <c r="D213" s="2492"/>
      <c r="E213" s="2242"/>
      <c r="F213" s="2412"/>
      <c r="G213" s="2453"/>
      <c r="H213" s="1637"/>
      <c r="I213" s="781" t="s">
        <v>1168</v>
      </c>
      <c r="J213" s="701"/>
      <c r="K213" s="1637"/>
      <c r="L213" s="344"/>
      <c r="M213" s="471"/>
      <c r="N213" s="464"/>
      <c r="O213" s="1761"/>
      <c r="P213" s="1761"/>
    </row>
    <row s="11775" customFormat="1" customHeight="1" ht="0.75" hidden="1">
      <c r="A214" s="1918"/>
      <c r="B214" s="1918"/>
      <c r="C214" s="499" t="s">
        <v>1176</v>
      </c>
      <c r="D214" s="2492"/>
      <c r="E214" s="2242"/>
      <c r="F214" s="2412"/>
      <c r="G214" s="530"/>
      <c r="H214" s="1637"/>
      <c r="I214" s="781"/>
      <c r="J214" s="701"/>
      <c r="K214" s="1637"/>
      <c r="L214" s="344"/>
      <c r="M214" s="471"/>
      <c r="N214" s="464"/>
      <c r="O214" s="1761"/>
      <c r="P214" s="1761"/>
    </row>
    <row s="11775" customFormat="1" customHeight="1" ht="18.75" hidden="1">
      <c r="A215" s="1918" t="s">
        <v>265</v>
      </c>
      <c r="B215" s="1918" t="s">
        <v>266</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384</v>
      </c>
      <c r="M215" s="471"/>
      <c r="N215" s="464"/>
      <c r="O215" s="1761"/>
      <c r="P215" s="1761"/>
    </row>
    <row s="11775" customFormat="1" customHeight="1" ht="18.75" hidden="1">
      <c r="A216" s="1918"/>
      <c r="B216" s="1918"/>
      <c r="C216" s="499" t="s">
        <v>1169</v>
      </c>
      <c r="D216" s="2492"/>
      <c r="E216" s="2242"/>
      <c r="F216" s="2412"/>
      <c r="G216" s="2453"/>
      <c r="H216" s="1637"/>
      <c r="I216" s="781" t="s">
        <v>1168</v>
      </c>
      <c r="J216" s="701"/>
      <c r="K216" s="1637"/>
      <c r="L216" s="344"/>
      <c r="M216" s="471"/>
      <c r="N216" s="464"/>
      <c r="O216" s="1761"/>
      <c r="P216" s="1761"/>
    </row>
    <row s="11775" customFormat="1" customHeight="1" ht="0.75" hidden="1">
      <c r="A217" s="1918"/>
      <c r="B217" s="1918"/>
      <c r="C217" s="499" t="s">
        <v>1176</v>
      </c>
      <c r="D217" s="2492"/>
      <c r="E217" s="2242"/>
      <c r="F217" s="2412"/>
      <c r="G217" s="530"/>
      <c r="H217" s="1637"/>
      <c r="I217" s="781"/>
      <c r="J217" s="701"/>
      <c r="K217" s="1637"/>
      <c r="L217" s="344"/>
      <c r="M217" s="471"/>
      <c r="N217" s="464"/>
      <c r="O217" s="1761"/>
      <c r="P217" s="1761"/>
    </row>
    <row s="11775" customFormat="1" customHeight="1" ht="18.75" hidden="1">
      <c r="A218" s="1918" t="s">
        <v>271</v>
      </c>
      <c r="B218" s="1918" t="s">
        <v>272</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384</v>
      </c>
      <c r="M218" s="471"/>
      <c r="N218" s="464"/>
      <c r="O218" s="1761"/>
      <c r="P218" s="1761"/>
    </row>
    <row s="11775" customFormat="1" customHeight="1" ht="18.75" hidden="1">
      <c r="A219" s="1918"/>
      <c r="B219" s="1918"/>
      <c r="C219" s="499" t="s">
        <v>1169</v>
      </c>
      <c r="D219" s="2492"/>
      <c r="E219" s="2242"/>
      <c r="F219" s="2412"/>
      <c r="G219" s="2453"/>
      <c r="H219" s="1637"/>
      <c r="I219" s="781" t="s">
        <v>1168</v>
      </c>
      <c r="J219" s="701"/>
      <c r="K219" s="1637"/>
      <c r="L219" s="344"/>
      <c r="M219" s="471"/>
      <c r="N219" s="464"/>
      <c r="O219" s="1761"/>
      <c r="P219" s="1761"/>
    </row>
    <row s="11775" customFormat="1" customHeight="1" ht="0.75" hidden="1">
      <c r="A220" s="1918"/>
      <c r="B220" s="1918"/>
      <c r="C220" s="499" t="s">
        <v>1176</v>
      </c>
      <c r="D220" s="2492"/>
      <c r="E220" s="2242"/>
      <c r="F220" s="2412"/>
      <c r="G220" s="530"/>
      <c r="H220" s="1637"/>
      <c r="I220" s="781"/>
      <c r="J220" s="701"/>
      <c r="K220" s="1637"/>
      <c r="L220" s="344"/>
      <c r="M220" s="471"/>
      <c r="N220" s="464"/>
      <c r="O220" s="1761"/>
      <c r="P220" s="1761"/>
    </row>
    <row s="11775" customFormat="1" customHeight="1" ht="18.75" hidden="1">
      <c r="A221" s="1918" t="s">
        <v>277</v>
      </c>
      <c r="B221" s="1918" t="s">
        <v>278</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384</v>
      </c>
      <c r="M221" s="471"/>
      <c r="N221" s="464"/>
      <c r="O221" s="1761"/>
      <c r="P221" s="1761"/>
    </row>
    <row s="11775" customFormat="1" customHeight="1" ht="18.75" hidden="1">
      <c r="A222" s="1918"/>
      <c r="B222" s="1918"/>
      <c r="C222" s="499" t="s">
        <v>1169</v>
      </c>
      <c r="D222" s="2492"/>
      <c r="E222" s="2242"/>
      <c r="F222" s="2412"/>
      <c r="G222" s="2453"/>
      <c r="H222" s="1637"/>
      <c r="I222" s="781" t="s">
        <v>1168</v>
      </c>
      <c r="J222" s="701"/>
      <c r="K222" s="1637"/>
      <c r="L222" s="344"/>
      <c r="M222" s="471"/>
      <c r="N222" s="464"/>
      <c r="O222" s="1761"/>
      <c r="P222" s="1761"/>
    </row>
    <row s="11775" customFormat="1" customHeight="1" ht="0.75" hidden="1">
      <c r="A223" s="1918"/>
      <c r="B223" s="1918"/>
      <c r="C223" s="499" t="s">
        <v>1176</v>
      </c>
      <c r="D223" s="2492"/>
      <c r="E223" s="2242"/>
      <c r="F223" s="2412"/>
      <c r="G223" s="530"/>
      <c r="H223" s="1637"/>
      <c r="I223" s="781"/>
      <c r="J223" s="701"/>
      <c r="K223" s="1637"/>
      <c r="L223" s="344"/>
      <c r="M223" s="471"/>
      <c r="N223" s="464"/>
      <c r="O223" s="1761"/>
      <c r="P223" s="1761"/>
    </row>
    <row s="11775" customFormat="1" customHeight="1" ht="18.75" hidden="1">
      <c r="A224" s="1918" t="s">
        <v>303</v>
      </c>
      <c r="B224" s="1918" t="s">
        <v>304</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384</v>
      </c>
      <c r="M224" s="471"/>
      <c r="N224" s="464"/>
      <c r="O224" s="1761"/>
      <c r="P224" s="1761"/>
    </row>
    <row s="11775" customFormat="1" customHeight="1" ht="18.75" hidden="1">
      <c r="A225" s="1918"/>
      <c r="B225" s="1918"/>
      <c r="C225" s="499" t="s">
        <v>1169</v>
      </c>
      <c r="D225" s="2492"/>
      <c r="E225" s="2242"/>
      <c r="F225" s="2412"/>
      <c r="G225" s="2453"/>
      <c r="H225" s="1637"/>
      <c r="I225" s="781" t="s">
        <v>1168</v>
      </c>
      <c r="J225" s="701"/>
      <c r="K225" s="1637"/>
      <c r="L225" s="344"/>
      <c r="M225" s="471"/>
      <c r="N225" s="464"/>
      <c r="O225" s="1761"/>
      <c r="P225" s="1761"/>
    </row>
    <row s="11775" customFormat="1" customHeight="1" ht="0.75" hidden="1">
      <c r="A226" s="1918"/>
      <c r="B226" s="1918"/>
      <c r="C226" s="499" t="s">
        <v>1176</v>
      </c>
      <c r="D226" s="2492"/>
      <c r="E226" s="2242"/>
      <c r="F226" s="2412"/>
      <c r="G226" s="530"/>
      <c r="H226" s="1637"/>
      <c r="I226" s="781"/>
      <c r="J226" s="701"/>
      <c r="K226" s="1637"/>
      <c r="L226" s="344"/>
      <c r="M226" s="471"/>
      <c r="N226" s="464"/>
      <c r="O226" s="1761"/>
      <c r="P226" s="1761"/>
    </row>
    <row s="11775" customFormat="1" customHeight="1" ht="18.75" hidden="1">
      <c r="A227" s="1918" t="s">
        <v>308</v>
      </c>
      <c r="B227" s="1918" t="s">
        <v>309</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384</v>
      </c>
      <c r="M227" s="471"/>
      <c r="N227" s="464"/>
      <c r="O227" s="1761"/>
      <c r="P227" s="1761"/>
    </row>
    <row s="11775" customFormat="1" customHeight="1" ht="18.75" hidden="1">
      <c r="A228" s="1918"/>
      <c r="B228" s="1918"/>
      <c r="C228" s="499" t="s">
        <v>1169</v>
      </c>
      <c r="D228" s="2492"/>
      <c r="E228" s="2242"/>
      <c r="F228" s="2412"/>
      <c r="G228" s="2453"/>
      <c r="H228" s="1637"/>
      <c r="I228" s="781" t="s">
        <v>1168</v>
      </c>
      <c r="J228" s="701"/>
      <c r="K228" s="1637"/>
      <c r="L228" s="344"/>
      <c r="M228" s="471"/>
      <c r="N228" s="464"/>
      <c r="O228" s="1761"/>
      <c r="P228" s="1761"/>
    </row>
    <row s="11775" customFormat="1" customHeight="1" ht="0.75" hidden="1">
      <c r="A229" s="1918"/>
      <c r="B229" s="1918"/>
      <c r="C229" s="499" t="s">
        <v>1176</v>
      </c>
      <c r="D229" s="2492"/>
      <c r="E229" s="2242"/>
      <c r="F229" s="2412"/>
      <c r="G229" s="530"/>
      <c r="H229" s="1637"/>
      <c r="I229" s="781"/>
      <c r="J229" s="701"/>
      <c r="K229" s="1637"/>
      <c r="L229" s="344"/>
      <c r="M229" s="471"/>
      <c r="N229" s="464"/>
      <c r="O229" s="1761"/>
      <c r="P229" s="1761"/>
    </row>
    <row s="11775" customFormat="1" customHeight="1" ht="18.75" hidden="1">
      <c r="A230" s="1918" t="s">
        <v>313</v>
      </c>
      <c r="B230" s="1918" t="s">
        <v>314</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384</v>
      </c>
      <c r="M230" s="471"/>
      <c r="N230" s="464"/>
      <c r="O230" s="1761"/>
      <c r="P230" s="1761"/>
    </row>
    <row s="11775" customFormat="1" customHeight="1" ht="18.75" hidden="1">
      <c r="A231" s="1918"/>
      <c r="B231" s="1918"/>
      <c r="C231" s="499" t="s">
        <v>1169</v>
      </c>
      <c r="D231" s="2492"/>
      <c r="E231" s="2242"/>
      <c r="F231" s="2412"/>
      <c r="G231" s="2453"/>
      <c r="H231" s="1637"/>
      <c r="I231" s="781" t="s">
        <v>1168</v>
      </c>
      <c r="J231" s="701"/>
      <c r="K231" s="1637"/>
      <c r="L231" s="344"/>
      <c r="M231" s="471"/>
      <c r="N231" s="464"/>
      <c r="O231" s="1761"/>
      <c r="P231" s="1761"/>
    </row>
    <row s="11775" customFormat="1" customHeight="1" ht="0.75" hidden="1">
      <c r="A232" s="1918"/>
      <c r="B232" s="1918"/>
      <c r="C232" s="499" t="s">
        <v>1176</v>
      </c>
      <c r="D232" s="2492"/>
      <c r="E232" s="2242"/>
      <c r="F232" s="2412"/>
      <c r="G232" s="530"/>
      <c r="H232" s="1637"/>
      <c r="I232" s="781"/>
      <c r="J232" s="701"/>
      <c r="K232" s="1637"/>
      <c r="L232" s="344"/>
      <c r="M232" s="471"/>
      <c r="N232" s="464"/>
      <c r="O232" s="1761"/>
      <c r="P232" s="1761"/>
    </row>
    <row s="11775" customFormat="1" customHeight="1" ht="18.75" hidden="1">
      <c r="A233" s="1918" t="s">
        <v>318</v>
      </c>
      <c r="B233" s="1918" t="s">
        <v>319</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384</v>
      </c>
      <c r="M233" s="471"/>
      <c r="N233" s="464"/>
      <c r="O233" s="1761"/>
      <c r="P233" s="1761"/>
    </row>
    <row s="11775" customFormat="1" customHeight="1" ht="18.75" hidden="1">
      <c r="A234" s="1918"/>
      <c r="B234" s="1918"/>
      <c r="C234" s="499" t="s">
        <v>1169</v>
      </c>
      <c r="D234" s="2492"/>
      <c r="E234" s="2242"/>
      <c r="F234" s="2412"/>
      <c r="G234" s="2453"/>
      <c r="H234" s="1637"/>
      <c r="I234" s="781" t="s">
        <v>1168</v>
      </c>
      <c r="J234" s="701"/>
      <c r="K234" s="1637"/>
      <c r="L234" s="344"/>
      <c r="M234" s="471"/>
      <c r="N234" s="464"/>
      <c r="O234" s="1761"/>
      <c r="P234" s="1761"/>
    </row>
    <row s="11775" customFormat="1" customHeight="1" ht="0.75" hidden="1">
      <c r="A235" s="1918"/>
      <c r="B235" s="1918"/>
      <c r="C235" s="499" t="s">
        <v>1176</v>
      </c>
      <c r="D235" s="2492"/>
      <c r="E235" s="2242"/>
      <c r="F235" s="2412"/>
      <c r="G235" s="530"/>
      <c r="H235" s="1637"/>
      <c r="I235" s="781"/>
      <c r="J235" s="701"/>
      <c r="K235" s="1637"/>
      <c r="L235" s="344"/>
      <c r="M235" s="471"/>
      <c r="N235" s="464"/>
      <c r="O235" s="1761"/>
      <c r="P235" s="1761"/>
    </row>
    <row s="11775" customFormat="1" customHeight="1" ht="18.75" hidden="1">
      <c r="A236" s="1918" t="s">
        <v>323</v>
      </c>
      <c r="B236" s="1918" t="s">
        <v>324</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384</v>
      </c>
      <c r="M236" s="471"/>
      <c r="N236" s="464"/>
      <c r="O236" s="1761"/>
      <c r="P236" s="1761"/>
    </row>
    <row s="11775" customFormat="1" customHeight="1" ht="18.75" hidden="1">
      <c r="A237" s="1918"/>
      <c r="B237" s="1918"/>
      <c r="C237" s="499" t="s">
        <v>1169</v>
      </c>
      <c r="D237" s="2492"/>
      <c r="E237" s="2242"/>
      <c r="F237" s="2412"/>
      <c r="G237" s="2453"/>
      <c r="H237" s="1637"/>
      <c r="I237" s="781" t="s">
        <v>1168</v>
      </c>
      <c r="J237" s="701"/>
      <c r="K237" s="1637"/>
      <c r="L237" s="344"/>
      <c r="M237" s="471"/>
      <c r="N237" s="464"/>
      <c r="O237" s="1761"/>
      <c r="P237" s="1761"/>
    </row>
    <row s="11775" customFormat="1" customHeight="1" ht="0.75" hidden="1">
      <c r="A238" s="1918"/>
      <c r="B238" s="1918"/>
      <c r="C238" s="499" t="s">
        <v>1176</v>
      </c>
      <c r="D238" s="2492"/>
      <c r="E238" s="2242"/>
      <c r="F238" s="2412"/>
      <c r="G238" s="530"/>
      <c r="H238" s="1637"/>
      <c r="I238" s="781"/>
      <c r="J238" s="701"/>
      <c r="K238" s="1637"/>
      <c r="L238" s="344"/>
      <c r="M238" s="471"/>
      <c r="N238" s="464"/>
      <c r="O238" s="1761"/>
      <c r="P238" s="1761"/>
    </row>
    <row s="11775" customFormat="1" customHeight="1" ht="18.75" hidden="1">
      <c r="A239" s="1918" t="s">
        <v>328</v>
      </c>
      <c r="B239" s="1918" t="s">
        <v>329</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384</v>
      </c>
      <c r="M239" s="471"/>
      <c r="N239" s="464"/>
      <c r="O239" s="1761"/>
      <c r="P239" s="1761"/>
    </row>
    <row s="11775" customFormat="1" customHeight="1" ht="18.75" hidden="1">
      <c r="A240" s="1918"/>
      <c r="B240" s="1918"/>
      <c r="C240" s="499" t="s">
        <v>1169</v>
      </c>
      <c r="D240" s="2492"/>
      <c r="E240" s="2242"/>
      <c r="F240" s="2412"/>
      <c r="G240" s="2453"/>
      <c r="H240" s="1637"/>
      <c r="I240" s="781" t="s">
        <v>1168</v>
      </c>
      <c r="J240" s="701"/>
      <c r="K240" s="1637"/>
      <c r="L240" s="344"/>
      <c r="M240" s="471"/>
      <c r="N240" s="464"/>
      <c r="O240" s="1761"/>
      <c r="P240" s="1761"/>
    </row>
    <row s="11775" customFormat="1" customHeight="1" ht="0.75" hidden="1">
      <c r="A241" s="1918"/>
      <c r="B241" s="1918"/>
      <c r="C241" s="499" t="s">
        <v>1176</v>
      </c>
      <c r="D241" s="2492"/>
      <c r="E241" s="2242"/>
      <c r="F241" s="2412"/>
      <c r="G241" s="530"/>
      <c r="H241" s="1637"/>
      <c r="I241" s="781"/>
      <c r="J241" s="701"/>
      <c r="K241" s="1637"/>
      <c r="L241" s="344"/>
      <c r="M241" s="471"/>
      <c r="N241" s="464"/>
      <c r="O241" s="1761"/>
      <c r="P241" s="1761"/>
    </row>
    <row s="11775" customFormat="1" customHeight="1" ht="18.75" hidden="1">
      <c r="A242" s="1918" t="s">
        <v>333</v>
      </c>
      <c r="B242" s="1918" t="s">
        <v>334</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384</v>
      </c>
      <c r="M242" s="471"/>
      <c r="N242" s="464"/>
      <c r="O242" s="1761"/>
      <c r="P242" s="1761"/>
    </row>
    <row s="11775" customFormat="1" customHeight="1" ht="18.75" hidden="1">
      <c r="A243" s="1918"/>
      <c r="B243" s="1918"/>
      <c r="C243" s="499" t="s">
        <v>1169</v>
      </c>
      <c r="D243" s="2492"/>
      <c r="E243" s="2242"/>
      <c r="F243" s="2412"/>
      <c r="G243" s="2453"/>
      <c r="H243" s="1637"/>
      <c r="I243" s="781" t="s">
        <v>1168</v>
      </c>
      <c r="J243" s="701"/>
      <c r="K243" s="1637"/>
      <c r="L243" s="344"/>
      <c r="M243" s="471"/>
      <c r="N243" s="464"/>
      <c r="O243" s="1761"/>
      <c r="P243" s="1761"/>
    </row>
    <row s="11775" customFormat="1" customHeight="1" ht="0.75" hidden="1">
      <c r="A244" s="1918"/>
      <c r="B244" s="1918"/>
      <c r="C244" s="499" t="s">
        <v>1176</v>
      </c>
      <c r="D244" s="2492"/>
      <c r="E244" s="2242"/>
      <c r="F244" s="2412"/>
      <c r="G244" s="530"/>
      <c r="H244" s="1637"/>
      <c r="I244" s="781"/>
      <c r="J244" s="701"/>
      <c r="K244" s="1637"/>
      <c r="L244" s="344"/>
      <c r="M244" s="471"/>
      <c r="N244" s="464"/>
      <c r="O244" s="1761"/>
      <c r="P244" s="1761"/>
    </row>
    <row s="11775" customFormat="1" customHeight="1" ht="18.75" hidden="1">
      <c r="A245" s="1918" t="s">
        <v>338</v>
      </c>
      <c r="B245" s="1918" t="s">
        <v>339</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384</v>
      </c>
      <c r="M245" s="471"/>
      <c r="N245" s="464"/>
      <c r="O245" s="1761"/>
      <c r="P245" s="1761"/>
    </row>
    <row s="11775" customFormat="1" customHeight="1" ht="18.75" hidden="1">
      <c r="A246" s="1918"/>
      <c r="B246" s="1918"/>
      <c r="C246" s="499" t="s">
        <v>1169</v>
      </c>
      <c r="D246" s="2492"/>
      <c r="E246" s="2242"/>
      <c r="F246" s="2412"/>
      <c r="G246" s="2453"/>
      <c r="H246" s="1637"/>
      <c r="I246" s="781" t="s">
        <v>1168</v>
      </c>
      <c r="J246" s="701"/>
      <c r="K246" s="1637"/>
      <c r="L246" s="344"/>
      <c r="M246" s="471"/>
      <c r="N246" s="464"/>
      <c r="O246" s="1761"/>
      <c r="P246" s="1761"/>
    </row>
    <row s="11775" customFormat="1" customHeight="1" ht="0.75" hidden="1">
      <c r="A247" s="1918"/>
      <c r="B247" s="1918"/>
      <c r="C247" s="499" t="s">
        <v>1176</v>
      </c>
      <c r="D247" s="2492"/>
      <c r="E247" s="2242"/>
      <c r="F247" s="2412"/>
      <c r="G247" s="530"/>
      <c r="H247" s="1637"/>
      <c r="I247" s="781"/>
      <c r="J247" s="701"/>
      <c r="K247" s="1637"/>
      <c r="L247" s="344"/>
      <c r="M247" s="471"/>
      <c r="N247" s="464"/>
      <c r="O247" s="1761"/>
      <c r="P247" s="1761"/>
    </row>
    <row s="11775" customFormat="1" customHeight="1" ht="18.75" hidden="1">
      <c r="A248" s="1918" t="s">
        <v>343</v>
      </c>
      <c r="B248" s="1918" t="s">
        <v>344</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384</v>
      </c>
      <c r="M248" s="471"/>
      <c r="N248" s="464"/>
      <c r="O248" s="1761"/>
      <c r="P248" s="1761"/>
    </row>
    <row s="11775" customFormat="1" customHeight="1" ht="18.75" hidden="1">
      <c r="A249" s="1918"/>
      <c r="B249" s="1918"/>
      <c r="C249" s="499" t="s">
        <v>1169</v>
      </c>
      <c r="D249" s="2492"/>
      <c r="E249" s="2242"/>
      <c r="F249" s="2412"/>
      <c r="G249" s="2453"/>
      <c r="H249" s="1637"/>
      <c r="I249" s="781" t="s">
        <v>1168</v>
      </c>
      <c r="J249" s="701"/>
      <c r="K249" s="1637"/>
      <c r="L249" s="344"/>
      <c r="M249" s="471"/>
      <c r="N249" s="464"/>
      <c r="O249" s="1761"/>
      <c r="P249" s="1761"/>
    </row>
    <row s="11775" customFormat="1" customHeight="1" ht="0.75" hidden="1">
      <c r="A250" s="1918"/>
      <c r="B250" s="1918"/>
      <c r="C250" s="499" t="s">
        <v>1176</v>
      </c>
      <c r="D250" s="2492"/>
      <c r="E250" s="2242"/>
      <c r="F250" s="2412"/>
      <c r="G250" s="530"/>
      <c r="H250" s="1637"/>
      <c r="I250" s="781"/>
      <c r="J250" s="701"/>
      <c r="K250" s="1637"/>
      <c r="L250" s="344"/>
      <c r="M250" s="471"/>
      <c r="N250" s="464"/>
      <c r="O250" s="1761"/>
      <c r="P250" s="1761"/>
    </row>
    <row s="11775" customFormat="1" customHeight="1" ht="18.75" hidden="1">
      <c r="A251" s="1918" t="s">
        <v>348</v>
      </c>
      <c r="B251" s="1918" t="s">
        <v>349</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384</v>
      </c>
      <c r="M251" s="471"/>
      <c r="N251" s="464"/>
      <c r="O251" s="1761"/>
      <c r="P251" s="1761"/>
    </row>
    <row s="11775" customFormat="1" customHeight="1" ht="18.75" hidden="1">
      <c r="A252" s="1918"/>
      <c r="B252" s="1918"/>
      <c r="C252" s="499" t="s">
        <v>1169</v>
      </c>
      <c r="D252" s="2492"/>
      <c r="E252" s="2242"/>
      <c r="F252" s="2412"/>
      <c r="G252" s="2453"/>
      <c r="H252" s="1637"/>
      <c r="I252" s="781" t="s">
        <v>1168</v>
      </c>
      <c r="J252" s="701"/>
      <c r="K252" s="1637"/>
      <c r="L252" s="344"/>
      <c r="M252" s="471"/>
      <c r="N252" s="464"/>
      <c r="O252" s="1761"/>
      <c r="P252" s="1761"/>
    </row>
    <row s="11775" customFormat="1" customHeight="1" ht="0.75" hidden="1">
      <c r="A253" s="1918"/>
      <c r="B253" s="1918"/>
      <c r="C253" s="499" t="s">
        <v>1176</v>
      </c>
      <c r="D253" s="2492"/>
      <c r="E253" s="2242"/>
      <c r="F253" s="2412"/>
      <c r="G253" s="530"/>
      <c r="H253" s="1637"/>
      <c r="I253" s="781"/>
      <c r="J253" s="701"/>
      <c r="K253" s="1637"/>
      <c r="L253" s="344"/>
      <c r="M253" s="471"/>
      <c r="N253" s="464"/>
      <c r="O253" s="1761"/>
      <c r="P253" s="1761"/>
    </row>
    <row s="11775" customFormat="1" customHeight="1" ht="18.75" hidden="1">
      <c r="A254" s="1918" t="s">
        <v>353</v>
      </c>
      <c r="B254" s="1918" t="s">
        <v>354</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384</v>
      </c>
      <c r="M254" s="471"/>
      <c r="N254" s="464"/>
      <c r="O254" s="1761"/>
      <c r="P254" s="1761"/>
    </row>
    <row s="11775" customFormat="1" customHeight="1" ht="18.75" hidden="1">
      <c r="A255" s="1918"/>
      <c r="B255" s="1918"/>
      <c r="C255" s="499" t="s">
        <v>1169</v>
      </c>
      <c r="D255" s="2492"/>
      <c r="E255" s="2242"/>
      <c r="F255" s="2412"/>
      <c r="G255" s="2453"/>
      <c r="H255" s="1637"/>
      <c r="I255" s="781" t="s">
        <v>1168</v>
      </c>
      <c r="J255" s="701"/>
      <c r="K255" s="1637"/>
      <c r="L255" s="344"/>
      <c r="M255" s="471"/>
      <c r="N255" s="464"/>
      <c r="O255" s="1761"/>
      <c r="P255" s="1761"/>
    </row>
    <row s="11775" customFormat="1" customHeight="1" ht="0.75">
      <c r="A256" s="1918"/>
      <c r="B256" s="1918"/>
      <c r="C256" s="499" t="s">
        <v>1176</v>
      </c>
      <c r="D256" s="2492"/>
      <c r="E256" s="2242"/>
      <c r="F256" s="2412"/>
      <c r="G256" s="530"/>
      <c r="H256" s="1637"/>
      <c r="I256" s="781"/>
      <c r="J256" s="701"/>
      <c r="K256" s="1637"/>
      <c r="L256" s="344"/>
      <c r="M256" s="471"/>
      <c r="N256" s="464"/>
      <c r="O256" s="1761"/>
      <c r="P256" s="1761"/>
    </row>
    <row customHeight="1" ht="25.5">
      <c r="A257" s="1918"/>
      <c r="B257" s="1918"/>
      <c r="D257" s="506"/>
      <c r="E257" s="277" t="s">
        <v>89</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90"/>
      <c r="H257" s="2490"/>
      <c r="I257" s="2490"/>
      <c r="J257" s="2490"/>
      <c r="K257" s="2490"/>
      <c r="L257" s="2490"/>
      <c r="M257" s="427"/>
      <c r="N257" s="464"/>
    </row>
    <row s="11775" customFormat="1" customHeight="1" ht="60.75" hidden="1">
      <c r="A258" s="1918" t="s">
        <v>235</v>
      </c>
      <c r="B258" s="1918" t="s">
        <v>236</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384</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775" customFormat="1" customHeight="1" ht="18.75" hidden="1">
      <c r="A259" s="1918"/>
      <c r="B259" s="1918"/>
      <c r="C259" s="499" t="s">
        <v>1169</v>
      </c>
      <c r="D259" s="2492"/>
      <c r="E259" s="2242"/>
      <c r="F259" s="2412"/>
      <c r="G259" s="2453"/>
      <c r="H259" s="1637"/>
      <c r="I259" s="781" t="s">
        <v>1168</v>
      </c>
      <c r="J259" s="701"/>
      <c r="K259" s="1637"/>
      <c r="L259" s="344"/>
      <c r="M259" s="2208"/>
      <c r="N259" s="464"/>
      <c r="O259" s="1761"/>
      <c r="P259" s="1761"/>
    </row>
    <row s="11775" customFormat="1" customHeight="1" ht="0.75" hidden="1">
      <c r="A260" s="1918"/>
      <c r="B260" s="1918"/>
      <c r="C260" s="499" t="s">
        <v>1176</v>
      </c>
      <c r="D260" s="2492"/>
      <c r="E260" s="2242"/>
      <c r="F260" s="2412"/>
      <c r="G260" s="530"/>
      <c r="H260" s="1637"/>
      <c r="I260" s="781"/>
      <c r="J260" s="701"/>
      <c r="K260" s="1637"/>
      <c r="L260" s="344"/>
      <c r="M260" s="2208"/>
      <c r="N260" s="464"/>
      <c r="O260" s="1761"/>
      <c r="P260" s="1761"/>
    </row>
    <row s="11775" customFormat="1" customHeight="1" ht="45" hidden="1">
      <c r="A261" s="1918" t="s">
        <v>241</v>
      </c>
      <c r="B261" s="1918" t="s">
        <v>242</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384</v>
      </c>
      <c r="M261" s="2209"/>
      <c r="N261" s="464"/>
      <c r="O261" s="1761"/>
      <c r="P261" s="1761"/>
    </row>
    <row s="11775" customFormat="1" customHeight="1" ht="18.75" hidden="1">
      <c r="A262" s="1918"/>
      <c r="B262" s="1918"/>
      <c r="C262" s="499" t="s">
        <v>1169</v>
      </c>
      <c r="D262" s="2492"/>
      <c r="E262" s="2242"/>
      <c r="F262" s="2412"/>
      <c r="G262" s="2453"/>
      <c r="H262" s="1637"/>
      <c r="I262" s="781" t="s">
        <v>1168</v>
      </c>
      <c r="J262" s="701"/>
      <c r="K262" s="1637"/>
      <c r="L262" s="344"/>
      <c r="M262" s="2000"/>
      <c r="N262" s="464"/>
      <c r="O262" s="1761"/>
      <c r="P262" s="1761"/>
    </row>
    <row s="11775" customFormat="1" customHeight="1" ht="0.75" hidden="1">
      <c r="A263" s="1918"/>
      <c r="B263" s="1918"/>
      <c r="C263" s="499" t="s">
        <v>1176</v>
      </c>
      <c r="D263" s="2492"/>
      <c r="E263" s="2242"/>
      <c r="F263" s="2412"/>
      <c r="G263" s="530"/>
      <c r="H263" s="1637"/>
      <c r="I263" s="781"/>
      <c r="J263" s="701"/>
      <c r="K263" s="1637"/>
      <c r="L263" s="344"/>
      <c r="M263" s="471"/>
      <c r="N263" s="464"/>
      <c r="O263" s="1761"/>
      <c r="P263" s="1761"/>
    </row>
    <row s="11775" customFormat="1" customHeight="1" ht="45" hidden="1">
      <c r="A264" s="1918" t="s">
        <v>247</v>
      </c>
      <c r="B264" s="1918" t="s">
        <v>248</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384</v>
      </c>
      <c r="M264" s="471"/>
      <c r="N264" s="464"/>
      <c r="O264" s="1761"/>
      <c r="P264" s="1761"/>
    </row>
    <row s="11775" customFormat="1" customHeight="1" ht="18.75" hidden="1">
      <c r="A265" s="1918"/>
      <c r="B265" s="1918"/>
      <c r="C265" s="499" t="s">
        <v>1169</v>
      </c>
      <c r="D265" s="2492"/>
      <c r="E265" s="2242"/>
      <c r="F265" s="2412"/>
      <c r="G265" s="2453"/>
      <c r="H265" s="1637"/>
      <c r="I265" s="781" t="s">
        <v>1168</v>
      </c>
      <c r="J265" s="701"/>
      <c r="K265" s="1637"/>
      <c r="L265" s="344"/>
      <c r="M265" s="471"/>
      <c r="N265" s="464"/>
      <c r="O265" s="1761"/>
      <c r="P265" s="1761"/>
    </row>
    <row s="11775" customFormat="1" customHeight="1" ht="0.75" hidden="1">
      <c r="A266" s="1918"/>
      <c r="B266" s="1918"/>
      <c r="C266" s="499" t="s">
        <v>1176</v>
      </c>
      <c r="D266" s="2492"/>
      <c r="E266" s="2242"/>
      <c r="F266" s="2412"/>
      <c r="G266" s="530"/>
      <c r="H266" s="1637"/>
      <c r="I266" s="781"/>
      <c r="J266" s="701"/>
      <c r="K266" s="1637"/>
      <c r="L266" s="344"/>
      <c r="M266" s="471"/>
      <c r="N266" s="464"/>
      <c r="O266" s="1761"/>
      <c r="P266" s="1761"/>
    </row>
    <row s="11775" customFormat="1" customHeight="1" ht="45" hidden="1">
      <c r="A267" s="1918" t="s">
        <v>253</v>
      </c>
      <c r="B267" s="1918" t="s">
        <v>254</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384</v>
      </c>
      <c r="M267" s="471"/>
      <c r="N267" s="464"/>
      <c r="O267" s="1761"/>
      <c r="P267" s="1761"/>
    </row>
    <row s="11775" customFormat="1" customHeight="1" ht="18.75" hidden="1">
      <c r="A268" s="1918"/>
      <c r="B268" s="1918"/>
      <c r="C268" s="499" t="s">
        <v>1169</v>
      </c>
      <c r="D268" s="2492"/>
      <c r="E268" s="2242"/>
      <c r="F268" s="2412"/>
      <c r="G268" s="2453"/>
      <c r="H268" s="1637"/>
      <c r="I268" s="781" t="s">
        <v>1168</v>
      </c>
      <c r="J268" s="701"/>
      <c r="K268" s="1637"/>
      <c r="L268" s="344"/>
      <c r="M268" s="471"/>
      <c r="N268" s="464"/>
      <c r="O268" s="1761"/>
      <c r="P268" s="1761"/>
    </row>
    <row s="11775" customFormat="1" customHeight="1" ht="0.75" hidden="1">
      <c r="A269" s="1918"/>
      <c r="B269" s="1918"/>
      <c r="C269" s="499" t="s">
        <v>1176</v>
      </c>
      <c r="D269" s="2492"/>
      <c r="E269" s="2242"/>
      <c r="F269" s="2412"/>
      <c r="G269" s="530"/>
      <c r="H269" s="1637"/>
      <c r="I269" s="781"/>
      <c r="J269" s="701"/>
      <c r="K269" s="1637"/>
      <c r="L269" s="344"/>
      <c r="M269" s="471"/>
      <c r="N269" s="464"/>
      <c r="O269" s="1761"/>
      <c r="P269" s="1761"/>
    </row>
    <row s="11775" customFormat="1" customHeight="1" ht="18.75" hidden="1">
      <c r="A270" s="1918" t="s">
        <v>259</v>
      </c>
      <c r="B270" s="1918" t="s">
        <v>260</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384</v>
      </c>
      <c r="M270" s="471"/>
      <c r="N270" s="464"/>
      <c r="O270" s="1761"/>
      <c r="P270" s="1761"/>
    </row>
    <row s="11775" customFormat="1" customHeight="1" ht="18.75" hidden="1">
      <c r="A271" s="1918"/>
      <c r="B271" s="1918"/>
      <c r="C271" s="499" t="s">
        <v>1169</v>
      </c>
      <c r="D271" s="2492"/>
      <c r="E271" s="2242"/>
      <c r="F271" s="2412"/>
      <c r="G271" s="2453"/>
      <c r="H271" s="1637"/>
      <c r="I271" s="781" t="s">
        <v>1168</v>
      </c>
      <c r="J271" s="701"/>
      <c r="K271" s="1637"/>
      <c r="L271" s="344"/>
      <c r="M271" s="471"/>
      <c r="N271" s="464"/>
      <c r="O271" s="1761"/>
      <c r="P271" s="1761"/>
    </row>
    <row s="11775" customFormat="1" customHeight="1" ht="0.75" hidden="1">
      <c r="A272" s="1918"/>
      <c r="B272" s="1918"/>
      <c r="C272" s="499" t="s">
        <v>1176</v>
      </c>
      <c r="D272" s="2492"/>
      <c r="E272" s="2242"/>
      <c r="F272" s="2412"/>
      <c r="G272" s="530"/>
      <c r="H272" s="1637"/>
      <c r="I272" s="781"/>
      <c r="J272" s="701"/>
      <c r="K272" s="1637"/>
      <c r="L272" s="344"/>
      <c r="M272" s="471"/>
      <c r="N272" s="464"/>
      <c r="O272" s="1761"/>
      <c r="P272" s="1761"/>
    </row>
    <row s="11775" customFormat="1" customHeight="1" ht="18.75" hidden="1">
      <c r="A273" s="1918" t="s">
        <v>265</v>
      </c>
      <c r="B273" s="1918" t="s">
        <v>266</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384</v>
      </c>
      <c r="M273" s="471"/>
      <c r="N273" s="464"/>
      <c r="O273" s="1761"/>
      <c r="P273" s="1761"/>
    </row>
    <row s="11775" customFormat="1" customHeight="1" ht="18.75" hidden="1">
      <c r="A274" s="1918"/>
      <c r="B274" s="1918"/>
      <c r="C274" s="499" t="s">
        <v>1169</v>
      </c>
      <c r="D274" s="2492"/>
      <c r="E274" s="2242"/>
      <c r="F274" s="2412"/>
      <c r="G274" s="2453"/>
      <c r="H274" s="1637"/>
      <c r="I274" s="781" t="s">
        <v>1168</v>
      </c>
      <c r="J274" s="701"/>
      <c r="K274" s="1637"/>
      <c r="L274" s="344"/>
      <c r="M274" s="471"/>
      <c r="N274" s="464"/>
      <c r="O274" s="1761"/>
      <c r="P274" s="1761"/>
    </row>
    <row s="11775" customFormat="1" customHeight="1" ht="0.75" hidden="1">
      <c r="A275" s="1918"/>
      <c r="B275" s="1918"/>
      <c r="C275" s="499" t="s">
        <v>1176</v>
      </c>
      <c r="D275" s="2492"/>
      <c r="E275" s="2242"/>
      <c r="F275" s="2412"/>
      <c r="G275" s="530"/>
      <c r="H275" s="1637"/>
      <c r="I275" s="781"/>
      <c r="J275" s="701"/>
      <c r="K275" s="1637"/>
      <c r="L275" s="344"/>
      <c r="M275" s="471"/>
      <c r="N275" s="464"/>
      <c r="O275" s="1761"/>
      <c r="P275" s="1761"/>
    </row>
    <row s="11775" customFormat="1" customHeight="1" ht="18.75" hidden="1">
      <c r="A276" s="1918" t="s">
        <v>271</v>
      </c>
      <c r="B276" s="1918" t="s">
        <v>272</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384</v>
      </c>
      <c r="M276" s="471"/>
      <c r="N276" s="464"/>
      <c r="O276" s="1761"/>
      <c r="P276" s="1761"/>
    </row>
    <row s="11775" customFormat="1" customHeight="1" ht="18.75" hidden="1">
      <c r="A277" s="1918"/>
      <c r="B277" s="1918"/>
      <c r="C277" s="499" t="s">
        <v>1169</v>
      </c>
      <c r="D277" s="2492"/>
      <c r="E277" s="2242"/>
      <c r="F277" s="2412"/>
      <c r="G277" s="2453"/>
      <c r="H277" s="1637"/>
      <c r="I277" s="781" t="s">
        <v>1168</v>
      </c>
      <c r="J277" s="701"/>
      <c r="K277" s="1637"/>
      <c r="L277" s="344"/>
      <c r="M277" s="471"/>
      <c r="N277" s="464"/>
      <c r="O277" s="1761"/>
      <c r="P277" s="1761"/>
    </row>
    <row s="11775" customFormat="1" customHeight="1" ht="0.75" hidden="1">
      <c r="A278" s="1918"/>
      <c r="B278" s="1918"/>
      <c r="C278" s="499" t="s">
        <v>1176</v>
      </c>
      <c r="D278" s="2492"/>
      <c r="E278" s="2242"/>
      <c r="F278" s="2412"/>
      <c r="G278" s="530"/>
      <c r="H278" s="1637"/>
      <c r="I278" s="781"/>
      <c r="J278" s="701"/>
      <c r="K278" s="1637"/>
      <c r="L278" s="344"/>
      <c r="M278" s="471"/>
      <c r="N278" s="464"/>
      <c r="O278" s="1761"/>
      <c r="P278" s="1761"/>
    </row>
    <row s="11775" customFormat="1" customHeight="1" ht="18.75" hidden="1">
      <c r="A279" s="1918" t="s">
        <v>277</v>
      </c>
      <c r="B279" s="1918" t="s">
        <v>278</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384</v>
      </c>
      <c r="M279" s="471"/>
      <c r="N279" s="464"/>
      <c r="O279" s="1761"/>
      <c r="P279" s="1761"/>
    </row>
    <row s="11775" customFormat="1" customHeight="1" ht="18.75" hidden="1">
      <c r="A280" s="1918"/>
      <c r="B280" s="1918"/>
      <c r="C280" s="499" t="s">
        <v>1169</v>
      </c>
      <c r="D280" s="2492"/>
      <c r="E280" s="2242"/>
      <c r="F280" s="2412"/>
      <c r="G280" s="2453"/>
      <c r="H280" s="1637"/>
      <c r="I280" s="781" t="s">
        <v>1168</v>
      </c>
      <c r="J280" s="701"/>
      <c r="K280" s="1637"/>
      <c r="L280" s="344"/>
      <c r="M280" s="471"/>
      <c r="N280" s="464"/>
      <c r="O280" s="1761"/>
      <c r="P280" s="1761"/>
    </row>
    <row s="11775" customFormat="1" customHeight="1" ht="0.75" hidden="1">
      <c r="A281" s="1918"/>
      <c r="B281" s="1918"/>
      <c r="C281" s="499" t="s">
        <v>1176</v>
      </c>
      <c r="D281" s="2492"/>
      <c r="E281" s="2242"/>
      <c r="F281" s="2412"/>
      <c r="G281" s="530"/>
      <c r="H281" s="1637"/>
      <c r="I281" s="781"/>
      <c r="J281" s="701"/>
      <c r="K281" s="1637"/>
      <c r="L281" s="344"/>
      <c r="M281" s="471"/>
      <c r="N281" s="464"/>
      <c r="O281" s="1761"/>
      <c r="P281" s="1761"/>
    </row>
    <row s="11775" customFormat="1" customHeight="1" ht="18.75" hidden="1">
      <c r="A282" s="1918" t="s">
        <v>303</v>
      </c>
      <c r="B282" s="1918" t="s">
        <v>304</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384</v>
      </c>
      <c r="M282" s="471"/>
      <c r="N282" s="464"/>
      <c r="O282" s="1761"/>
      <c r="P282" s="1761"/>
    </row>
    <row s="11775" customFormat="1" customHeight="1" ht="18.75" hidden="1">
      <c r="A283" s="1918"/>
      <c r="B283" s="1918"/>
      <c r="C283" s="499" t="s">
        <v>1169</v>
      </c>
      <c r="D283" s="2492"/>
      <c r="E283" s="2242"/>
      <c r="F283" s="2412"/>
      <c r="G283" s="2453"/>
      <c r="H283" s="1637"/>
      <c r="I283" s="781" t="s">
        <v>1168</v>
      </c>
      <c r="J283" s="701"/>
      <c r="K283" s="1637"/>
      <c r="L283" s="344"/>
      <c r="M283" s="471"/>
      <c r="N283" s="464"/>
      <c r="O283" s="1761"/>
      <c r="P283" s="1761"/>
    </row>
    <row s="11775" customFormat="1" customHeight="1" ht="0.75" hidden="1">
      <c r="A284" s="1918"/>
      <c r="B284" s="1918"/>
      <c r="C284" s="499" t="s">
        <v>1176</v>
      </c>
      <c r="D284" s="2492"/>
      <c r="E284" s="2242"/>
      <c r="F284" s="2412"/>
      <c r="G284" s="530"/>
      <c r="H284" s="1637"/>
      <c r="I284" s="781"/>
      <c r="J284" s="701"/>
      <c r="K284" s="1637"/>
      <c r="L284" s="344"/>
      <c r="M284" s="471"/>
      <c r="N284" s="464"/>
      <c r="O284" s="1761"/>
      <c r="P284" s="1761"/>
    </row>
    <row s="11775" customFormat="1" customHeight="1" ht="18.75" hidden="1">
      <c r="A285" s="1918" t="s">
        <v>308</v>
      </c>
      <c r="B285" s="1918" t="s">
        <v>309</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384</v>
      </c>
      <c r="M285" s="471"/>
      <c r="N285" s="464"/>
      <c r="O285" s="1761"/>
      <c r="P285" s="1761"/>
    </row>
    <row s="11775" customFormat="1" customHeight="1" ht="18.75" hidden="1">
      <c r="A286" s="1918"/>
      <c r="B286" s="1918"/>
      <c r="C286" s="499" t="s">
        <v>1169</v>
      </c>
      <c r="D286" s="2492"/>
      <c r="E286" s="2242"/>
      <c r="F286" s="2412"/>
      <c r="G286" s="2453"/>
      <c r="H286" s="1637"/>
      <c r="I286" s="781" t="s">
        <v>1168</v>
      </c>
      <c r="J286" s="701"/>
      <c r="K286" s="1637"/>
      <c r="L286" s="344"/>
      <c r="M286" s="471"/>
      <c r="N286" s="464"/>
      <c r="O286" s="1761"/>
      <c r="P286" s="1761"/>
    </row>
    <row s="11775" customFormat="1" customHeight="1" ht="0.75" hidden="1">
      <c r="A287" s="1918"/>
      <c r="B287" s="1918"/>
      <c r="C287" s="499" t="s">
        <v>1176</v>
      </c>
      <c r="D287" s="2492"/>
      <c r="E287" s="2242"/>
      <c r="F287" s="2412"/>
      <c r="G287" s="530"/>
      <c r="H287" s="1637"/>
      <c r="I287" s="781"/>
      <c r="J287" s="701"/>
      <c r="K287" s="1637"/>
      <c r="L287" s="344"/>
      <c r="M287" s="471"/>
      <c r="N287" s="464"/>
      <c r="O287" s="1761"/>
      <c r="P287" s="1761"/>
    </row>
    <row s="11775" customFormat="1" customHeight="1" ht="18.75" hidden="1">
      <c r="A288" s="1918" t="s">
        <v>313</v>
      </c>
      <c r="B288" s="1918" t="s">
        <v>314</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384</v>
      </c>
      <c r="M288" s="471"/>
      <c r="N288" s="464"/>
      <c r="O288" s="1761"/>
      <c r="P288" s="1761"/>
    </row>
    <row s="11775" customFormat="1" customHeight="1" ht="18.75" hidden="1">
      <c r="A289" s="1918"/>
      <c r="B289" s="1918"/>
      <c r="C289" s="499" t="s">
        <v>1169</v>
      </c>
      <c r="D289" s="2492"/>
      <c r="E289" s="2242"/>
      <c r="F289" s="2412"/>
      <c r="G289" s="2453"/>
      <c r="H289" s="1637"/>
      <c r="I289" s="781" t="s">
        <v>1168</v>
      </c>
      <c r="J289" s="701"/>
      <c r="K289" s="1637"/>
      <c r="L289" s="344"/>
      <c r="M289" s="471"/>
      <c r="N289" s="464"/>
      <c r="O289" s="1761"/>
      <c r="P289" s="1761"/>
    </row>
    <row s="11775" customFormat="1" customHeight="1" ht="0.75" hidden="1">
      <c r="A290" s="1918"/>
      <c r="B290" s="1918"/>
      <c r="C290" s="499" t="s">
        <v>1176</v>
      </c>
      <c r="D290" s="2492"/>
      <c r="E290" s="2242"/>
      <c r="F290" s="2412"/>
      <c r="G290" s="530"/>
      <c r="H290" s="1637"/>
      <c r="I290" s="781"/>
      <c r="J290" s="701"/>
      <c r="K290" s="1637"/>
      <c r="L290" s="344"/>
      <c r="M290" s="471"/>
      <c r="N290" s="464"/>
      <c r="O290" s="1761"/>
      <c r="P290" s="1761"/>
    </row>
    <row s="11775" customFormat="1" customHeight="1" ht="18.75" hidden="1">
      <c r="A291" s="1918" t="s">
        <v>318</v>
      </c>
      <c r="B291" s="1918" t="s">
        <v>319</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384</v>
      </c>
      <c r="M291" s="471"/>
      <c r="N291" s="464"/>
      <c r="O291" s="1761"/>
      <c r="P291" s="1761"/>
    </row>
    <row s="11775" customFormat="1" customHeight="1" ht="18.75" hidden="1">
      <c r="A292" s="1918"/>
      <c r="B292" s="1918"/>
      <c r="C292" s="499" t="s">
        <v>1169</v>
      </c>
      <c r="D292" s="2492"/>
      <c r="E292" s="2242"/>
      <c r="F292" s="2412"/>
      <c r="G292" s="2453"/>
      <c r="H292" s="1637"/>
      <c r="I292" s="781" t="s">
        <v>1168</v>
      </c>
      <c r="J292" s="701"/>
      <c r="K292" s="1637"/>
      <c r="L292" s="344"/>
      <c r="M292" s="471"/>
      <c r="N292" s="464"/>
      <c r="O292" s="1761"/>
      <c r="P292" s="1761"/>
    </row>
    <row s="11775" customFormat="1" customHeight="1" ht="0.75" hidden="1">
      <c r="A293" s="1918"/>
      <c r="B293" s="1918"/>
      <c r="C293" s="499" t="s">
        <v>1176</v>
      </c>
      <c r="D293" s="2492"/>
      <c r="E293" s="2242"/>
      <c r="F293" s="2412"/>
      <c r="G293" s="530"/>
      <c r="H293" s="1637"/>
      <c r="I293" s="781"/>
      <c r="J293" s="701"/>
      <c r="K293" s="1637"/>
      <c r="L293" s="344"/>
      <c r="M293" s="471"/>
      <c r="N293" s="464"/>
      <c r="O293" s="1761"/>
      <c r="P293" s="1761"/>
    </row>
    <row s="11775" customFormat="1" customHeight="1" ht="18.75" hidden="1">
      <c r="A294" s="1918" t="s">
        <v>323</v>
      </c>
      <c r="B294" s="1918" t="s">
        <v>324</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384</v>
      </c>
      <c r="M294" s="471"/>
      <c r="N294" s="464"/>
      <c r="O294" s="1761"/>
      <c r="P294" s="1761"/>
    </row>
    <row s="11775" customFormat="1" customHeight="1" ht="18.75" hidden="1">
      <c r="A295" s="1918"/>
      <c r="B295" s="1918"/>
      <c r="C295" s="499" t="s">
        <v>1169</v>
      </c>
      <c r="D295" s="2492"/>
      <c r="E295" s="2242"/>
      <c r="F295" s="2412"/>
      <c r="G295" s="2453"/>
      <c r="H295" s="1637"/>
      <c r="I295" s="781" t="s">
        <v>1168</v>
      </c>
      <c r="J295" s="701"/>
      <c r="K295" s="1637"/>
      <c r="L295" s="344"/>
      <c r="M295" s="471"/>
      <c r="N295" s="464"/>
      <c r="O295" s="1761"/>
      <c r="P295" s="1761"/>
    </row>
    <row s="11775" customFormat="1" customHeight="1" ht="0.75" hidden="1">
      <c r="A296" s="1918"/>
      <c r="B296" s="1918"/>
      <c r="C296" s="499" t="s">
        <v>1176</v>
      </c>
      <c r="D296" s="2492"/>
      <c r="E296" s="2242"/>
      <c r="F296" s="2412"/>
      <c r="G296" s="530"/>
      <c r="H296" s="1637"/>
      <c r="I296" s="781"/>
      <c r="J296" s="701"/>
      <c r="K296" s="1637"/>
      <c r="L296" s="344"/>
      <c r="M296" s="471"/>
      <c r="N296" s="464"/>
      <c r="O296" s="1761"/>
      <c r="P296" s="1761"/>
    </row>
    <row s="11775" customFormat="1" customHeight="1" ht="18.75" hidden="1">
      <c r="A297" s="1918" t="s">
        <v>328</v>
      </c>
      <c r="B297" s="1918" t="s">
        <v>329</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384</v>
      </c>
      <c r="M297" s="471"/>
      <c r="N297" s="464"/>
      <c r="O297" s="1761"/>
      <c r="P297" s="1761"/>
    </row>
    <row s="11775" customFormat="1" customHeight="1" ht="18.75" hidden="1">
      <c r="A298" s="1918"/>
      <c r="B298" s="1918"/>
      <c r="C298" s="499" t="s">
        <v>1169</v>
      </c>
      <c r="D298" s="2492"/>
      <c r="E298" s="2242"/>
      <c r="F298" s="2412"/>
      <c r="G298" s="2453"/>
      <c r="H298" s="1637"/>
      <c r="I298" s="781" t="s">
        <v>1168</v>
      </c>
      <c r="J298" s="701"/>
      <c r="K298" s="1637"/>
      <c r="L298" s="344"/>
      <c r="M298" s="471"/>
      <c r="N298" s="464"/>
      <c r="O298" s="1761"/>
      <c r="P298" s="1761"/>
    </row>
    <row s="11775" customFormat="1" customHeight="1" ht="0.75" hidden="1">
      <c r="A299" s="1918"/>
      <c r="B299" s="1918"/>
      <c r="C299" s="499" t="s">
        <v>1176</v>
      </c>
      <c r="D299" s="2492"/>
      <c r="E299" s="2242"/>
      <c r="F299" s="2412"/>
      <c r="G299" s="530"/>
      <c r="H299" s="1637"/>
      <c r="I299" s="781"/>
      <c r="J299" s="701"/>
      <c r="K299" s="1637"/>
      <c r="L299" s="344"/>
      <c r="M299" s="471"/>
      <c r="N299" s="464"/>
      <c r="O299" s="1761"/>
      <c r="P299" s="1761"/>
    </row>
    <row s="11775" customFormat="1" customHeight="1" ht="18.75" hidden="1">
      <c r="A300" s="1918" t="s">
        <v>333</v>
      </c>
      <c r="B300" s="1918" t="s">
        <v>334</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384</v>
      </c>
      <c r="M300" s="471"/>
      <c r="N300" s="464"/>
      <c r="O300" s="1761"/>
      <c r="P300" s="1761"/>
    </row>
    <row s="11775" customFormat="1" customHeight="1" ht="18.75" hidden="1">
      <c r="A301" s="1918"/>
      <c r="B301" s="1918"/>
      <c r="C301" s="499" t="s">
        <v>1169</v>
      </c>
      <c r="D301" s="2492"/>
      <c r="E301" s="2242"/>
      <c r="F301" s="2412"/>
      <c r="G301" s="2453"/>
      <c r="H301" s="1637"/>
      <c r="I301" s="781" t="s">
        <v>1168</v>
      </c>
      <c r="J301" s="701"/>
      <c r="K301" s="1637"/>
      <c r="L301" s="344"/>
      <c r="M301" s="471"/>
      <c r="N301" s="464"/>
      <c r="O301" s="1761"/>
      <c r="P301" s="1761"/>
    </row>
    <row s="11775" customFormat="1" customHeight="1" ht="0.75" hidden="1">
      <c r="A302" s="1918"/>
      <c r="B302" s="1918"/>
      <c r="C302" s="499" t="s">
        <v>1176</v>
      </c>
      <c r="D302" s="2492"/>
      <c r="E302" s="2242"/>
      <c r="F302" s="2412"/>
      <c r="G302" s="530"/>
      <c r="H302" s="1637"/>
      <c r="I302" s="781"/>
      <c r="J302" s="701"/>
      <c r="K302" s="1637"/>
      <c r="L302" s="344"/>
      <c r="M302" s="471"/>
      <c r="N302" s="464"/>
      <c r="O302" s="1761"/>
      <c r="P302" s="1761"/>
    </row>
    <row s="11775" customFormat="1" customHeight="1" ht="18.75" hidden="1">
      <c r="A303" s="1918" t="s">
        <v>338</v>
      </c>
      <c r="B303" s="1918" t="s">
        <v>339</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384</v>
      </c>
      <c r="M303" s="471"/>
      <c r="N303" s="464"/>
      <c r="O303" s="1761"/>
      <c r="P303" s="1761"/>
    </row>
    <row s="11775" customFormat="1" customHeight="1" ht="18.75" hidden="1">
      <c r="A304" s="1918"/>
      <c r="B304" s="1918"/>
      <c r="C304" s="499" t="s">
        <v>1169</v>
      </c>
      <c r="D304" s="2492"/>
      <c r="E304" s="2242"/>
      <c r="F304" s="2412"/>
      <c r="G304" s="2453"/>
      <c r="H304" s="1637"/>
      <c r="I304" s="781" t="s">
        <v>1168</v>
      </c>
      <c r="J304" s="701"/>
      <c r="K304" s="1637"/>
      <c r="L304" s="344"/>
      <c r="M304" s="471"/>
      <c r="N304" s="464"/>
      <c r="O304" s="1761"/>
      <c r="P304" s="1761"/>
    </row>
    <row s="11775" customFormat="1" customHeight="1" ht="0.75" hidden="1">
      <c r="A305" s="1918"/>
      <c r="B305" s="1918"/>
      <c r="C305" s="499" t="s">
        <v>1176</v>
      </c>
      <c r="D305" s="2492"/>
      <c r="E305" s="2242"/>
      <c r="F305" s="2412"/>
      <c r="G305" s="530"/>
      <c r="H305" s="1637"/>
      <c r="I305" s="781"/>
      <c r="J305" s="701"/>
      <c r="K305" s="1637"/>
      <c r="L305" s="344"/>
      <c r="M305" s="471"/>
      <c r="N305" s="464"/>
      <c r="O305" s="1761"/>
      <c r="P305" s="1761"/>
    </row>
    <row s="11775" customFormat="1" customHeight="1" ht="18.75" hidden="1">
      <c r="A306" s="1918" t="s">
        <v>343</v>
      </c>
      <c r="B306" s="1918" t="s">
        <v>344</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384</v>
      </c>
      <c r="M306" s="471"/>
      <c r="N306" s="464"/>
      <c r="O306" s="1761"/>
      <c r="P306" s="1761"/>
    </row>
    <row s="11775" customFormat="1" customHeight="1" ht="18.75" hidden="1">
      <c r="A307" s="1918"/>
      <c r="B307" s="1918"/>
      <c r="C307" s="499" t="s">
        <v>1169</v>
      </c>
      <c r="D307" s="2492"/>
      <c r="E307" s="2242"/>
      <c r="F307" s="2412"/>
      <c r="G307" s="2453"/>
      <c r="H307" s="1637"/>
      <c r="I307" s="781" t="s">
        <v>1168</v>
      </c>
      <c r="J307" s="701"/>
      <c r="K307" s="1637"/>
      <c r="L307" s="344"/>
      <c r="M307" s="471"/>
      <c r="N307" s="464"/>
      <c r="O307" s="1761"/>
      <c r="P307" s="1761"/>
    </row>
    <row s="11775" customFormat="1" customHeight="1" ht="0.75" hidden="1">
      <c r="A308" s="1918"/>
      <c r="B308" s="1918"/>
      <c r="C308" s="499" t="s">
        <v>1176</v>
      </c>
      <c r="D308" s="2492"/>
      <c r="E308" s="2242"/>
      <c r="F308" s="2412"/>
      <c r="G308" s="530"/>
      <c r="H308" s="1637"/>
      <c r="I308" s="781"/>
      <c r="J308" s="701"/>
      <c r="K308" s="1637"/>
      <c r="L308" s="344"/>
      <c r="M308" s="471"/>
      <c r="N308" s="464"/>
      <c r="O308" s="1761"/>
      <c r="P308" s="1761"/>
    </row>
    <row s="11775" customFormat="1" customHeight="1" ht="18.75" hidden="1">
      <c r="A309" s="1918" t="s">
        <v>348</v>
      </c>
      <c r="B309" s="1918" t="s">
        <v>349</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384</v>
      </c>
      <c r="M309" s="471"/>
      <c r="N309" s="464"/>
      <c r="O309" s="1761"/>
      <c r="P309" s="1761"/>
    </row>
    <row s="11775" customFormat="1" customHeight="1" ht="18.75" hidden="1">
      <c r="A310" s="1918"/>
      <c r="B310" s="1918"/>
      <c r="C310" s="499" t="s">
        <v>1169</v>
      </c>
      <c r="D310" s="2492"/>
      <c r="E310" s="2242"/>
      <c r="F310" s="2412"/>
      <c r="G310" s="2453"/>
      <c r="H310" s="1637"/>
      <c r="I310" s="781" t="s">
        <v>1168</v>
      </c>
      <c r="J310" s="701"/>
      <c r="K310" s="1637"/>
      <c r="L310" s="344"/>
      <c r="M310" s="471"/>
      <c r="N310" s="464"/>
      <c r="O310" s="1761"/>
      <c r="P310" s="1761"/>
    </row>
    <row s="11775" customFormat="1" customHeight="1" ht="0.75" hidden="1">
      <c r="A311" s="1918"/>
      <c r="B311" s="1918"/>
      <c r="C311" s="499" t="s">
        <v>1176</v>
      </c>
      <c r="D311" s="2492"/>
      <c r="E311" s="2242"/>
      <c r="F311" s="2412"/>
      <c r="G311" s="530"/>
      <c r="H311" s="1637"/>
      <c r="I311" s="781"/>
      <c r="J311" s="701"/>
      <c r="K311" s="1637"/>
      <c r="L311" s="344"/>
      <c r="M311" s="471"/>
      <c r="N311" s="464"/>
      <c r="O311" s="1761"/>
      <c r="P311" s="1761"/>
    </row>
    <row s="11775" customFormat="1" customHeight="1" ht="18.75" hidden="1">
      <c r="A312" s="1918" t="s">
        <v>353</v>
      </c>
      <c r="B312" s="1918" t="s">
        <v>354</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384</v>
      </c>
      <c r="M312" s="471"/>
      <c r="N312" s="464"/>
      <c r="O312" s="1761"/>
      <c r="P312" s="1761"/>
    </row>
    <row s="11775" customFormat="1" customHeight="1" ht="18.75" hidden="1">
      <c r="A313" s="1918"/>
      <c r="B313" s="1918"/>
      <c r="C313" s="499" t="s">
        <v>1169</v>
      </c>
      <c r="D313" s="2492"/>
      <c r="E313" s="2242"/>
      <c r="F313" s="2412"/>
      <c r="G313" s="2453"/>
      <c r="H313" s="1637"/>
      <c r="I313" s="781" t="s">
        <v>1168</v>
      </c>
      <c r="J313" s="701"/>
      <c r="K313" s="1637"/>
      <c r="L313" s="344"/>
      <c r="M313" s="471"/>
      <c r="N313" s="464"/>
      <c r="O313" s="1761"/>
      <c r="P313" s="1761"/>
    </row>
    <row s="11775" customFormat="1" customHeight="1" ht="0.75">
      <c r="A314" s="1918"/>
      <c r="B314" s="1918"/>
      <c r="C314" s="499" t="s">
        <v>1176</v>
      </c>
      <c r="D314" s="2492"/>
      <c r="E314" s="2242"/>
      <c r="F314" s="2412"/>
      <c r="G314" s="530"/>
      <c r="H314" s="1637"/>
      <c r="I314" s="781"/>
      <c r="J314" s="701"/>
      <c r="K314" s="1637"/>
      <c r="L314" s="344"/>
      <c r="M314" s="471"/>
      <c r="N314" s="464"/>
      <c r="O314" s="1761"/>
      <c r="P314" s="1761"/>
    </row>
    <row s="12924"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47863-E882-B7DD-FC28-C88623FBC0F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980" width="9.140625" hidden="1" customWidth="1"/>
    <col min="2" max="2" style="12903" width="9.140625" hidden="1" customWidth="1"/>
    <col min="3" max="3" style="11732" width="3.7109375" customWidth="1"/>
    <col min="4" max="4" style="12965" width="6.28125" customWidth="1"/>
    <col min="5" max="5" style="12965" width="53.8515625" customWidth="1"/>
    <col min="6" max="7" style="12965" width="35.7109375" customWidth="1"/>
    <col min="8" max="8" style="12965" width="89.57421875" customWidth="1"/>
    <col min="9" max="9" style="12965" width="10.57421875"/>
    <col min="10" max="11" style="12966" width="10.57421875"/>
    <col min="12" max="17" style="12965" width="10.57421875"/>
  </cols>
  <sheetData>
    <row customHeight="1" ht="14.25" hidden="1">
      <c r="N1" s="385"/>
      <c r="O1" s="385"/>
      <c r="Q1" s="385"/>
    </row>
    <row s="11775" customFormat="1" customHeight="1" ht="18.75" hidden="1">
      <c r="A2" s="232"/>
      <c r="B2" s="1292"/>
      <c r="C2" s="1867" t="s">
        <v>101</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84"/>
      <c r="F5" s="2484"/>
      <c r="G5" s="2485"/>
      <c r="H5" s="396"/>
    </row>
    <row s="11775" customFormat="1" customHeight="1" ht="17.25">
      <c r="A6" s="1806"/>
      <c r="B6" s="1292"/>
      <c r="C6" s="506"/>
      <c r="D6" s="2486" t="str">
        <f>IF(org=0,"Не определено",org)</f>
        <v>АО "ДГК"</v>
      </c>
      <c r="E6" s="2487"/>
      <c r="F6" s="2487"/>
      <c r="G6" s="2488"/>
      <c r="H6" s="396"/>
      <c r="J6" s="1761"/>
      <c r="K6" s="1761"/>
    </row>
    <row customHeight="1" ht="14.25">
      <c r="C7" s="506"/>
      <c r="D7" s="493"/>
      <c r="E7" s="519"/>
      <c r="F7" s="519"/>
      <c r="G7" s="882"/>
      <c r="H7" s="323"/>
    </row>
    <row customHeight="1" ht="14.25">
      <c r="C8" s="506"/>
      <c r="D8" s="2248" t="s">
        <v>378</v>
      </c>
      <c r="E8" s="2248"/>
      <c r="F8" s="2248"/>
      <c r="G8" s="2248"/>
      <c r="H8" s="2489" t="s">
        <v>379</v>
      </c>
    </row>
    <row customHeight="1" ht="14.25">
      <c r="C9" s="506"/>
      <c r="D9" s="516" t="s">
        <v>85</v>
      </c>
      <c r="E9" s="238" t="s">
        <v>380</v>
      </c>
      <c r="F9" s="238" t="s">
        <v>381</v>
      </c>
      <c r="G9" s="238" t="s">
        <v>470</v>
      </c>
      <c r="H9" s="2489"/>
    </row>
    <row customHeight="1" ht="33.75">
      <c r="A10" s="473"/>
      <c r="C10" s="506"/>
      <c r="D10" s="277" t="s">
        <v>165</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87"/>
      <c r="G10" s="343"/>
      <c r="H10" s="2207" t="s">
        <v>1177</v>
      </c>
    </row>
    <row customHeight="1" ht="33.75">
      <c r="A11" s="473"/>
      <c r="C11" s="506"/>
      <c r="D11" s="277" t="s">
        <v>100</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87"/>
      <c r="G11" s="343"/>
      <c r="H11" s="2208"/>
    </row>
    <row customHeight="1" ht="14.25">
      <c r="A12" s="232"/>
      <c r="C12" s="517"/>
      <c r="D12" s="277" t="s">
        <v>87</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80"/>
      <c r="K12" s="504"/>
    </row>
    <row customHeight="1" ht="14.25">
      <c r="A13" s="232"/>
      <c r="C13" s="517"/>
      <c r="D13" s="277" t="s">
        <v>88</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1145</v>
      </c>
      <c r="F14" s="479"/>
      <c r="G14" s="331"/>
      <c r="H14" s="2209"/>
    </row>
    <row s="11775"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761F6-B538-9FC2-D614-459153C5C5D2}" mc:Ignorable="x14ac xr xr2 xr3">
  <sheetPr>
    <tabColor theme="2" tint="-0.1"/>
  </sheetPr>
  <dimension ref="A1:AU29"/>
  <sheetViews>
    <sheetView topLeftCell="AI8" showGridLines="0" zoomScale="90" workbookViewId="0">
      <selection activeCell="AI8" sqref="AI8"/>
    </sheetView>
  </sheetViews>
  <sheetFormatPr defaultColWidth="10.57421875" customHeight="1" defaultRowHeight="15"/>
  <cols>
    <col min="1" max="1" style="11503" width="9.140625" hidden="1" customWidth="1"/>
    <col min="2" max="2" style="11506" width="9.140625" hidden="1" customWidth="1"/>
    <col min="3" max="3" style="12636" width="4.7109375" customWidth="1"/>
    <col min="4" max="4" style="11506" width="6.28125" customWidth="1"/>
    <col min="5" max="5" style="11506" width="47.8515625" customWidth="1"/>
    <col min="6" max="6" style="11506" width="9.57421875" customWidth="1"/>
    <col min="7" max="7" style="11055" width="25.7109375" hidden="1" customWidth="1"/>
    <col min="8" max="8" style="11055" width="34.00390625" hidden="1" customWidth="1"/>
    <col min="9" max="9" style="11506" width="25.7109375" customWidth="1"/>
    <col min="10" max="10" style="11506" width="34.00390625" customWidth="1"/>
    <col min="11" max="11" style="12241" width="25.7109375" customWidth="1"/>
    <col min="12" max="12" style="12241" width="34.00390625" customWidth="1"/>
    <col min="13" max="13" style="12241" width="25.7109375" customWidth="1"/>
    <col min="14" max="14" style="12241" width="34.00390625" customWidth="1"/>
    <col min="15" max="15" style="12241" width="25.7109375" customWidth="1"/>
    <col min="16" max="16" style="12241" width="34.00390625" customWidth="1"/>
    <col min="17" max="17" style="12241" width="25.7109375" customWidth="1"/>
    <col min="18" max="18" style="12241" width="34.00390625" customWidth="1"/>
    <col min="19" max="19" style="12241" width="25.7109375" customWidth="1"/>
    <col min="20" max="20" style="12241" width="34.00390625" customWidth="1"/>
    <col min="21" max="21" style="12241" width="25.7109375" customWidth="1"/>
    <col min="22" max="22" style="12241" width="34.00390625" customWidth="1"/>
    <col min="23" max="23" style="12241" width="25.7109375" customWidth="1"/>
    <col min="24" max="24" style="12241" width="34.00390625" customWidth="1"/>
    <col min="25" max="25" style="12241" width="25.7109375" customWidth="1"/>
    <col min="26" max="26" style="12241" width="34.00390625" customWidth="1"/>
    <col min="27" max="27" style="12241" width="25.7109375" customWidth="1"/>
    <col min="28" max="28" style="12241" width="34.00390625" customWidth="1"/>
    <col min="29" max="29" style="12241" width="25.7109375" customWidth="1"/>
    <col min="30" max="30" style="12241" width="34.00390625" customWidth="1"/>
    <col min="31" max="31" style="12241" width="25.7109375" customWidth="1"/>
    <col min="32" max="32" style="12241" width="34.00390625" customWidth="1"/>
    <col min="33" max="33" style="12241" width="25.7109375" customWidth="1"/>
    <col min="34" max="34" style="12241" width="34.00390625" customWidth="1"/>
    <col min="35" max="35" style="12241" width="25.7109375" customWidth="1"/>
    <col min="36" max="36" style="12241" width="34.00390625" customWidth="1"/>
    <col min="37" max="37" style="11056" width="50.8515625" customWidth="1"/>
    <col min="38" max="46" style="11506" width="10.57421875"/>
    <col min="47" max="47" style="12637" width="10.57421875"/>
  </cols>
  <sheetData>
    <row s="11056" customFormat="1" customHeight="1" ht="15" hidden="1">
      <c r="C1" s="802"/>
      <c r="G1" s="547">
        <v>4</v>
      </c>
      <c r="I1" s="547">
        <v>4</v>
      </c>
      <c r="K1" s="6321">
        <v>4</v>
      </c>
      <c r="L1" s="6321"/>
      <c r="M1" s="6321">
        <v>4</v>
      </c>
      <c r="N1" s="6321"/>
      <c r="O1" s="6321">
        <v>4</v>
      </c>
      <c r="P1" s="6321"/>
      <c r="Q1" s="6321">
        <v>4</v>
      </c>
      <c r="R1" s="6321"/>
      <c r="S1" s="6321">
        <v>4</v>
      </c>
      <c r="T1" s="6321"/>
      <c r="U1" s="6321">
        <v>4</v>
      </c>
      <c r="V1" s="6321"/>
      <c r="W1" s="6321">
        <v>4</v>
      </c>
      <c r="X1" s="6321"/>
      <c r="Y1" s="6321">
        <v>4</v>
      </c>
      <c r="Z1" s="6321"/>
      <c r="AA1" s="6321">
        <v>4</v>
      </c>
      <c r="AB1" s="6321"/>
      <c r="AC1" s="6321">
        <v>4</v>
      </c>
      <c r="AD1" s="6321"/>
      <c r="AE1" s="6321">
        <v>4</v>
      </c>
      <c r="AF1" s="6321"/>
      <c r="AG1" s="6321">
        <v>4</v>
      </c>
      <c r="AH1" s="6321"/>
      <c r="AI1" s="6321">
        <v>4</v>
      </c>
      <c r="AJ1" s="6321"/>
      <c r="AU1" s="550"/>
    </row>
    <row s="12259" customFormat="1" customHeight="1" ht="15" hidden="1">
      <c r="A2" s="492"/>
      <c r="C2" s="306"/>
      <c r="D2" s="476"/>
      <c r="E2" s="803"/>
      <c r="F2" s="652"/>
      <c r="G2" s="746"/>
      <c r="H2" s="746"/>
      <c r="I2" s="746"/>
      <c r="J2" s="746"/>
      <c r="K2" s="7263"/>
      <c r="L2" s="7263"/>
      <c r="M2" s="7263"/>
      <c r="N2" s="7263"/>
      <c r="O2" s="7263"/>
      <c r="P2" s="7263"/>
      <c r="Q2" s="7263"/>
      <c r="R2" s="7263"/>
      <c r="S2" s="7263"/>
      <c r="T2" s="7263"/>
      <c r="U2" s="7263"/>
      <c r="V2" s="7263"/>
      <c r="W2" s="7263"/>
      <c r="X2" s="7263"/>
      <c r="Y2" s="7263"/>
      <c r="Z2" s="7263"/>
      <c r="AA2" s="7263"/>
      <c r="AB2" s="7263"/>
      <c r="AC2" s="7263"/>
      <c r="AD2" s="7263"/>
      <c r="AE2" s="7263"/>
      <c r="AF2" s="7263"/>
      <c r="AG2" s="7263"/>
      <c r="AH2" s="7263"/>
      <c r="AI2" s="7263"/>
      <c r="AJ2" s="7263"/>
      <c r="AU2" s="804"/>
    </row>
    <row s="11056" customFormat="1" customHeight="1" ht="15" hidden="1">
      <c r="C3" s="802"/>
      <c r="K3" s="6321"/>
      <c r="L3" s="6321"/>
      <c r="M3" s="6321"/>
      <c r="N3" s="6321"/>
      <c r="O3" s="6321"/>
      <c r="P3" s="6321"/>
      <c r="Q3" s="6321"/>
      <c r="R3" s="6321"/>
      <c r="S3" s="6321"/>
      <c r="T3" s="6321"/>
      <c r="U3" s="6321"/>
      <c r="V3" s="6321"/>
      <c r="W3" s="6321"/>
      <c r="X3" s="6321"/>
      <c r="Y3" s="6321"/>
      <c r="Z3" s="6321"/>
      <c r="AA3" s="6321"/>
      <c r="AB3" s="6321"/>
      <c r="AC3" s="6321"/>
      <c r="AD3" s="6321"/>
      <c r="AE3" s="6321"/>
      <c r="AF3" s="6321"/>
      <c r="AG3" s="6321"/>
      <c r="AH3" s="6321"/>
      <c r="AI3" s="6321"/>
      <c r="AJ3" s="6321"/>
      <c r="AU3" s="550"/>
    </row>
    <row customHeight="1" ht="15">
      <c r="C4" s="306"/>
      <c r="D4" s="639"/>
      <c r="E4" s="639"/>
      <c r="F4" s="639"/>
      <c r="G4" s="639"/>
      <c r="H4" s="639"/>
      <c r="I4" s="639"/>
      <c r="J4" s="639"/>
      <c r="K4" s="6300"/>
      <c r="L4" s="6300"/>
      <c r="M4" s="6300"/>
      <c r="N4" s="6300"/>
      <c r="O4" s="6300"/>
      <c r="P4" s="6300"/>
      <c r="Q4" s="6300"/>
      <c r="R4" s="6300"/>
      <c r="S4" s="6300"/>
      <c r="T4" s="6300"/>
      <c r="U4" s="6300"/>
      <c r="V4" s="6300"/>
      <c r="W4" s="6300"/>
      <c r="X4" s="6300"/>
      <c r="Y4" s="6300"/>
      <c r="Z4" s="6300"/>
      <c r="AA4" s="6300"/>
      <c r="AB4" s="6300"/>
      <c r="AC4" s="6300"/>
      <c r="AD4" s="6300"/>
      <c r="AE4" s="6300"/>
      <c r="AF4" s="6300"/>
      <c r="AG4" s="6300"/>
      <c r="AH4" s="6300"/>
      <c r="AI4" s="6300"/>
      <c r="AJ4" s="6300"/>
    </row>
    <row customHeight="1" ht="63">
      <c r="C5" s="306"/>
      <c r="D5" s="2276" t="s">
        <v>1178</v>
      </c>
      <c r="E5" s="2276"/>
      <c r="F5" s="2276"/>
      <c r="G5" s="2276"/>
      <c r="H5" s="2276"/>
      <c r="I5" s="2276"/>
      <c r="J5" s="2276"/>
      <c r="K5" s="6333"/>
      <c r="L5" s="6333"/>
      <c r="M5" s="6333"/>
      <c r="N5" s="6333"/>
      <c r="O5" s="6333"/>
      <c r="P5" s="6333"/>
      <c r="Q5" s="6333"/>
      <c r="R5" s="6333"/>
      <c r="S5" s="6333"/>
      <c r="T5" s="6333"/>
      <c r="U5" s="6333"/>
      <c r="V5" s="6333"/>
      <c r="W5" s="6333"/>
      <c r="X5" s="6333"/>
      <c r="Y5" s="6333"/>
      <c r="Z5" s="6333"/>
      <c r="AA5" s="6333"/>
      <c r="AB5" s="6333"/>
      <c r="AC5" s="6333"/>
      <c r="AD5" s="6333"/>
      <c r="AE5" s="6333"/>
      <c r="AF5" s="6333"/>
      <c r="AG5" s="6333"/>
      <c r="AH5" s="6333"/>
      <c r="AI5" s="6333"/>
      <c r="AJ5" s="6333"/>
    </row>
    <row customHeight="1" ht="15">
      <c r="C6" s="306"/>
      <c r="D6" s="2214" t="str">
        <f>IF(org=0,"Не определено",org)</f>
        <v>АО "ДГК"</v>
      </c>
      <c r="E6" s="2214"/>
      <c r="F6" s="2214"/>
      <c r="G6" s="2214"/>
      <c r="H6" s="2214"/>
      <c r="I6" s="2214"/>
      <c r="J6" s="2214"/>
      <c r="K6" s="6335"/>
      <c r="L6" s="6335"/>
      <c r="M6" s="6335"/>
      <c r="N6" s="6335"/>
      <c r="O6" s="6335"/>
      <c r="P6" s="6335"/>
      <c r="Q6" s="6335"/>
      <c r="R6" s="6335"/>
      <c r="S6" s="6335"/>
      <c r="T6" s="6335"/>
      <c r="U6" s="6335"/>
      <c r="V6" s="6335"/>
      <c r="W6" s="6335"/>
      <c r="X6" s="6335"/>
      <c r="Y6" s="6335"/>
      <c r="Z6" s="6335"/>
      <c r="AA6" s="6335"/>
      <c r="AB6" s="6335"/>
      <c r="AC6" s="6335"/>
      <c r="AD6" s="6335"/>
      <c r="AE6" s="6335"/>
      <c r="AF6" s="6335"/>
      <c r="AG6" s="6335"/>
      <c r="AH6" s="6335"/>
      <c r="AI6" s="6335"/>
      <c r="AJ6" s="6335"/>
      <c r="AK6" s="667"/>
    </row>
    <row customHeight="1" ht="15">
      <c r="C7" s="306"/>
      <c r="D7" s="882"/>
      <c r="E7" s="639"/>
      <c r="F7" s="639"/>
      <c r="G7" s="667">
        <v>22</v>
      </c>
      <c r="I7" s="667">
        <v>1</v>
      </c>
      <c r="J7" s="882"/>
      <c r="K7" s="6321" t="s">
        <v>18</v>
      </c>
      <c r="L7" s="6300"/>
      <c r="M7" s="6321" t="s">
        <v>18</v>
      </c>
      <c r="N7" s="6300"/>
      <c r="O7" s="6321" t="s">
        <v>18</v>
      </c>
      <c r="P7" s="6300"/>
      <c r="Q7" s="6321" t="s">
        <v>18</v>
      </c>
      <c r="R7" s="6300"/>
      <c r="S7" s="6321" t="s">
        <v>18</v>
      </c>
      <c r="T7" s="6300"/>
      <c r="U7" s="6321" t="s">
        <v>18</v>
      </c>
      <c r="V7" s="6300"/>
      <c r="W7" s="6321" t="s">
        <v>18</v>
      </c>
      <c r="X7" s="6300"/>
      <c r="Y7" s="6321" t="s">
        <v>18</v>
      </c>
      <c r="Z7" s="6300"/>
      <c r="AA7" s="6321" t="s">
        <v>18</v>
      </c>
      <c r="AB7" s="6300"/>
      <c r="AC7" s="6321" t="s">
        <v>18</v>
      </c>
      <c r="AD7" s="6300"/>
      <c r="AE7" s="6321" t="s">
        <v>18</v>
      </c>
      <c r="AF7" s="6300"/>
      <c r="AG7" s="6321" t="s">
        <v>18</v>
      </c>
      <c r="AH7" s="6300"/>
      <c r="AI7" s="6321" t="s">
        <v>18</v>
      </c>
      <c r="AJ7" s="6300"/>
    </row>
    <row s="11055" customFormat="1" customHeight="1" ht="0.75">
      <c r="A8" s="889"/>
      <c r="C8" s="306"/>
      <c r="D8" s="639"/>
      <c r="E8" s="639"/>
      <c r="F8" s="639"/>
      <c r="G8" s="667"/>
      <c r="H8" s="882"/>
      <c r="I8" s="667" t="s">
        <v>171</v>
      </c>
      <c r="J8" s="882"/>
      <c r="K8" s="6321" t="s">
        <v>176</v>
      </c>
      <c r="L8" s="6651"/>
      <c r="M8" s="6321" t="s">
        <v>178</v>
      </c>
      <c r="N8" s="6651"/>
      <c r="O8" s="6321" t="s">
        <v>180</v>
      </c>
      <c r="P8" s="6651"/>
      <c r="Q8" s="6321" t="s">
        <v>182</v>
      </c>
      <c r="R8" s="6651"/>
      <c r="S8" s="6321" t="s">
        <v>184</v>
      </c>
      <c r="T8" s="6651"/>
      <c r="U8" s="6321" t="s">
        <v>186</v>
      </c>
      <c r="V8" s="6651"/>
      <c r="W8" s="6321" t="s">
        <v>188</v>
      </c>
      <c r="X8" s="6651"/>
      <c r="Y8" s="6321" t="s">
        <v>190</v>
      </c>
      <c r="Z8" s="6651"/>
      <c r="AA8" s="6321" t="s">
        <v>192</v>
      </c>
      <c r="AB8" s="6651"/>
      <c r="AC8" s="6321" t="s">
        <v>194</v>
      </c>
      <c r="AD8" s="6651"/>
      <c r="AE8" s="6321" t="s">
        <v>196</v>
      </c>
      <c r="AF8" s="6651"/>
      <c r="AG8" s="6321" t="s">
        <v>198</v>
      </c>
      <c r="AH8" s="6651"/>
      <c r="AI8" s="6321" t="s">
        <v>200</v>
      </c>
      <c r="AJ8" s="6651"/>
      <c r="AK8" s="547"/>
      <c r="AU8" s="805"/>
    </row>
    <row customHeight="1" ht="15">
      <c r="C9" s="306"/>
      <c r="D9" s="841"/>
      <c r="E9" s="2396" t="s">
        <v>161</v>
      </c>
      <c r="F9" s="2397"/>
      <c r="G9" s="2421" t="str">
        <f>IF(G8="","",INDEX(DIFFERENTIATION_UNMERGE_VD,MATCH(G8,DIFFERENTIATION_ID_DIFF,0)))</f>
        <v/>
      </c>
      <c r="H9" s="2422"/>
      <c r="I9" s="2421"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422"/>
      <c r="K9" s="6767"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6768"/>
      <c r="M9" s="6767" t="str">
        <f>IF(M8="","",INDEX(DIFFERENTIATION_UNMERGE_VD,MATCH(M8,DIFFERENTIATION_ID_DIFF,0)))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6768"/>
      <c r="O9" s="6767" t="str">
        <f>IF(O8="","",INDEX(DIFFERENTIATION_UNMERGE_VD,MATCH(O8,DIFFERENTIATION_ID_DIFF,0)))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6768"/>
      <c r="Q9" s="6767" t="str">
        <f>IF(Q8="","",INDEX(DIFFERENTIATION_UNMERGE_VD,MATCH(Q8,DIFFERENTIATION_ID_DIFF,0)))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6768"/>
      <c r="S9" s="6767" t="str">
        <f>IF(S8="","",INDEX(DIFFERENTIATION_UNMERGE_VD,MATCH(S8,DIFFERENTIATION_ID_DIFF,0)))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6768"/>
      <c r="U9" s="6767" t="str">
        <f>IF(U8="","",INDEX(DIFFERENTIATION_UNMERGE_VD,MATCH(U8,DIFFERENTIATION_ID_DIFF,0)))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6768"/>
      <c r="W9" s="6767" t="str">
        <f>IF(W8="","",INDEX(DIFFERENTIATION_UNMERGE_VD,MATCH(W8,DIFFERENTIATION_ID_DIFF,0)))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9" s="6768"/>
      <c r="Y9" s="6767" t="str">
        <f>IF(Y8="","",INDEX(DIFFERENTIATION_UNMERGE_VD,MATCH(Y8,DIFFERENTIATION_ID_DIFF,0)))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9" s="6768"/>
      <c r="AA9" s="6767" t="str">
        <f>IF(AA8="","",INDEX(DIFFERENTIATION_UNMERGE_VD,MATCH(AA8,DIFFERENTIATION_ID_DIFF,0)))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9" s="6768"/>
      <c r="AC9" s="6767" t="str">
        <f>IF(AC8="","",INDEX(DIFFERENTIATION_UNMERGE_VD,MATCH(AC8,DIFFERENTIATION_ID_DIFF,0)))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9" s="6768"/>
      <c r="AE9" s="6767" t="str">
        <f>IF(AE8="","",INDEX(DIFFERENTIATION_UNMERGE_VD,MATCH(AE8,DIFFERENTIATION_ID_DIFF,0)))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9" s="6768"/>
      <c r="AG9" s="6767" t="str">
        <f>IF(AG8="","",INDEX(DIFFERENTIATION_UNMERGE_VD,MATCH(AG8,DIFFERENTIATION_ID_DIFF,0)))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9" s="6768"/>
      <c r="AI9" s="6767" t="str">
        <f>IF(AI8="","",INDEX(DIFFERENTIATION_UNMERGE_VD,MATCH(AI8,DIFFERENTIATION_ID_DIFF,0)))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9" s="6768"/>
      <c r="AK9" s="2213" t="s">
        <v>379</v>
      </c>
    </row>
    <row s="11055" customFormat="1" customHeight="1" ht="15">
      <c r="A10" s="889"/>
      <c r="C10" s="306"/>
      <c r="D10" s="841"/>
      <c r="E10" s="2396" t="s">
        <v>647</v>
      </c>
      <c r="F10" s="2397"/>
      <c r="G10" s="2421" t="str">
        <f>IF(G8="","",INDEX(DIFFERENTIATION_UNMERGE_AREA,MATCH(G8,DIFFERENTIATION_ID_DIFF,0)))</f>
        <v/>
      </c>
      <c r="H10" s="2422"/>
      <c r="I10" s="2421" t="str">
        <f>IF(I8="","",INDEX(DIFFERENTIATION_UNMERGE_AREA,MATCH(I8,DIFFERENTIATION_ID_DIFF,0)))</f>
        <v>Территория 1</v>
      </c>
      <c r="J10" s="2422"/>
      <c r="K10" s="6767" t="str">
        <f>IF(K8="","",INDEX(DIFFERENTIATION_UNMERGE_AREA,MATCH(K8,DIFFERENTIATION_ID_DIFF,0)))</f>
        <v>Территория 2</v>
      </c>
      <c r="L10" s="6768"/>
      <c r="M10" s="6767" t="str">
        <f>IF(M8="","",INDEX(DIFFERENTIATION_UNMERGE_AREA,MATCH(M8,DIFFERENTIATION_ID_DIFF,0)))</f>
        <v>Территория 3</v>
      </c>
      <c r="N10" s="6768"/>
      <c r="O10" s="6767" t="str">
        <f>IF(O8="","",INDEX(DIFFERENTIATION_UNMERGE_AREA,MATCH(O8,DIFFERENTIATION_ID_DIFF,0)))</f>
        <v>Территория 3</v>
      </c>
      <c r="P10" s="6768"/>
      <c r="Q10" s="6767" t="str">
        <f>IF(Q8="","",INDEX(DIFFERENTIATION_UNMERGE_AREA,MATCH(Q8,DIFFERENTIATION_ID_DIFF,0)))</f>
        <v>Территория 3</v>
      </c>
      <c r="R10" s="6768"/>
      <c r="S10" s="6767" t="str">
        <f>IF(S8="","",INDEX(DIFFERENTIATION_UNMERGE_AREA,MATCH(S8,DIFFERENTIATION_ID_DIFF,0)))</f>
        <v>Территория 3</v>
      </c>
      <c r="T10" s="6768"/>
      <c r="U10" s="6767" t="str">
        <f>IF(U8="","",INDEX(DIFFERENTIATION_UNMERGE_AREA,MATCH(U8,DIFFERENTIATION_ID_DIFF,0)))</f>
        <v>Территория 4</v>
      </c>
      <c r="V10" s="6768"/>
      <c r="W10" s="6767" t="str">
        <f>IF(W8="","",INDEX(DIFFERENTIATION_UNMERGE_AREA,MATCH(W8,DIFFERENTIATION_ID_DIFF,0)))</f>
        <v>Территория 4</v>
      </c>
      <c r="X10" s="6768"/>
      <c r="Y10" s="6767" t="str">
        <f>IF(Y8="","",INDEX(DIFFERENTIATION_UNMERGE_AREA,MATCH(Y8,DIFFERENTIATION_ID_DIFF,0)))</f>
        <v>Территория 5</v>
      </c>
      <c r="Z10" s="6768"/>
      <c r="AA10" s="6767" t="str">
        <f>IF(AA8="","",INDEX(DIFFERENTIATION_UNMERGE_AREA,MATCH(AA8,DIFFERENTIATION_ID_DIFF,0)))</f>
        <v>Территория 6</v>
      </c>
      <c r="AB10" s="6768"/>
      <c r="AC10" s="6767" t="str">
        <f>IF(AC8="","",INDEX(DIFFERENTIATION_UNMERGE_AREA,MATCH(AC8,DIFFERENTIATION_ID_DIFF,0)))</f>
        <v>Территория 7</v>
      </c>
      <c r="AD10" s="6768"/>
      <c r="AE10" s="6767" t="str">
        <f>IF(AE8="","",INDEX(DIFFERENTIATION_UNMERGE_AREA,MATCH(AE8,DIFFERENTIATION_ID_DIFF,0)))</f>
        <v>Территория 7</v>
      </c>
      <c r="AF10" s="6768"/>
      <c r="AG10" s="6767" t="str">
        <f>IF(AG8="","",INDEX(DIFFERENTIATION_UNMERGE_AREA,MATCH(AG8,DIFFERENTIATION_ID_DIFF,0)))</f>
        <v>Территория 8</v>
      </c>
      <c r="AH10" s="6768"/>
      <c r="AI10" s="6767" t="str">
        <f>IF(AI8="","",INDEX(DIFFERENTIATION_UNMERGE_AREA,MATCH(AI8,DIFFERENTIATION_ID_DIFF,0)))</f>
        <v>Территория 9</v>
      </c>
      <c r="AJ10" s="6768"/>
      <c r="AK10" s="2237"/>
      <c r="AU10" s="805"/>
    </row>
    <row s="11055" customFormat="1" customHeight="1" ht="15">
      <c r="A11" s="889"/>
      <c r="C11" s="306"/>
      <c r="D11" s="841"/>
      <c r="E11" s="2396" t="s">
        <v>648</v>
      </c>
      <c r="F11" s="2397"/>
      <c r="G11" s="2421" t="str">
        <f>IF(G8="","",INDEX(DIFFERENTIATION_UNMERGE_SYSTEM,MATCH(G8,DIFFERENTIATION_ID_DIFF,0)))</f>
        <v/>
      </c>
      <c r="H11" s="2422"/>
      <c r="I11" s="2421" t="str">
        <f>IF(I8="","",INDEX(DIFFERENTIATION_UNMERGE_SYSTEM,MATCH(I8,DIFFERENTIATION_ID_DIFF,0)))</f>
        <v>Амурская ТЭЦ-1 (г. Амурск)</v>
      </c>
      <c r="J11" s="2422"/>
      <c r="K11" s="6767" t="str">
        <f>IF(K8="","",INDEX(DIFFERENTIATION_UNMERGE_SYSTEM,MATCH(K8,DIFFERENTIATION_ID_DIFF,0)))</f>
        <v>Николаевская ТЭЦ (г. Николаевск)</v>
      </c>
      <c r="L11" s="6768"/>
      <c r="M11" s="6767" t="str">
        <f>IF(M8="","",INDEX(DIFFERENTIATION_UNMERGE_SYSTEM,MATCH(M8,DIFFERENTIATION_ID_DIFF,0)))</f>
        <v>Комсомольская ТЭЦ-1 (г. Комсомольск)</v>
      </c>
      <c r="N11" s="6768"/>
      <c r="O11" s="6767" t="str">
        <f>IF(O8="","",INDEX(DIFFERENTIATION_UNMERGE_SYSTEM,MATCH(O8,DIFFERENTIATION_ID_DIFF,0)))</f>
        <v>Комсомольская ТЭЦ-2 (г. Комсомольск)</v>
      </c>
      <c r="P11" s="6768"/>
      <c r="Q11" s="6767" t="str">
        <f>IF(Q8="","",INDEX(DIFFERENTIATION_UNMERGE_SYSTEM,MATCH(Q8,DIFFERENTIATION_ID_DIFF,0)))</f>
        <v>Комсомольская ТЭЦ-3 (г. Комсомольск)</v>
      </c>
      <c r="R11" s="6768"/>
      <c r="S11" s="6767" t="str">
        <f>IF(S8="","",INDEX(DIFFERENTIATION_UNMERGE_SYSTEM,MATCH(S8,DIFFERENTIATION_ID_DIFF,0)))</f>
        <v>ВК "Дземги" (г. Комсомольск)</v>
      </c>
      <c r="T11" s="6768"/>
      <c r="U11" s="6767" t="str">
        <f>IF(U8="","",INDEX(DIFFERENTIATION_UNMERGE_SYSTEM,MATCH(U8,DIFFERENTIATION_ID_DIFF,0)))</f>
        <v>ТЭЦ в г. Советская Гавань (г. Советская Гавань)</v>
      </c>
      <c r="V11" s="6768"/>
      <c r="W11" s="6767" t="str">
        <f>IF(W8="","",INDEX(DIFFERENTIATION_UNMERGE_SYSTEM,MATCH(W8,DIFFERENTIATION_ID_DIFF,0)))</f>
        <v>Майская котельная </v>
      </c>
      <c r="X11" s="6768"/>
      <c r="Y11" s="6767" t="str">
        <f>IF(Y8="","",INDEX(DIFFERENTIATION_UNMERGE_SYSTEM,MATCH(Y8,DIFFERENTIATION_ID_DIFF,0)))</f>
        <v>Ургальская котельная (п. Чегдомын)</v>
      </c>
      <c r="Z11" s="6768"/>
      <c r="AA11" s="6767" t="str">
        <f>IF(AA8="","",INDEX(DIFFERENTIATION_UNMERGE_SYSTEM,MATCH(AA8,DIFFERENTIATION_ID_DIFF,0)))</f>
        <v>Хабаровская ТЭЦ-1 (г. Хабаровск, с. Ильинское, п. Корфовский, с. Ракитненское)</v>
      </c>
      <c r="AB11" s="6768"/>
      <c r="AC11" s="6767" t="str">
        <f>IF(AC8="","",INDEX(DIFFERENTIATION_UNMERGE_SYSTEM,MATCH(AC8,DIFFERENTIATION_ID_DIFF,0)))</f>
        <v>Хабаровская ТЭЦ-2 (г. Хабаровск)</v>
      </c>
      <c r="AD11" s="6768"/>
      <c r="AE11" s="6767" t="str">
        <f>IF(AE8="","",INDEX(DIFFERENTIATION_UNMERGE_SYSTEM,MATCH(AE8,DIFFERENTIATION_ID_DIFF,0)))</f>
        <v>Котельная в Волочаевском городке</v>
      </c>
      <c r="AF11" s="6768"/>
      <c r="AG11" s="6767" t="str">
        <f>IF(AG8="","",INDEX(DIFFERENTIATION_UNMERGE_SYSTEM,MATCH(AG8,DIFFERENTIATION_ID_DIFF,0)))</f>
        <v>Хабаровская ТЭЦ-3 (г. Хабаровск, с. Восточное, с. Мирненское, с. Тополевское)</v>
      </c>
      <c r="AH11" s="6768"/>
      <c r="AI11" s="6767" t="str">
        <f>IF(AI8="","",INDEX(DIFFERENTIATION_UNMERGE_SYSTEM,MATCH(AI8,DIFFERENTIATION_ID_DIFF,0)))</f>
        <v>Котельная в с. Некрасовка (с. Дружбинское, с. Некрасовское) </v>
      </c>
      <c r="AJ11" s="6768"/>
      <c r="AK11" s="2237"/>
      <c r="AU11" s="805"/>
    </row>
    <row s="11055" customFormat="1" customHeight="1" ht="15">
      <c r="A12" s="889"/>
      <c r="C12" s="306"/>
      <c r="D12" s="2398" t="s">
        <v>378</v>
      </c>
      <c r="E12" s="2399"/>
      <c r="F12" s="2399"/>
      <c r="G12" s="1017"/>
      <c r="H12" s="1017"/>
      <c r="I12" s="1017"/>
      <c r="J12" s="1017"/>
      <c r="K12" s="6348"/>
      <c r="L12" s="6348"/>
      <c r="M12" s="6348"/>
      <c r="N12" s="6348"/>
      <c r="O12" s="6348"/>
      <c r="P12" s="6348"/>
      <c r="Q12" s="6348"/>
      <c r="R12" s="6348"/>
      <c r="S12" s="6348"/>
      <c r="T12" s="6348"/>
      <c r="U12" s="6348"/>
      <c r="V12" s="6348"/>
      <c r="W12" s="6348"/>
      <c r="X12" s="6348"/>
      <c r="Y12" s="6348"/>
      <c r="Z12" s="6348"/>
      <c r="AA12" s="6348"/>
      <c r="AB12" s="6348"/>
      <c r="AC12" s="6348"/>
      <c r="AD12" s="6348"/>
      <c r="AE12" s="6348"/>
      <c r="AF12" s="6348"/>
      <c r="AG12" s="6348"/>
      <c r="AH12" s="6348"/>
      <c r="AI12" s="6348"/>
      <c r="AJ12" s="6348"/>
      <c r="AK12" s="2237"/>
      <c r="AU12" s="805"/>
    </row>
    <row customHeight="1" ht="33.75">
      <c r="C13" s="306"/>
      <c r="D13" s="935" t="s">
        <v>85</v>
      </c>
      <c r="E13" s="937" t="s">
        <v>380</v>
      </c>
      <c r="F13" s="937" t="s">
        <v>649</v>
      </c>
      <c r="G13" s="938" t="s">
        <v>381</v>
      </c>
      <c r="H13" s="937" t="s">
        <v>470</v>
      </c>
      <c r="I13" s="938" t="s">
        <v>381</v>
      </c>
      <c r="J13" s="937" t="s">
        <v>470</v>
      </c>
      <c r="K13" s="6774" t="s">
        <v>381</v>
      </c>
      <c r="L13" s="6306" t="s">
        <v>470</v>
      </c>
      <c r="M13" s="6774" t="s">
        <v>381</v>
      </c>
      <c r="N13" s="6306" t="s">
        <v>470</v>
      </c>
      <c r="O13" s="6774" t="s">
        <v>381</v>
      </c>
      <c r="P13" s="6306" t="s">
        <v>470</v>
      </c>
      <c r="Q13" s="6774" t="s">
        <v>381</v>
      </c>
      <c r="R13" s="6306" t="s">
        <v>470</v>
      </c>
      <c r="S13" s="6774" t="s">
        <v>381</v>
      </c>
      <c r="T13" s="6306" t="s">
        <v>470</v>
      </c>
      <c r="U13" s="6774" t="s">
        <v>381</v>
      </c>
      <c r="V13" s="6306" t="s">
        <v>470</v>
      </c>
      <c r="W13" s="6774" t="s">
        <v>381</v>
      </c>
      <c r="X13" s="6306" t="s">
        <v>470</v>
      </c>
      <c r="Y13" s="6774" t="s">
        <v>381</v>
      </c>
      <c r="Z13" s="6306" t="s">
        <v>470</v>
      </c>
      <c r="AA13" s="6774" t="s">
        <v>381</v>
      </c>
      <c r="AB13" s="6306" t="s">
        <v>470</v>
      </c>
      <c r="AC13" s="6774" t="s">
        <v>381</v>
      </c>
      <c r="AD13" s="6306" t="s">
        <v>470</v>
      </c>
      <c r="AE13" s="6774" t="s">
        <v>381</v>
      </c>
      <c r="AF13" s="6306" t="s">
        <v>470</v>
      </c>
      <c r="AG13" s="6774" t="s">
        <v>381</v>
      </c>
      <c r="AH13" s="6306" t="s">
        <v>470</v>
      </c>
      <c r="AI13" s="6774" t="s">
        <v>381</v>
      </c>
      <c r="AJ13" s="6306" t="s">
        <v>470</v>
      </c>
      <c r="AK13" s="2271"/>
    </row>
    <row customHeight="1" ht="15" hidden="1">
      <c r="C14" s="306"/>
      <c r="D14" s="723" t="s">
        <v>165</v>
      </c>
      <c r="E14" s="723" t="s">
        <v>100</v>
      </c>
      <c r="F14" s="723" t="s">
        <v>87</v>
      </c>
      <c r="G14" s="789" t="str">
        <f>G1&amp;".1"</f>
        <v>4.1</v>
      </c>
      <c r="H14" s="789"/>
      <c r="I14" s="789" t="str">
        <f>I1&amp;".1"</f>
        <v>4.1</v>
      </c>
      <c r="J14" s="789"/>
      <c r="K14" s="6776" t="str">
        <f>K1&amp;".1"</f>
        <v>4.1</v>
      </c>
      <c r="L14" s="6776"/>
      <c r="M14" s="6776" t="str">
        <f>M1&amp;".1"</f>
        <v>4.1</v>
      </c>
      <c r="N14" s="6776"/>
      <c r="O14" s="6776" t="str">
        <f>O1&amp;".1"</f>
        <v>4.1</v>
      </c>
      <c r="P14" s="6776"/>
      <c r="Q14" s="6776" t="str">
        <f>Q1&amp;".1"</f>
        <v>4.1</v>
      </c>
      <c r="R14" s="6776"/>
      <c r="S14" s="6776" t="str">
        <f>S1&amp;".1"</f>
        <v>4.1</v>
      </c>
      <c r="T14" s="6776"/>
      <c r="U14" s="6776" t="str">
        <f>U1&amp;".1"</f>
        <v>4.1</v>
      </c>
      <c r="V14" s="6776"/>
      <c r="W14" s="6776" t="str">
        <f>W1&amp;".1"</f>
        <v>4.1</v>
      </c>
      <c r="X14" s="6776"/>
      <c r="Y14" s="6776" t="str">
        <f>Y1&amp;".1"</f>
        <v>4.1</v>
      </c>
      <c r="Z14" s="6776"/>
      <c r="AA14" s="6776" t="str">
        <f>AA1&amp;".1"</f>
        <v>4.1</v>
      </c>
      <c r="AB14" s="6776"/>
      <c r="AC14" s="6776" t="str">
        <f>AC1&amp;".1"</f>
        <v>4.1</v>
      </c>
      <c r="AD14" s="6776"/>
      <c r="AE14" s="6776" t="str">
        <f>AE1&amp;".1"</f>
        <v>4.1</v>
      </c>
      <c r="AF14" s="6776"/>
      <c r="AG14" s="6776" t="str">
        <f>AG1&amp;".1"</f>
        <v>4.1</v>
      </c>
      <c r="AH14" s="6776"/>
      <c r="AI14" s="6776" t="str">
        <f>AI1&amp;".1"</f>
        <v>4.1</v>
      </c>
      <c r="AJ14" s="6776"/>
      <c r="AK14" s="419"/>
    </row>
    <row customHeight="1" ht="22.5" hidden="1">
      <c r="A15" s="635"/>
      <c r="C15" s="656"/>
      <c r="D15" s="651">
        <v>1</v>
      </c>
      <c r="E15" s="807" t="s">
        <v>819</v>
      </c>
      <c r="F15" s="651" t="s">
        <v>820</v>
      </c>
      <c r="G15" s="808"/>
      <c r="H15" s="808"/>
      <c r="I15" s="808"/>
      <c r="J15" s="808"/>
      <c r="K15" s="7268"/>
      <c r="L15" s="7268"/>
      <c r="M15" s="7268"/>
      <c r="N15" s="7268"/>
      <c r="O15" s="7268"/>
      <c r="P15" s="7268"/>
      <c r="Q15" s="7268"/>
      <c r="R15" s="7268"/>
      <c r="S15" s="7268"/>
      <c r="T15" s="7268"/>
      <c r="U15" s="7268"/>
      <c r="V15" s="7268"/>
      <c r="W15" s="7268"/>
      <c r="X15" s="7268"/>
      <c r="Y15" s="7268"/>
      <c r="Z15" s="7268"/>
      <c r="AA15" s="7268"/>
      <c r="AB15" s="7268"/>
      <c r="AC15" s="7268"/>
      <c r="AD15" s="7268"/>
      <c r="AE15" s="7268"/>
      <c r="AF15" s="7268"/>
      <c r="AG15" s="7268"/>
      <c r="AH15" s="7268"/>
      <c r="AI15" s="7268"/>
      <c r="AJ15" s="7268"/>
      <c r="AK15" s="419" t="s">
        <v>821</v>
      </c>
    </row>
    <row customHeight="1" ht="22.5" hidden="1">
      <c r="A16" s="635"/>
      <c r="C16" s="656"/>
      <c r="D16" s="651">
        <v>2</v>
      </c>
      <c r="E16" s="409" t="s">
        <v>822</v>
      </c>
      <c r="F16" s="651" t="s">
        <v>823</v>
      </c>
      <c r="G16" s="808"/>
      <c r="H16" s="808"/>
      <c r="I16" s="808"/>
      <c r="J16" s="808"/>
      <c r="K16" s="7268"/>
      <c r="L16" s="7268"/>
      <c r="M16" s="7268"/>
      <c r="N16" s="7268"/>
      <c r="O16" s="7268"/>
      <c r="P16" s="7268"/>
      <c r="Q16" s="7268"/>
      <c r="R16" s="7268"/>
      <c r="S16" s="7268"/>
      <c r="T16" s="7268"/>
      <c r="U16" s="7268"/>
      <c r="V16" s="7268"/>
      <c r="W16" s="7268"/>
      <c r="X16" s="7268"/>
      <c r="Y16" s="7268"/>
      <c r="Z16" s="7268"/>
      <c r="AA16" s="7268"/>
      <c r="AB16" s="7268"/>
      <c r="AC16" s="7268"/>
      <c r="AD16" s="7268"/>
      <c r="AE16" s="7268"/>
      <c r="AF16" s="7268"/>
      <c r="AG16" s="7268"/>
      <c r="AH16" s="7268"/>
      <c r="AI16" s="7268"/>
      <c r="AJ16" s="7268"/>
      <c r="AK16" s="419" t="s">
        <v>824</v>
      </c>
    </row>
    <row customHeight="1" ht="123.75" hidden="1">
      <c r="A17" s="635"/>
      <c r="C17" s="656"/>
      <c r="D17" s="651">
        <v>3</v>
      </c>
      <c r="E17" s="409" t="s">
        <v>1179</v>
      </c>
      <c r="F17" s="651" t="s">
        <v>384</v>
      </c>
      <c r="G17" s="808"/>
      <c r="H17" s="808"/>
      <c r="I17" s="808"/>
      <c r="J17" s="808"/>
      <c r="K17" s="7268"/>
      <c r="L17" s="7268"/>
      <c r="M17" s="7268"/>
      <c r="N17" s="7268"/>
      <c r="O17" s="7268"/>
      <c r="P17" s="7268"/>
      <c r="Q17" s="7268"/>
      <c r="R17" s="7268"/>
      <c r="S17" s="7268"/>
      <c r="T17" s="7268"/>
      <c r="U17" s="7268"/>
      <c r="V17" s="7268"/>
      <c r="W17" s="7268"/>
      <c r="X17" s="7268"/>
      <c r="Y17" s="7268"/>
      <c r="Z17" s="7268"/>
      <c r="AA17" s="7268"/>
      <c r="AB17" s="7268"/>
      <c r="AC17" s="7268"/>
      <c r="AD17" s="7268"/>
      <c r="AE17" s="7268"/>
      <c r="AF17" s="7268"/>
      <c r="AG17" s="7268"/>
      <c r="AH17" s="7268"/>
      <c r="AI17" s="7268"/>
      <c r="AJ17" s="7268"/>
      <c r="AK17" s="419" t="s">
        <v>1180</v>
      </c>
    </row>
    <row customHeight="1" ht="45">
      <c r="A18" s="635"/>
      <c r="C18" s="656"/>
      <c r="D18" s="651">
        <v>3</v>
      </c>
      <c r="E18" s="409" t="s">
        <v>825</v>
      </c>
      <c r="F18" s="651" t="s">
        <v>384</v>
      </c>
      <c r="G18" s="939" t="s">
        <v>384</v>
      </c>
      <c r="H18" s="940" t="s">
        <v>384</v>
      </c>
      <c r="I18" s="651" t="s">
        <v>384</v>
      </c>
      <c r="J18" s="708" t="s">
        <v>384</v>
      </c>
      <c r="K18" s="6306" t="s">
        <v>384</v>
      </c>
      <c r="L18" s="6691" t="s">
        <v>384</v>
      </c>
      <c r="M18" s="6306" t="s">
        <v>384</v>
      </c>
      <c r="N18" s="6691" t="s">
        <v>384</v>
      </c>
      <c r="O18" s="6306" t="s">
        <v>384</v>
      </c>
      <c r="P18" s="6691" t="s">
        <v>384</v>
      </c>
      <c r="Q18" s="6306" t="s">
        <v>384</v>
      </c>
      <c r="R18" s="6691" t="s">
        <v>384</v>
      </c>
      <c r="S18" s="6306" t="s">
        <v>384</v>
      </c>
      <c r="T18" s="6691" t="s">
        <v>384</v>
      </c>
      <c r="U18" s="6306" t="s">
        <v>384</v>
      </c>
      <c r="V18" s="6691" t="s">
        <v>384</v>
      </c>
      <c r="W18" s="6306" t="s">
        <v>384</v>
      </c>
      <c r="X18" s="6691" t="s">
        <v>384</v>
      </c>
      <c r="Y18" s="6306" t="s">
        <v>384</v>
      </c>
      <c r="Z18" s="6691" t="s">
        <v>384</v>
      </c>
      <c r="AA18" s="6306" t="s">
        <v>384</v>
      </c>
      <c r="AB18" s="6691" t="s">
        <v>384</v>
      </c>
      <c r="AC18" s="6306" t="s">
        <v>384</v>
      </c>
      <c r="AD18" s="6691" t="s">
        <v>384</v>
      </c>
      <c r="AE18" s="6306" t="s">
        <v>384</v>
      </c>
      <c r="AF18" s="6691" t="s">
        <v>384</v>
      </c>
      <c r="AG18" s="6306" t="s">
        <v>384</v>
      </c>
      <c r="AH18" s="6691" t="s">
        <v>384</v>
      </c>
      <c r="AI18" s="6306" t="s">
        <v>384</v>
      </c>
      <c r="AJ18" s="6691" t="s">
        <v>384</v>
      </c>
      <c r="AK18" s="419" t="s">
        <v>1181</v>
      </c>
    </row>
    <row customHeight="1" ht="33.75">
      <c r="A19" s="635"/>
      <c r="C19" s="656"/>
      <c r="D19" s="669" t="s">
        <v>404</v>
      </c>
      <c r="E19" s="689" t="s">
        <v>827</v>
      </c>
      <c r="F19" s="651" t="s">
        <v>828</v>
      </c>
      <c r="G19" s="947"/>
      <c r="H19" s="236"/>
      <c r="I19" s="947"/>
      <c r="J19" s="948"/>
      <c r="K19" s="6683"/>
      <c r="L19" s="6681"/>
      <c r="M19" s="6683"/>
      <c r="N19" s="6681"/>
      <c r="O19" s="6683"/>
      <c r="P19" s="6681"/>
      <c r="Q19" s="6683"/>
      <c r="R19" s="6681"/>
      <c r="S19" s="6683"/>
      <c r="T19" s="6681"/>
      <c r="U19" s="6683"/>
      <c r="V19" s="6681"/>
      <c r="W19" s="6683"/>
      <c r="X19" s="6681"/>
      <c r="Y19" s="6683"/>
      <c r="Z19" s="6681"/>
      <c r="AA19" s="6683"/>
      <c r="AB19" s="6681"/>
      <c r="AC19" s="6683"/>
      <c r="AD19" s="6681"/>
      <c r="AE19" s="6683"/>
      <c r="AF19" s="6681"/>
      <c r="AG19" s="6683"/>
      <c r="AH19" s="6681"/>
      <c r="AI19" s="6683"/>
      <c r="AJ19" s="6681"/>
      <c r="AK19" s="809"/>
    </row>
    <row customHeight="1" ht="33.75">
      <c r="A20" s="635"/>
      <c r="C20" s="656"/>
      <c r="D20" s="2029" t="s">
        <v>412</v>
      </c>
      <c r="E20" s="689" t="s">
        <v>829</v>
      </c>
      <c r="F20" s="651" t="s">
        <v>830</v>
      </c>
      <c r="G20" s="947"/>
      <c r="H20" s="236"/>
      <c r="I20" s="947"/>
      <c r="J20" s="236"/>
      <c r="K20" s="6683"/>
      <c r="L20" s="6681"/>
      <c r="M20" s="6683"/>
      <c r="N20" s="6681"/>
      <c r="O20" s="6683"/>
      <c r="P20" s="6681"/>
      <c r="Q20" s="6683"/>
      <c r="R20" s="6681"/>
      <c r="S20" s="6683"/>
      <c r="T20" s="6681"/>
      <c r="U20" s="6683"/>
      <c r="V20" s="6681"/>
      <c r="W20" s="6683"/>
      <c r="X20" s="6681"/>
      <c r="Y20" s="6683"/>
      <c r="Z20" s="6681"/>
      <c r="AA20" s="6683"/>
      <c r="AB20" s="6681"/>
      <c r="AC20" s="6683"/>
      <c r="AD20" s="6681"/>
      <c r="AE20" s="6683"/>
      <c r="AF20" s="6681"/>
      <c r="AG20" s="6683"/>
      <c r="AH20" s="6681"/>
      <c r="AI20" s="6683"/>
      <c r="AJ20" s="6681"/>
      <c r="AK20" s="809"/>
    </row>
    <row customHeight="1" ht="45">
      <c r="A21" s="635"/>
      <c r="C21" s="656"/>
      <c r="D21" s="2029" t="s">
        <v>414</v>
      </c>
      <c r="E21" s="689" t="s">
        <v>831</v>
      </c>
      <c r="F21" s="651" t="s">
        <v>654</v>
      </c>
      <c r="G21" s="810"/>
      <c r="H21" s="236"/>
      <c r="I21" s="810"/>
      <c r="J21" s="236"/>
      <c r="K21" s="6685"/>
      <c r="L21" s="6681"/>
      <c r="M21" s="6685"/>
      <c r="N21" s="6681"/>
      <c r="O21" s="6685"/>
      <c r="P21" s="6681"/>
      <c r="Q21" s="6685"/>
      <c r="R21" s="6681"/>
      <c r="S21" s="6685"/>
      <c r="T21" s="6681"/>
      <c r="U21" s="6685"/>
      <c r="V21" s="6681"/>
      <c r="W21" s="6685"/>
      <c r="X21" s="6681"/>
      <c r="Y21" s="6685"/>
      <c r="Z21" s="6681"/>
      <c r="AA21" s="6685"/>
      <c r="AB21" s="6681"/>
      <c r="AC21" s="6685"/>
      <c r="AD21" s="6681"/>
      <c r="AE21" s="6685"/>
      <c r="AF21" s="6681"/>
      <c r="AG21" s="6685"/>
      <c r="AH21" s="6681"/>
      <c r="AI21" s="6685"/>
      <c r="AJ21" s="6681"/>
      <c r="AK21" s="809"/>
    </row>
    <row customHeight="1" ht="67.5" hidden="1">
      <c r="A22" s="635"/>
      <c r="C22" s="656"/>
      <c r="D22" s="651">
        <v>5</v>
      </c>
      <c r="E22" s="409" t="s">
        <v>1182</v>
      </c>
      <c r="F22" s="651" t="s">
        <v>641</v>
      </c>
      <c r="G22" s="811"/>
      <c r="H22" s="812"/>
      <c r="I22" s="811"/>
      <c r="J22" s="812"/>
      <c r="K22" s="7276"/>
      <c r="L22" s="7277"/>
      <c r="M22" s="7276"/>
      <c r="N22" s="7277"/>
      <c r="O22" s="7276"/>
      <c r="P22" s="7277"/>
      <c r="Q22" s="7276"/>
      <c r="R22" s="7277"/>
      <c r="S22" s="7276"/>
      <c r="T22" s="7277"/>
      <c r="U22" s="7276"/>
      <c r="V22" s="7277"/>
      <c r="W22" s="7276"/>
      <c r="X22" s="7277"/>
      <c r="Y22" s="7276"/>
      <c r="Z22" s="7277"/>
      <c r="AA22" s="7276"/>
      <c r="AB22" s="7277"/>
      <c r="AC22" s="7276"/>
      <c r="AD22" s="7277"/>
      <c r="AE22" s="7276"/>
      <c r="AF22" s="7277"/>
      <c r="AG22" s="7276"/>
      <c r="AH22" s="7277"/>
      <c r="AI22" s="7276"/>
      <c r="AJ22" s="7277"/>
      <c r="AK22" s="419" t="s">
        <v>1183</v>
      </c>
    </row>
    <row customHeight="1" ht="33.75" hidden="1">
      <c r="C23" s="581"/>
      <c r="D23" s="651">
        <v>6</v>
      </c>
      <c r="E23" s="409" t="s">
        <v>1184</v>
      </c>
      <c r="F23" s="651" t="s">
        <v>1185</v>
      </c>
      <c r="G23" s="811"/>
      <c r="H23" s="811"/>
      <c r="I23" s="811"/>
      <c r="J23" s="811"/>
      <c r="K23" s="7276"/>
      <c r="L23" s="7276"/>
      <c r="M23" s="7276"/>
      <c r="N23" s="7276"/>
      <c r="O23" s="7276"/>
      <c r="P23" s="7276"/>
      <c r="Q23" s="7276"/>
      <c r="R23" s="7276"/>
      <c r="S23" s="7276"/>
      <c r="T23" s="7276"/>
      <c r="U23" s="7276"/>
      <c r="V23" s="7276"/>
      <c r="W23" s="7276"/>
      <c r="X23" s="7276"/>
      <c r="Y23" s="7276"/>
      <c r="Z23" s="7276"/>
      <c r="AA23" s="7276"/>
      <c r="AB23" s="7276"/>
      <c r="AC23" s="7276"/>
      <c r="AD23" s="7276"/>
      <c r="AE23" s="7276"/>
      <c r="AF23" s="7276"/>
      <c r="AG23" s="7276"/>
      <c r="AH23" s="7276"/>
      <c r="AI23" s="7276"/>
      <c r="AJ23" s="7276"/>
      <c r="AK23" s="419" t="s">
        <v>1186</v>
      </c>
    </row>
    <row customHeight="1" ht="15">
      <c r="K24" s="6300"/>
      <c r="L24" s="6300"/>
      <c r="M24" s="6300"/>
      <c r="N24" s="6300"/>
      <c r="O24" s="6300"/>
      <c r="P24" s="6300"/>
      <c r="Q24" s="6300"/>
      <c r="R24" s="6300"/>
      <c r="S24" s="6300"/>
      <c r="T24" s="6300"/>
      <c r="U24" s="6300"/>
      <c r="V24" s="6300"/>
      <c r="W24" s="6300"/>
      <c r="X24" s="6300"/>
      <c r="Y24" s="6300"/>
      <c r="Z24" s="6300"/>
      <c r="AA24" s="6300"/>
      <c r="AB24" s="6300"/>
      <c r="AC24" s="6300"/>
      <c r="AD24" s="6300"/>
      <c r="AE24" s="6300"/>
      <c r="AF24" s="6300"/>
      <c r="AG24" s="6300"/>
      <c r="AH24" s="6300"/>
      <c r="AI24" s="6300"/>
      <c r="AJ24" s="6300"/>
    </row>
    <row customHeight="1" ht="15">
      <c r="K25" s="6300"/>
      <c r="L25" s="6300"/>
      <c r="M25" s="6300"/>
      <c r="N25" s="6300"/>
      <c r="O25" s="6300"/>
      <c r="P25" s="6300"/>
      <c r="Q25" s="6300"/>
      <c r="R25" s="6300"/>
      <c r="S25" s="6300"/>
      <c r="T25" s="6300"/>
      <c r="U25" s="6300"/>
      <c r="V25" s="6300"/>
      <c r="W25" s="6300"/>
      <c r="X25" s="6300"/>
      <c r="Y25" s="6300"/>
      <c r="Z25" s="6300"/>
      <c r="AA25" s="6300"/>
      <c r="AB25" s="6300"/>
      <c r="AC25" s="6300"/>
      <c r="AD25" s="6300"/>
      <c r="AE25" s="6300"/>
      <c r="AF25" s="6300"/>
      <c r="AG25" s="6300"/>
      <c r="AH25" s="6300"/>
      <c r="AI25" s="6300"/>
      <c r="AJ25" s="6300"/>
    </row>
    <row customHeight="1" ht="15">
      <c r="K26" s="6300"/>
      <c r="L26" s="6300"/>
      <c r="M26" s="6300"/>
      <c r="N26" s="6300"/>
      <c r="O26" s="6300"/>
      <c r="P26" s="6300"/>
      <c r="Q26" s="6300"/>
      <c r="R26" s="6300"/>
      <c r="S26" s="6300"/>
      <c r="T26" s="6300"/>
      <c r="U26" s="6300"/>
      <c r="V26" s="6300"/>
      <c r="W26" s="6300"/>
      <c r="X26" s="6300"/>
      <c r="Y26" s="6300"/>
      <c r="Z26" s="6300"/>
      <c r="AA26" s="6300"/>
      <c r="AB26" s="6300"/>
      <c r="AC26" s="6300"/>
      <c r="AD26" s="6300"/>
      <c r="AE26" s="6300"/>
      <c r="AF26" s="6300"/>
      <c r="AG26" s="6300"/>
      <c r="AH26" s="6300"/>
      <c r="AI26" s="6300"/>
      <c r="AJ26" s="6300"/>
    </row>
    <row customHeight="1" ht="15">
      <c r="K27" s="6300"/>
      <c r="L27" s="6300"/>
      <c r="M27" s="6300"/>
      <c r="N27" s="6300"/>
      <c r="O27" s="6300"/>
      <c r="P27" s="6300"/>
      <c r="Q27" s="6300"/>
      <c r="R27" s="6300"/>
      <c r="S27" s="6300"/>
      <c r="T27" s="6300"/>
      <c r="U27" s="6300"/>
      <c r="V27" s="6300"/>
      <c r="W27" s="6300"/>
      <c r="X27" s="6300"/>
      <c r="Y27" s="6300"/>
      <c r="Z27" s="6300"/>
      <c r="AA27" s="6300"/>
      <c r="AB27" s="6300"/>
      <c r="AC27" s="6300"/>
      <c r="AD27" s="6300"/>
      <c r="AE27" s="6300"/>
      <c r="AF27" s="6300"/>
      <c r="AG27" s="6300"/>
      <c r="AH27" s="6300"/>
      <c r="AI27" s="6300"/>
      <c r="AJ27" s="6300"/>
    </row>
    <row customHeight="1" ht="15">
      <c r="K28" s="6300"/>
      <c r="L28" s="6300"/>
      <c r="M28" s="6300"/>
      <c r="N28" s="6300"/>
      <c r="O28" s="6300"/>
      <c r="P28" s="6300"/>
      <c r="Q28" s="6300"/>
      <c r="R28" s="6300"/>
      <c r="S28" s="6300"/>
      <c r="T28" s="6300"/>
      <c r="U28" s="6300"/>
      <c r="V28" s="6300"/>
      <c r="W28" s="6300"/>
      <c r="X28" s="6300"/>
      <c r="Y28" s="6300"/>
      <c r="Z28" s="6300"/>
      <c r="AA28" s="6300"/>
      <c r="AB28" s="6300"/>
      <c r="AC28" s="6300"/>
      <c r="AD28" s="6300"/>
      <c r="AE28" s="6300"/>
      <c r="AF28" s="6300"/>
      <c r="AG28" s="6300"/>
      <c r="AH28" s="6300"/>
      <c r="AI28" s="6300"/>
      <c r="AJ28" s="6300"/>
    </row>
    <row customHeight="1" ht="15">
      <c r="J29" s="949"/>
      <c r="K29" s="6300"/>
      <c r="L29" s="6300"/>
      <c r="M29" s="6300"/>
      <c r="N29" s="6300"/>
      <c r="O29" s="6300"/>
      <c r="P29" s="6300"/>
      <c r="Q29" s="6300"/>
      <c r="R29" s="6300"/>
      <c r="S29" s="6300"/>
      <c r="T29" s="6300"/>
      <c r="U29" s="6300"/>
      <c r="V29" s="6300"/>
      <c r="W29" s="6300"/>
      <c r="X29" s="6300"/>
      <c r="Y29" s="6300"/>
      <c r="Z29" s="6300"/>
      <c r="AA29" s="6300"/>
      <c r="AB29" s="6300"/>
      <c r="AC29" s="6300"/>
      <c r="AD29" s="6300"/>
      <c r="AE29" s="6300"/>
      <c r="AF29" s="6300"/>
      <c r="AG29" s="6300"/>
      <c r="AH29" s="6300"/>
      <c r="AI29" s="6300"/>
      <c r="AJ29" s="6300"/>
    </row>
  </sheetData>
  <sheetProtection sheet="1" formatColumns="0" formatRows="0" autoFilter="0" sort="1" insertRows="1" insertColumns="1" deleteRows="1" deleteColumns="1"/>
  <mergeCells count="52">
    <mergeCell ref="D5:J5"/>
    <mergeCell ref="D6:J6"/>
    <mergeCell ref="AK9:AK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FC8A28-E96D-2625-E62F-.3F1AA3F7EF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094" width="32.57421875" customWidth="1"/>
    <col min="2" max="2" style="13095" width="11.00390625" customWidth="1"/>
    <col min="3" max="3" style="13095" width="9.140625"/>
    <col min="4" max="4" style="13095" width="26.57421875" customWidth="1"/>
    <col min="5" max="5" style="13096" width="27.7109375" customWidth="1"/>
    <col min="6" max="6" style="13096" width="23.57421875" customWidth="1"/>
    <col min="7" max="7" style="13096" width="31.421875" customWidth="1"/>
    <col min="8" max="8" style="13096" width="40.8515625" customWidth="1"/>
    <col min="9" max="9" style="13096" width="14.57421875" customWidth="1"/>
    <col min="10" max="10" style="13096" width="26.8515625" customWidth="1"/>
    <col min="11" max="11" style="13096" width="50.00390625" customWidth="1"/>
    <col min="12" max="12" style="13096" width="52.421875" customWidth="1"/>
    <col min="13" max="13" style="13096" width="10.7109375" customWidth="1"/>
    <col min="14" max="14" style="13096" width="55.140625" customWidth="1"/>
    <col min="15" max="15" style="13096" width="31.8515625" customWidth="1"/>
    <col min="16" max="16" style="13096" width="23.8515625" customWidth="1"/>
    <col min="17" max="17" style="13096" width="46.57421875" customWidth="1"/>
    <col min="18" max="18" style="13096" width="24.00390625" customWidth="1"/>
    <col min="19" max="19" style="13096" width="20.57421875" customWidth="1"/>
    <col min="20" max="20" style="13096" width="22.00390625" customWidth="1"/>
    <col min="21" max="22" style="13096" width="26.421875" customWidth="1"/>
    <col min="23" max="23" style="13096" width="8.28125" hidden="1" customWidth="1"/>
    <col min="24" max="24" style="13096" width="59.7109375" customWidth="1"/>
    <col min="25" max="25" style="13096" width="49.140625" customWidth="1"/>
    <col min="26" max="26" style="13096" width="11.140625" customWidth="1"/>
    <col min="27" max="30" style="13096" width="29.00390625" customWidth="1"/>
    <col min="31" max="31" style="13096" width="9.140625"/>
    <col min="32" max="32" style="13096" width="34.7109375" customWidth="1"/>
    <col min="33" max="33" style="13096" width="9.140625"/>
    <col min="34" max="35" style="13096" width="34.421875" customWidth="1"/>
    <col min="36" max="36" style="13096" width="9.140625"/>
    <col min="37" max="37" style="13096" width="24.57421875" customWidth="1"/>
    <col min="38" max="38" style="13096" width="9.140625"/>
    <col min="39" max="39" style="13096" width="26.140625" customWidth="1"/>
    <col min="40" max="40" style="13096" width="1.7109375" customWidth="1"/>
    <col min="41" max="41" style="13096" width="9.140625"/>
    <col min="42" max="43" style="13096" width="47.8515625" customWidth="1"/>
    <col min="44" max="44" style="13096" width="1.7109375" customWidth="1"/>
    <col min="45" max="45" style="13096" width="21.421875" customWidth="1"/>
    <col min="46" max="46" style="13096" width="1.7109375" customWidth="1"/>
    <col min="47" max="47" style="13096" width="31.28125" customWidth="1"/>
    <col min="48" max="48" style="13096" width="1.7109375" customWidth="1"/>
    <col min="49" max="50" style="13097" width="9.140625"/>
    <col min="51" max="51" style="13096" width="3.7109375" customWidth="1"/>
    <col min="52" max="52" style="13096" width="60.8515625" customWidth="1"/>
    <col min="53" max="53" style="13096" width="49.28125" customWidth="1"/>
    <col min="54" max="54" style="13096" width="35.140625" customWidth="1"/>
    <col min="55" max="55" style="13096" width="9.140625"/>
    <col min="56" max="56" style="13096" width="1.7109375" customWidth="1"/>
    <col min="57" max="57" style="13098" width="12.57421875" customWidth="1"/>
    <col min="58" max="58" style="13098" width="14.28125" customWidth="1"/>
    <col min="59" max="59" style="13096" width="30.7109375" customWidth="1"/>
    <col min="60" max="60" style="13099" width="40.7109375" customWidth="1"/>
    <col min="61" max="61" style="13099" width="15.00390625" customWidth="1"/>
    <col min="62" max="62" style="13099" width="40.7109375" customWidth="1"/>
    <col min="63" max="63" style="13099" width="2.7109375" customWidth="1"/>
    <col min="64" max="64" style="13099" width="44.7109375" customWidth="1"/>
    <col min="65" max="65" style="13099" width="2.7109375" customWidth="1"/>
    <col min="66" max="66" style="13099" width="40.7109375" customWidth="1"/>
    <col min="67" max="68" style="13096" width="9.140625"/>
    <col min="69" max="69" style="13096" width="18.140625" customWidth="1"/>
    <col min="70" max="70" style="13096" width="57.8515625" customWidth="1"/>
    <col min="71" max="71" style="13100" width="1.7109375" customWidth="1"/>
    <col min="72" max="72" style="13096" width="22.57421875" customWidth="1"/>
    <col min="73" max="73" style="13096" width="57.8515625" customWidth="1"/>
    <col min="74" max="74" style="13096" width="1.7109375" customWidth="1"/>
    <col min="75" max="75" style="13096" width="22.57421875" customWidth="1"/>
    <col min="76" max="76" style="13096" width="57.8515625" customWidth="1"/>
    <col min="77" max="77" style="13096" width="1.7109375" customWidth="1"/>
    <col min="78" max="78" style="13096" width="22.57421875" customWidth="1"/>
    <col min="79" max="79" style="13096" width="57.8515625" customWidth="1"/>
    <col min="80" max="81" style="13096" width="9.140625"/>
    <col min="82" max="82" style="13096" width="49.57421875" customWidth="1"/>
  </cols>
  <sheetData>
    <row s="12997" customFormat="1" customHeight="1" ht="11.25">
      <c r="A1" s="1198" t="s">
        <v>1187</v>
      </c>
      <c r="B1" s="1198" t="s">
        <v>1188</v>
      </c>
      <c r="C1" s="1198" t="s">
        <v>1189</v>
      </c>
      <c r="D1" s="1198" t="s">
        <v>1190</v>
      </c>
      <c r="E1" s="1198" t="s">
        <v>1191</v>
      </c>
      <c r="F1" s="1198" t="s">
        <v>1192</v>
      </c>
      <c r="G1" s="1198" t="s">
        <v>1193</v>
      </c>
      <c r="H1" s="1198" t="s">
        <v>1194</v>
      </c>
      <c r="I1" s="1198" t="s">
        <v>1195</v>
      </c>
      <c r="J1" s="1198" t="s">
        <v>1196</v>
      </c>
      <c r="K1" s="1198" t="s">
        <v>1197</v>
      </c>
      <c r="L1" s="1198" t="s">
        <v>1198</v>
      </c>
      <c r="M1" s="1198"/>
      <c r="N1" s="1198" t="s">
        <v>1199</v>
      </c>
      <c r="O1" s="1198" t="s">
        <v>1200</v>
      </c>
      <c r="P1" s="1198" t="s">
        <v>1201</v>
      </c>
      <c r="Q1" s="1198" t="s">
        <v>1202</v>
      </c>
      <c r="R1" s="1198" t="s">
        <v>1203</v>
      </c>
      <c r="S1" s="1198" t="s">
        <v>1204</v>
      </c>
      <c r="T1" s="1198" t="s">
        <v>1205</v>
      </c>
      <c r="U1" s="1198" t="s">
        <v>1206</v>
      </c>
      <c r="V1" s="1198"/>
      <c r="W1" s="927" t="s">
        <v>1207</v>
      </c>
      <c r="X1" s="1198" t="s">
        <v>1208</v>
      </c>
      <c r="Y1" s="1198" t="s">
        <v>1209</v>
      </c>
      <c r="Z1" s="1198"/>
      <c r="AA1" s="1198" t="s">
        <v>1210</v>
      </c>
      <c r="AB1" s="1198"/>
      <c r="AC1" s="1198" t="s">
        <v>1211</v>
      </c>
      <c r="AD1" s="1198"/>
      <c r="AF1" s="1198" t="s">
        <v>1212</v>
      </c>
      <c r="AH1" s="1198" t="s">
        <v>1213</v>
      </c>
      <c r="AI1" s="1198" t="s">
        <v>1214</v>
      </c>
      <c r="AK1" s="1198" t="s">
        <v>1215</v>
      </c>
      <c r="AM1" s="1198" t="s">
        <v>1216</v>
      </c>
      <c r="AP1" s="1198" t="s">
        <v>1217</v>
      </c>
      <c r="AQ1" s="1198" t="s">
        <v>1218</v>
      </c>
      <c r="AS1" s="1198" t="s">
        <v>1219</v>
      </c>
      <c r="AU1" s="1198" t="s">
        <v>1220</v>
      </c>
      <c r="AW1" s="1198" t="s">
        <v>1221</v>
      </c>
      <c r="AX1" s="1198" t="s">
        <v>1222</v>
      </c>
      <c r="AZ1" s="1284" t="s">
        <v>1223</v>
      </c>
      <c r="BB1" s="1198" t="s">
        <v>1224</v>
      </c>
      <c r="BC1" s="1198"/>
      <c r="BE1" s="1198" t="s">
        <v>1225</v>
      </c>
      <c r="BF1" s="1198" t="s">
        <v>1226</v>
      </c>
      <c r="BH1" s="1200" t="s">
        <v>818</v>
      </c>
      <c r="BI1" s="1201"/>
      <c r="BJ1" s="1202" t="s">
        <v>1227</v>
      </c>
      <c r="BK1" s="1201"/>
      <c r="BL1" s="1203" t="s">
        <v>916</v>
      </c>
      <c r="BM1" s="1201"/>
      <c r="BN1" s="1204" t="s">
        <v>1228</v>
      </c>
      <c r="BS1" s="1564"/>
    </row>
    <row customHeight="1" ht="11.25">
      <c r="A2" s="1205" t="s">
        <v>1229</v>
      </c>
      <c r="B2" s="1206">
        <v>2000</v>
      </c>
      <c r="C2" s="1206">
        <v>2022</v>
      </c>
      <c r="D2" s="1206" t="s">
        <v>64</v>
      </c>
      <c r="E2" s="1207" t="s">
        <v>1230</v>
      </c>
      <c r="F2" s="1207" t="s">
        <v>1231</v>
      </c>
      <c r="G2" s="1207" t="s">
        <v>1232</v>
      </c>
      <c r="H2" s="1208" t="s">
        <v>52</v>
      </c>
      <c r="I2" s="1207" t="s">
        <v>165</v>
      </c>
      <c r="J2" s="1207" t="s">
        <v>1233</v>
      </c>
      <c r="K2" s="1209" t="s">
        <v>1234</v>
      </c>
      <c r="L2" s="1210"/>
      <c r="M2" s="1209">
        <v>1</v>
      </c>
      <c r="N2" s="1294" t="s">
        <v>1235</v>
      </c>
      <c r="O2" s="1208" t="s">
        <v>1236</v>
      </c>
      <c r="P2" s="1211" t="s">
        <v>34</v>
      </c>
      <c r="Q2" s="1212" t="s">
        <v>1237</v>
      </c>
      <c r="R2" s="273" t="s">
        <v>1238</v>
      </c>
      <c r="S2" s="273" t="s">
        <v>1239</v>
      </c>
      <c r="T2" s="1213" t="s">
        <v>1240</v>
      </c>
      <c r="U2" s="1210" t="s">
        <v>1241</v>
      </c>
      <c r="V2" s="1214">
        <v>1</v>
      </c>
      <c r="W2" s="1215"/>
      <c r="X2" s="1215" t="s">
        <v>1242</v>
      </c>
      <c r="Y2" s="1206" t="s">
        <v>1243</v>
      </c>
      <c r="Z2" s="1216"/>
      <c r="AA2" s="1206" t="s">
        <v>1244</v>
      </c>
      <c r="AB2" s="1217" t="s">
        <v>1244</v>
      </c>
      <c r="AC2" s="1206" t="s">
        <v>1245</v>
      </c>
      <c r="AD2" s="1217" t="s">
        <v>1245</v>
      </c>
      <c r="AF2" s="1208" t="s">
        <v>1241</v>
      </c>
      <c r="AH2" s="1207" t="s">
        <v>1246</v>
      </c>
      <c r="AI2" s="1207" t="s">
        <v>1246</v>
      </c>
      <c r="AK2" s="1207" t="s">
        <v>1247</v>
      </c>
      <c r="AM2" s="1207" t="s">
        <v>1248</v>
      </c>
      <c r="AP2" s="1218" t="s">
        <v>1242</v>
      </c>
      <c r="AQ2" s="1219" t="s">
        <v>1242</v>
      </c>
      <c r="AS2" s="1206" t="s">
        <v>1249</v>
      </c>
      <c r="AU2" s="1252" t="s">
        <v>1250</v>
      </c>
      <c r="AW2" s="1252" t="s">
        <v>1251</v>
      </c>
      <c r="AX2" s="1252" t="s">
        <v>1251</v>
      </c>
      <c r="AZ2" s="1252" t="s">
        <v>50</v>
      </c>
      <c r="BB2" s="1252" t="s">
        <v>1252</v>
      </c>
      <c r="BC2" s="1252" t="s">
        <v>1253</v>
      </c>
      <c r="BE2" s="1252">
        <v>2000</v>
      </c>
      <c r="BF2" s="1252" t="s">
        <v>1254</v>
      </c>
    </row>
    <row customHeight="1" ht="11.25">
      <c r="A3" s="1205" t="s">
        <v>1255</v>
      </c>
      <c r="B3" s="1206">
        <v>2001</v>
      </c>
      <c r="C3" s="1206">
        <v>2023</v>
      </c>
      <c r="D3" s="1206" t="s">
        <v>54</v>
      </c>
      <c r="E3" s="1207" t="s">
        <v>1256</v>
      </c>
      <c r="F3" s="1207" t="s">
        <v>1257</v>
      </c>
      <c r="G3" s="1207" t="s">
        <v>1258</v>
      </c>
      <c r="H3" s="1208" t="s">
        <v>1259</v>
      </c>
      <c r="I3" s="1207" t="s">
        <v>100</v>
      </c>
      <c r="J3" s="1207" t="s">
        <v>639</v>
      </c>
      <c r="K3" s="1209" t="s">
        <v>1260</v>
      </c>
      <c r="L3" s="1210">
        <f>_xlfn.IFERROR(MATCH(K3,OFFER_METHOD,0),0)</f>
        <v>0</v>
      </c>
      <c r="M3" s="1209">
        <v>2</v>
      </c>
      <c r="N3" s="1294" t="s">
        <v>1261</v>
      </c>
      <c r="O3" s="1208" t="s">
        <v>1262</v>
      </c>
      <c r="P3" s="1211" t="s">
        <v>1263</v>
      </c>
      <c r="Q3" s="1212" t="s">
        <v>1264</v>
      </c>
      <c r="R3" s="273" t="s">
        <v>1265</v>
      </c>
      <c r="S3" s="273" t="s">
        <v>1266</v>
      </c>
      <c r="T3" s="1213" t="s">
        <v>1267</v>
      </c>
      <c r="U3" s="1210" t="s">
        <v>1268</v>
      </c>
      <c r="V3" s="1214">
        <v>2</v>
      </c>
      <c r="W3" s="1215"/>
      <c r="X3" s="1215" t="s">
        <v>1269</v>
      </c>
      <c r="Y3" s="1206" t="s">
        <v>1243</v>
      </c>
      <c r="Z3" s="1216"/>
      <c r="AA3" s="1206" t="s">
        <v>1270</v>
      </c>
      <c r="AB3" s="1217" t="s">
        <v>1270</v>
      </c>
      <c r="AC3" s="1206" t="s">
        <v>1271</v>
      </c>
      <c r="AD3" s="1217" t="s">
        <v>1271</v>
      </c>
      <c r="AF3" s="1208" t="s">
        <v>1268</v>
      </c>
      <c r="AH3" s="1207" t="s">
        <v>1272</v>
      </c>
      <c r="AI3" s="1207" t="s">
        <v>1273</v>
      </c>
      <c r="AK3" s="1207" t="s">
        <v>1274</v>
      </c>
      <c r="AM3" s="1207" t="s">
        <v>1275</v>
      </c>
      <c r="AP3" s="1218" t="s">
        <v>1276</v>
      </c>
      <c r="AQ3" s="1219" t="s">
        <v>1276</v>
      </c>
      <c r="AS3" s="1206" t="s">
        <v>1277</v>
      </c>
      <c r="AU3" s="1252" t="s">
        <v>1278</v>
      </c>
      <c r="AW3" s="1252" t="s">
        <v>1279</v>
      </c>
      <c r="AX3" s="1252" t="s">
        <v>1279</v>
      </c>
      <c r="AZ3" s="1252" t="s">
        <v>1280</v>
      </c>
      <c r="BB3" s="1252" t="s">
        <v>1281</v>
      </c>
      <c r="BC3" s="1252" t="s">
        <v>1253</v>
      </c>
      <c r="BE3" s="1252">
        <v>2001</v>
      </c>
      <c r="BF3" s="1252" t="s">
        <v>1282</v>
      </c>
      <c r="BH3" s="1198" t="s">
        <v>1283</v>
      </c>
      <c r="BJ3" s="1198" t="s">
        <v>1284</v>
      </c>
      <c r="BL3" s="1198" t="s">
        <v>1285</v>
      </c>
      <c r="BN3" s="1198" t="s">
        <v>1286</v>
      </c>
      <c r="BR3" s="1198" t="s">
        <v>1287</v>
      </c>
      <c r="BS3" s="1565"/>
      <c r="BT3" s="1201"/>
      <c r="BU3" s="1198" t="s">
        <v>1288</v>
      </c>
      <c r="BV3" s="1201"/>
      <c r="BW3" s="1827"/>
      <c r="BX3" s="1829" t="s">
        <v>1289</v>
      </c>
      <c r="CA3" s="1198" t="s">
        <v>1290</v>
      </c>
    </row>
    <row customHeight="1" ht="11.25">
      <c r="A4" s="1205" t="s">
        <v>1291</v>
      </c>
      <c r="B4" s="1206">
        <v>2002</v>
      </c>
      <c r="C4" s="1206">
        <v>2024</v>
      </c>
      <c r="E4" s="1207" t="s">
        <v>1292</v>
      </c>
      <c r="F4" s="1207" t="s">
        <v>1293</v>
      </c>
      <c r="H4" s="1208" t="s">
        <v>1294</v>
      </c>
      <c r="I4" s="1207" t="s">
        <v>87</v>
      </c>
      <c r="J4" s="1207" t="s">
        <v>1295</v>
      </c>
      <c r="K4" s="1209" t="s">
        <v>1296</v>
      </c>
      <c r="L4" s="1210">
        <f>_xlfn.IFERROR(MATCH(K4,OFFER_METHOD,0),0)</f>
        <v>0</v>
      </c>
      <c r="M4" s="1209">
        <v>3</v>
      </c>
      <c r="N4" s="1294" t="s">
        <v>1297</v>
      </c>
      <c r="O4" s="1207" t="s">
        <v>1298</v>
      </c>
      <c r="Q4" s="1212" t="s">
        <v>1299</v>
      </c>
      <c r="R4" s="273" t="s">
        <v>1300</v>
      </c>
      <c r="S4" s="273" t="s">
        <v>1301</v>
      </c>
      <c r="T4" s="1213" t="s">
        <v>1302</v>
      </c>
      <c r="U4" s="1210" t="s">
        <v>1303</v>
      </c>
      <c r="V4" s="1214">
        <v>3</v>
      </c>
      <c r="W4" s="1215"/>
      <c r="X4" s="1215" t="s">
        <v>1304</v>
      </c>
      <c r="Y4" s="1206" t="s">
        <v>1243</v>
      </c>
      <c r="Z4" s="1222"/>
      <c r="AC4" s="1206" t="s">
        <v>1305</v>
      </c>
      <c r="AD4" s="1217" t="s">
        <v>1305</v>
      </c>
      <c r="AF4" s="1208" t="s">
        <v>1303</v>
      </c>
      <c r="AH4" s="1208" t="s">
        <v>1306</v>
      </c>
      <c r="AK4" s="1207" t="s">
        <v>1307</v>
      </c>
      <c r="AM4" s="1207" t="s">
        <v>1308</v>
      </c>
      <c r="AP4" s="1218" t="s">
        <v>1269</v>
      </c>
      <c r="AQ4" s="1219" t="s">
        <v>1269</v>
      </c>
      <c r="AS4" s="1206" t="s">
        <v>1309</v>
      </c>
      <c r="AU4" s="1252" t="s">
        <v>1310</v>
      </c>
      <c r="AW4" s="1252" t="s">
        <v>1311</v>
      </c>
      <c r="AX4" s="1252" t="s">
        <v>1311</v>
      </c>
      <c r="AZ4" s="1252" t="s">
        <v>1312</v>
      </c>
      <c r="BB4" s="1252" t="s">
        <v>1313</v>
      </c>
      <c r="BC4" s="1252" t="s">
        <v>1314</v>
      </c>
      <c r="BE4" s="1252">
        <v>2002</v>
      </c>
      <c r="BF4" s="1252" t="s">
        <v>1315</v>
      </c>
      <c r="BH4" s="1199" t="s">
        <v>1316</v>
      </c>
      <c r="BJ4" s="1199" t="s">
        <v>1316</v>
      </c>
      <c r="BL4" s="1199" t="s">
        <v>1316</v>
      </c>
      <c r="BN4" s="1199" t="s">
        <v>1316</v>
      </c>
      <c r="BQ4" s="1569" t="s">
        <v>1317</v>
      </c>
      <c r="BR4" s="1291" t="s">
        <v>1318</v>
      </c>
      <c r="BS4" s="404"/>
      <c r="BT4" s="1569" t="s">
        <v>1319</v>
      </c>
      <c r="BU4" s="1291" t="s">
        <v>1320</v>
      </c>
      <c r="BV4" s="1201"/>
      <c r="BW4" s="1834" t="s">
        <v>1321</v>
      </c>
      <c r="BX4" s="1828" t="s">
        <v>1322</v>
      </c>
      <c r="BZ4" s="1569" t="s">
        <v>1323</v>
      </c>
      <c r="CA4" s="1291" t="s">
        <v>1324</v>
      </c>
    </row>
    <row customHeight="1" ht="11.25">
      <c r="A5" s="1205" t="s">
        <v>1325</v>
      </c>
      <c r="B5" s="1206">
        <v>2003</v>
      </c>
      <c r="C5" s="1206">
        <v>2025</v>
      </c>
      <c r="E5" s="1207" t="s">
        <v>1326</v>
      </c>
      <c r="F5" s="1207" t="s">
        <v>31</v>
      </c>
      <c r="H5" s="1208" t="s">
        <v>1327</v>
      </c>
      <c r="I5" s="1207" t="s">
        <v>88</v>
      </c>
      <c r="K5" s="1209" t="s">
        <v>1328</v>
      </c>
      <c r="L5" s="1210">
        <f>_xlfn.IFERROR(MATCH(K5,OFFER_METHOD,0),0)</f>
        <v>0</v>
      </c>
      <c r="M5" s="1209">
        <v>4</v>
      </c>
      <c r="N5" s="1223" t="s">
        <v>1329</v>
      </c>
      <c r="O5" s="1207" t="s">
        <v>1330</v>
      </c>
      <c r="Q5" s="1212" t="s">
        <v>1331</v>
      </c>
      <c r="R5" s="273" t="s">
        <v>1332</v>
      </c>
      <c r="T5" s="1208" t="s">
        <v>1333</v>
      </c>
      <c r="U5" s="1210" t="s">
        <v>1334</v>
      </c>
      <c r="V5" s="1214">
        <v>4</v>
      </c>
      <c r="W5" s="1215"/>
      <c r="X5" s="1215" t="s">
        <v>246</v>
      </c>
      <c r="Y5" s="1206" t="s">
        <v>1335</v>
      </c>
      <c r="Z5" s="1222">
        <v>1</v>
      </c>
      <c r="AF5" s="1208" t="s">
        <v>1336</v>
      </c>
      <c r="AH5" s="1207" t="s">
        <v>1337</v>
      </c>
      <c r="AK5" s="1207" t="s">
        <v>1338</v>
      </c>
      <c r="AM5" s="1207" t="s">
        <v>1339</v>
      </c>
      <c r="AP5" s="1218" t="s">
        <v>246</v>
      </c>
      <c r="AQ5" s="1219" t="s">
        <v>246</v>
      </c>
      <c r="AU5" s="1252" t="s">
        <v>1340</v>
      </c>
      <c r="AW5" s="1252" t="s">
        <v>1341</v>
      </c>
      <c r="AX5" s="1252" t="s">
        <v>1341</v>
      </c>
      <c r="AZ5" s="1252" t="s">
        <v>1342</v>
      </c>
      <c r="BB5" s="1252" t="s">
        <v>1343</v>
      </c>
      <c r="BC5" s="1252" t="s">
        <v>1344</v>
      </c>
      <c r="BE5" s="1252">
        <v>2003</v>
      </c>
      <c r="BF5" s="1252" t="s">
        <v>1345</v>
      </c>
      <c r="BH5" s="1199" t="s">
        <v>1346</v>
      </c>
      <c r="BJ5" s="1199" t="s">
        <v>1346</v>
      </c>
      <c r="BL5" s="1199" t="s">
        <v>1346</v>
      </c>
      <c r="BN5" s="1199" t="s">
        <v>1347</v>
      </c>
      <c r="BQ5" s="1418">
        <v>4213775</v>
      </c>
      <c r="BR5" s="1199" t="s">
        <v>1242</v>
      </c>
      <c r="BS5" s="1566"/>
      <c r="BT5" s="1418">
        <v>64236871</v>
      </c>
      <c r="BU5" s="1199" t="s">
        <v>307</v>
      </c>
      <c r="BV5" s="1201"/>
      <c r="BW5" s="1832">
        <v>4213767</v>
      </c>
      <c r="BX5" s="1830" t="s">
        <v>1348</v>
      </c>
      <c r="BZ5" s="1418">
        <v>64237509</v>
      </c>
      <c r="CA5" s="1432" t="s">
        <v>1349</v>
      </c>
    </row>
    <row customHeight="1" ht="11.25">
      <c r="A6" s="1205" t="s">
        <v>1350</v>
      </c>
      <c r="B6" s="1206">
        <v>2004</v>
      </c>
      <c r="C6" s="1206">
        <v>2026</v>
      </c>
      <c r="E6" s="1207" t="s">
        <v>1351</v>
      </c>
      <c r="F6" s="1224"/>
      <c r="H6" s="1208" t="s">
        <v>1352</v>
      </c>
      <c r="I6" s="1207" t="s">
        <v>119</v>
      </c>
      <c r="J6" s="1198" t="s">
        <v>1353</v>
      </c>
      <c r="L6" s="1210">
        <f>SUM(kind_of_control_method_filter)</f>
        <v>0</v>
      </c>
      <c r="N6" s="1223" t="s">
        <v>1354</v>
      </c>
      <c r="O6" s="1207" t="s">
        <v>1355</v>
      </c>
      <c r="R6" s="273" t="s">
        <v>1237</v>
      </c>
      <c r="T6" s="1208" t="s">
        <v>1356</v>
      </c>
      <c r="U6" s="1210" t="s">
        <v>1336</v>
      </c>
      <c r="V6" s="1214">
        <v>5</v>
      </c>
      <c r="W6" s="1215"/>
      <c r="X6" s="1206" t="s">
        <v>252</v>
      </c>
      <c r="Y6" s="1206" t="s">
        <v>1357</v>
      </c>
      <c r="Z6" s="1222"/>
      <c r="AA6" s="1225"/>
      <c r="AH6" s="1207" t="s">
        <v>1358</v>
      </c>
      <c r="AK6" s="1207" t="s">
        <v>1359</v>
      </c>
      <c r="AM6" s="1207" t="s">
        <v>1360</v>
      </c>
      <c r="AP6" s="1218" t="s">
        <v>252</v>
      </c>
      <c r="AQ6" s="1219" t="s">
        <v>252</v>
      </c>
      <c r="AU6" s="1252" t="s">
        <v>1361</v>
      </c>
      <c r="AW6" s="1252" t="s">
        <v>1362</v>
      </c>
      <c r="AX6" s="1252" t="s">
        <v>1362</v>
      </c>
      <c r="BB6" s="1252" t="s">
        <v>1363</v>
      </c>
      <c r="BC6" s="1252" t="s">
        <v>1344</v>
      </c>
      <c r="BE6" s="1252">
        <v>2004</v>
      </c>
      <c r="BF6" s="1252" t="s">
        <v>1364</v>
      </c>
      <c r="BH6" s="1199" t="s">
        <v>1365</v>
      </c>
      <c r="BJ6" s="1199" t="s">
        <v>1366</v>
      </c>
      <c r="BL6" s="1199" t="s">
        <v>1366</v>
      </c>
      <c r="BN6" s="1199" t="s">
        <v>1367</v>
      </c>
      <c r="BQ6" s="1418">
        <v>4213784</v>
      </c>
      <c r="BR6" s="1432" t="s">
        <v>1276</v>
      </c>
      <c r="BS6" s="1567"/>
      <c r="BT6" s="1418">
        <v>64236872</v>
      </c>
      <c r="BU6" s="1199" t="s">
        <v>312</v>
      </c>
      <c r="BV6" s="1201"/>
      <c r="BW6" s="1832">
        <v>4213768</v>
      </c>
      <c r="BX6" s="1830" t="s">
        <v>332</v>
      </c>
      <c r="BZ6" s="1418">
        <v>64237510</v>
      </c>
      <c r="CA6" s="1199" t="s">
        <v>1368</v>
      </c>
    </row>
    <row customHeight="1" ht="11.25">
      <c r="A7" s="1205" t="s">
        <v>1369</v>
      </c>
      <c r="B7" s="1206">
        <v>2005</v>
      </c>
      <c r="E7" s="1207" t="s">
        <v>1370</v>
      </c>
      <c r="F7" s="1224"/>
      <c r="H7" s="1208" t="s">
        <v>1371</v>
      </c>
      <c r="I7" s="1207" t="s">
        <v>89</v>
      </c>
      <c r="J7" s="1207" t="s">
        <v>1372</v>
      </c>
      <c r="N7" s="1227" t="s">
        <v>1373</v>
      </c>
      <c r="O7" s="1207" t="s">
        <v>1374</v>
      </c>
      <c r="U7" s="1210" t="s">
        <v>54</v>
      </c>
      <c r="V7" s="500" t="s">
        <v>89</v>
      </c>
      <c r="W7" s="1215"/>
      <c r="X7" s="1206" t="s">
        <v>258</v>
      </c>
      <c r="Y7" s="1206" t="s">
        <v>1335</v>
      </c>
      <c r="Z7" s="1222"/>
      <c r="AA7" s="1225"/>
      <c r="AH7" s="1207" t="s">
        <v>1375</v>
      </c>
      <c r="AK7" s="1207" t="s">
        <v>1376</v>
      </c>
      <c r="AM7" s="1207" t="s">
        <v>1377</v>
      </c>
      <c r="AP7" s="1218" t="s">
        <v>258</v>
      </c>
      <c r="AQ7" s="1219" t="s">
        <v>258</v>
      </c>
      <c r="AU7" s="1252" t="s">
        <v>1378</v>
      </c>
      <c r="AW7" s="1252" t="s">
        <v>1379</v>
      </c>
      <c r="AX7" s="1252" t="s">
        <v>1379</v>
      </c>
      <c r="AZ7" s="1198" t="s">
        <v>1380</v>
      </c>
      <c r="BB7" s="1252" t="s">
        <v>1381</v>
      </c>
      <c r="BC7" s="1252" t="s">
        <v>1344</v>
      </c>
      <c r="BE7" s="1252">
        <v>2005</v>
      </c>
      <c r="BF7" s="1252" t="s">
        <v>1382</v>
      </c>
      <c r="BH7" s="1199" t="s">
        <v>1383</v>
      </c>
      <c r="BJ7" s="1199" t="s">
        <v>1365</v>
      </c>
      <c r="BL7" s="1199" t="s">
        <v>1365</v>
      </c>
      <c r="BN7" s="1199" t="s">
        <v>1384</v>
      </c>
      <c r="BQ7" s="1418">
        <v>4213781</v>
      </c>
      <c r="BR7" s="1199" t="s">
        <v>1269</v>
      </c>
      <c r="BS7" s="1566"/>
      <c r="BT7" s="1418">
        <v>64236873</v>
      </c>
      <c r="BU7" s="1199" t="s">
        <v>317</v>
      </c>
      <c r="BV7" s="1201"/>
      <c r="BW7" s="1832">
        <v>4213769</v>
      </c>
      <c r="BX7" s="1830" t="s">
        <v>1385</v>
      </c>
      <c r="BZ7" s="1418">
        <v>64237511</v>
      </c>
      <c r="CA7" s="1199" t="s">
        <v>347</v>
      </c>
    </row>
    <row customHeight="1" ht="11.25">
      <c r="A8" s="1205" t="s">
        <v>1386</v>
      </c>
      <c r="B8" s="1206">
        <v>2006</v>
      </c>
      <c r="E8" s="1207" t="s">
        <v>1387</v>
      </c>
      <c r="F8" s="1224"/>
      <c r="H8" s="1208" t="s">
        <v>1388</v>
      </c>
      <c r="I8" s="1207" t="s">
        <v>90</v>
      </c>
      <c r="J8" s="1207" t="s">
        <v>1389</v>
      </c>
      <c r="N8" s="1295" t="s">
        <v>1390</v>
      </c>
      <c r="O8" s="1207" t="s">
        <v>1391</v>
      </c>
      <c r="V8" s="500" t="s">
        <v>90</v>
      </c>
      <c r="W8" s="1215"/>
      <c r="X8" s="1206" t="s">
        <v>264</v>
      </c>
      <c r="Y8" s="1206" t="s">
        <v>1335</v>
      </c>
      <c r="Z8" s="1222"/>
      <c r="AA8" s="1225"/>
      <c r="AK8" s="1207" t="s">
        <v>1392</v>
      </c>
      <c r="AP8" s="1218" t="s">
        <v>264</v>
      </c>
      <c r="AQ8" s="1219" t="s">
        <v>264</v>
      </c>
      <c r="AU8" s="1252" t="s">
        <v>1393</v>
      </c>
      <c r="AW8" s="1252" t="s">
        <v>1394</v>
      </c>
      <c r="AX8" s="1252" t="s">
        <v>1394</v>
      </c>
      <c r="AZ8" s="1252" t="s">
        <v>1395</v>
      </c>
      <c r="BB8" s="1252" t="s">
        <v>1396</v>
      </c>
      <c r="BC8" s="1252" t="s">
        <v>1344</v>
      </c>
      <c r="BE8" s="1252">
        <v>2006</v>
      </c>
      <c r="BF8" s="1252" t="s">
        <v>1397</v>
      </c>
      <c r="BH8" s="1199" t="s">
        <v>1398</v>
      </c>
      <c r="BJ8" s="1199" t="s">
        <v>1399</v>
      </c>
      <c r="BL8" s="1199" t="s">
        <v>1399</v>
      </c>
      <c r="BN8" s="1199" t="s">
        <v>1400</v>
      </c>
      <c r="BQ8" s="1418">
        <v>4213776</v>
      </c>
      <c r="BR8" s="1199" t="s">
        <v>246</v>
      </c>
      <c r="BS8" s="1566"/>
      <c r="BT8" s="1418">
        <v>64236874</v>
      </c>
      <c r="BU8" s="1432" t="s">
        <v>1401</v>
      </c>
      <c r="BV8" s="1201"/>
      <c r="BW8" s="1832">
        <v>4213770</v>
      </c>
      <c r="BX8" s="1833" t="s">
        <v>1402</v>
      </c>
      <c r="BZ8" s="1418">
        <v>64237512</v>
      </c>
      <c r="CA8" s="1199" t="s">
        <v>342</v>
      </c>
    </row>
    <row customHeight="1" ht="11.25">
      <c r="A9" s="1205" t="s">
        <v>1403</v>
      </c>
      <c r="B9" s="1206">
        <v>2007</v>
      </c>
      <c r="E9" s="1207" t="s">
        <v>1404</v>
      </c>
      <c r="F9" s="1224"/>
      <c r="G9" s="1198" t="s">
        <v>1405</v>
      </c>
      <c r="H9" s="1198" t="s">
        <v>1406</v>
      </c>
      <c r="I9" s="1207" t="s">
        <v>140</v>
      </c>
      <c r="O9" s="1207" t="s">
        <v>1407</v>
      </c>
      <c r="V9" s="500" t="s">
        <v>140</v>
      </c>
      <c r="W9" s="1215"/>
      <c r="X9" s="1206" t="s">
        <v>270</v>
      </c>
      <c r="Y9" s="1206" t="s">
        <v>1243</v>
      </c>
      <c r="Z9" s="1222">
        <v>1</v>
      </c>
      <c r="AA9" s="1225"/>
      <c r="AK9" s="1207" t="s">
        <v>1408</v>
      </c>
      <c r="AP9" s="1218" t="s">
        <v>1409</v>
      </c>
      <c r="AQ9" s="1219" t="s">
        <v>1409</v>
      </c>
      <c r="AW9" s="1252" t="s">
        <v>1410</v>
      </c>
      <c r="AX9" s="1252" t="s">
        <v>1410</v>
      </c>
      <c r="AZ9" s="1252" t="s">
        <v>1411</v>
      </c>
      <c r="BB9" s="1252" t="s">
        <v>1412</v>
      </c>
      <c r="BC9" s="1252" t="s">
        <v>1344</v>
      </c>
      <c r="BE9" s="1252">
        <v>2007</v>
      </c>
      <c r="BF9" s="1252" t="s">
        <v>1413</v>
      </c>
      <c r="BH9" s="1199" t="s">
        <v>1414</v>
      </c>
      <c r="BJ9" s="1199" t="s">
        <v>1415</v>
      </c>
      <c r="BL9" s="1199" t="s">
        <v>1415</v>
      </c>
      <c r="BN9" s="1199" t="s">
        <v>1416</v>
      </c>
      <c r="BQ9" s="1418">
        <v>4213777</v>
      </c>
      <c r="BR9" s="1199" t="s">
        <v>252</v>
      </c>
      <c r="BS9" s="1566"/>
      <c r="BT9" s="1418">
        <v>64236875</v>
      </c>
      <c r="BU9" s="1199" t="s">
        <v>322</v>
      </c>
      <c r="BV9" s="1201"/>
      <c r="BW9" s="1827"/>
      <c r="BX9" s="1827"/>
    </row>
    <row customHeight="1" ht="11.25">
      <c r="A10" s="1205" t="s">
        <v>1417</v>
      </c>
      <c r="B10" s="1206">
        <v>2008</v>
      </c>
      <c r="E10" s="1207" t="s">
        <v>1418</v>
      </c>
      <c r="F10" s="1224"/>
      <c r="G10" s="1207" t="s">
        <v>1419</v>
      </c>
      <c r="H10" s="1207" t="s">
        <v>1420</v>
      </c>
      <c r="I10" s="1207" t="s">
        <v>151</v>
      </c>
      <c r="J10" s="1198" t="s">
        <v>1421</v>
      </c>
      <c r="K10" s="1198" t="s">
        <v>1422</v>
      </c>
      <c r="O10" s="1207" t="s">
        <v>1423</v>
      </c>
      <c r="V10" s="501" t="s">
        <v>151</v>
      </c>
      <c r="W10" s="1228"/>
      <c r="X10" s="1228" t="s">
        <v>282</v>
      </c>
      <c r="Y10" s="1229" t="s">
        <v>1424</v>
      </c>
      <c r="Z10" s="1222"/>
      <c r="AP10" s="1218" t="s">
        <v>282</v>
      </c>
      <c r="AQ10" s="1219" t="s">
        <v>282</v>
      </c>
      <c r="AW10" s="1252" t="s">
        <v>1425</v>
      </c>
      <c r="AX10" s="1252" t="s">
        <v>1425</v>
      </c>
      <c r="AZ10" s="1252" t="s">
        <v>1426</v>
      </c>
      <c r="BB10" s="1252" t="s">
        <v>1427</v>
      </c>
      <c r="BC10" s="1252" t="s">
        <v>1344</v>
      </c>
      <c r="BE10" s="1252">
        <v>2008</v>
      </c>
      <c r="BF10" s="1252" t="s">
        <v>1428</v>
      </c>
      <c r="BH10" s="1199" t="s">
        <v>1429</v>
      </c>
      <c r="BJ10" s="1199" t="s">
        <v>1430</v>
      </c>
      <c r="BL10" s="1199" t="s">
        <v>1430</v>
      </c>
      <c r="BN10" s="1199" t="s">
        <v>1431</v>
      </c>
      <c r="BQ10" s="1418">
        <v>4213778</v>
      </c>
      <c r="BR10" s="1199" t="s">
        <v>258</v>
      </c>
      <c r="BS10" s="1566"/>
      <c r="BT10" s="1418">
        <v>64236876</v>
      </c>
      <c r="BU10" s="1199" t="s">
        <v>302</v>
      </c>
      <c r="BV10" s="1201"/>
      <c r="BW10" s="1827"/>
      <c r="BX10" s="1827"/>
    </row>
    <row customHeight="1" ht="11.25">
      <c r="A11" s="1205" t="s">
        <v>1432</v>
      </c>
      <c r="B11" s="1206">
        <v>2009</v>
      </c>
      <c r="E11" s="1207" t="s">
        <v>1433</v>
      </c>
      <c r="F11" s="1224"/>
      <c r="G11" s="1207" t="s">
        <v>1434</v>
      </c>
      <c r="H11" s="1207" t="s">
        <v>1435</v>
      </c>
      <c r="I11" s="1207" t="s">
        <v>229</v>
      </c>
      <c r="J11" s="1208" t="s">
        <v>1436</v>
      </c>
      <c r="K11" s="1230" t="s">
        <v>1437</v>
      </c>
      <c r="O11" s="1208" t="s">
        <v>1438</v>
      </c>
      <c r="V11" s="500" t="s">
        <v>229</v>
      </c>
      <c r="W11" s="405"/>
      <c r="X11" s="1215" t="s">
        <v>1409</v>
      </c>
      <c r="Y11" s="1206" t="s">
        <v>1439</v>
      </c>
      <c r="Z11" s="1222"/>
      <c r="AP11" s="1218" t="s">
        <v>270</v>
      </c>
      <c r="AQ11" s="1220" t="s">
        <v>270</v>
      </c>
      <c r="AW11" s="1252" t="s">
        <v>1440</v>
      </c>
      <c r="AX11" s="1252" t="s">
        <v>1440</v>
      </c>
      <c r="AZ11" s="1252" t="s">
        <v>1441</v>
      </c>
      <c r="BB11" s="1252" t="s">
        <v>1442</v>
      </c>
      <c r="BC11" s="1252" t="s">
        <v>1344</v>
      </c>
      <c r="BE11" s="1252">
        <v>2009</v>
      </c>
      <c r="BF11" s="1252" t="s">
        <v>1443</v>
      </c>
      <c r="BH11" s="1199" t="s">
        <v>1444</v>
      </c>
      <c r="BJ11" s="1199" t="s">
        <v>1414</v>
      </c>
      <c r="BL11" s="1199" t="s">
        <v>1414</v>
      </c>
      <c r="BN11" s="1199" t="s">
        <v>1445</v>
      </c>
      <c r="BQ11" s="1418">
        <v>4213780</v>
      </c>
      <c r="BR11" s="1199" t="s">
        <v>264</v>
      </c>
      <c r="BS11" s="1566"/>
      <c r="BW11" s="1827"/>
      <c r="BX11" s="1827"/>
    </row>
    <row customHeight="1" ht="11.25">
      <c r="A12" s="1205" t="s">
        <v>1446</v>
      </c>
      <c r="B12" s="1206">
        <v>2010</v>
      </c>
      <c r="E12" s="1207" t="s">
        <v>1447</v>
      </c>
      <c r="F12" s="1224"/>
      <c r="G12" s="1207" t="s">
        <v>1435</v>
      </c>
      <c r="I12" s="1207" t="s">
        <v>230</v>
      </c>
      <c r="J12" s="1208" t="s">
        <v>1448</v>
      </c>
      <c r="K12" s="1230" t="s">
        <v>1449</v>
      </c>
      <c r="O12" s="1208" t="s">
        <v>1237</v>
      </c>
      <c r="V12" s="500" t="s">
        <v>230</v>
      </c>
      <c r="W12" s="1220"/>
      <c r="X12" s="1215" t="s">
        <v>1450</v>
      </c>
      <c r="Y12" s="1206" t="s">
        <v>1243</v>
      </c>
      <c r="AP12" s="1218"/>
      <c r="AW12" s="1252" t="s">
        <v>229</v>
      </c>
      <c r="AX12" s="1252" t="s">
        <v>229</v>
      </c>
      <c r="AZ12" s="1252" t="s">
        <v>1451</v>
      </c>
      <c r="BB12" s="1252" t="s">
        <v>1452</v>
      </c>
      <c r="BC12" s="1252" t="s">
        <v>1344</v>
      </c>
      <c r="BE12" s="1252">
        <v>2010</v>
      </c>
      <c r="BF12" s="1252" t="s">
        <v>1453</v>
      </c>
      <c r="BH12" s="1199" t="s">
        <v>1454</v>
      </c>
      <c r="BJ12" s="1199" t="s">
        <v>1455</v>
      </c>
      <c r="BL12" s="1199" t="s">
        <v>1455</v>
      </c>
      <c r="BN12" s="1199" t="s">
        <v>1456</v>
      </c>
      <c r="BQ12" s="1418">
        <v>4213779</v>
      </c>
      <c r="BR12" s="1199" t="s">
        <v>1409</v>
      </c>
      <c r="BS12" s="1566"/>
      <c r="BT12" s="1201"/>
      <c r="BU12" s="1201"/>
      <c r="BV12" s="1201"/>
      <c r="BW12" s="1827"/>
      <c r="BX12" s="1827"/>
    </row>
    <row customHeight="1" ht="11.25">
      <c r="A13" s="1205" t="s">
        <v>1457</v>
      </c>
      <c r="B13" s="1206">
        <v>2011</v>
      </c>
      <c r="E13" s="1207" t="s">
        <v>1458</v>
      </c>
      <c r="F13" s="1224"/>
      <c r="I13" s="1207" t="s">
        <v>231</v>
      </c>
      <c r="K13" s="1230" t="s">
        <v>1408</v>
      </c>
      <c r="V13" s="500" t="s">
        <v>231</v>
      </c>
      <c r="W13" s="1220"/>
      <c r="X13" s="1220"/>
      <c r="Y13" s="1220"/>
      <c r="AW13" s="1252" t="s">
        <v>230</v>
      </c>
      <c r="AX13" s="1252" t="s">
        <v>230</v>
      </c>
      <c r="BB13" s="1252" t="s">
        <v>1459</v>
      </c>
      <c r="BC13" s="1252" t="s">
        <v>1460</v>
      </c>
      <c r="BE13" s="1252">
        <v>2011</v>
      </c>
      <c r="BF13" s="1252" t="s">
        <v>1461</v>
      </c>
      <c r="BH13" s="1199" t="s">
        <v>1462</v>
      </c>
      <c r="BJ13" s="1199" t="s">
        <v>1444</v>
      </c>
      <c r="BL13" s="1199" t="s">
        <v>1444</v>
      </c>
      <c r="BN13" s="1199" t="s">
        <v>1463</v>
      </c>
      <c r="BQ13" s="1418">
        <v>4213783</v>
      </c>
      <c r="BR13" s="1199" t="s">
        <v>282</v>
      </c>
      <c r="BS13" s="1566"/>
      <c r="BT13" s="1201"/>
      <c r="BU13" s="1201"/>
      <c r="BV13" s="1201"/>
      <c r="BW13" s="1831"/>
      <c r="BX13" s="1827"/>
    </row>
    <row customHeight="1" ht="11.25">
      <c r="A14" s="1205" t="s">
        <v>1464</v>
      </c>
      <c r="B14" s="1206">
        <v>2012</v>
      </c>
      <c r="I14" s="1207" t="s">
        <v>232</v>
      </c>
      <c r="J14" s="1198" t="s">
        <v>1465</v>
      </c>
      <c r="N14" s="1198" t="s">
        <v>1466</v>
      </c>
      <c r="V14" s="1214">
        <v>13</v>
      </c>
      <c r="W14" s="1215"/>
      <c r="X14" s="1215" t="s">
        <v>1276</v>
      </c>
      <c r="Y14" s="1206" t="s">
        <v>1243</v>
      </c>
      <c r="AW14" s="1252" t="s">
        <v>231</v>
      </c>
      <c r="AX14" s="1252" t="s">
        <v>231</v>
      </c>
      <c r="AZ14" s="1198" t="s">
        <v>1467</v>
      </c>
      <c r="BB14" s="1252" t="s">
        <v>1468</v>
      </c>
      <c r="BC14" s="1252" t="s">
        <v>1460</v>
      </c>
      <c r="BE14" s="1252">
        <v>2012</v>
      </c>
      <c r="BH14" s="1199" t="s">
        <v>1384</v>
      </c>
      <c r="BJ14" s="1353" t="s">
        <v>1469</v>
      </c>
      <c r="BL14" s="1353" t="s">
        <v>1469</v>
      </c>
      <c r="BN14" s="1199" t="s">
        <v>1470</v>
      </c>
      <c r="BQ14" s="1418">
        <v>4213782</v>
      </c>
      <c r="BR14" s="1199" t="s">
        <v>270</v>
      </c>
      <c r="BS14" s="1566"/>
      <c r="BT14" s="1201"/>
      <c r="BU14" s="1201"/>
      <c r="BV14" s="1201"/>
      <c r="BW14" s="1831"/>
      <c r="BX14" s="1827"/>
    </row>
    <row customHeight="1" ht="19.5">
      <c r="A15" s="1205" t="s">
        <v>1471</v>
      </c>
      <c r="B15" s="1206">
        <v>2013</v>
      </c>
      <c r="E15" s="1835" t="s">
        <v>1472</v>
      </c>
      <c r="G15" s="1198" t="s">
        <v>1473</v>
      </c>
      <c r="H15" s="1198" t="s">
        <v>1474</v>
      </c>
      <c r="I15" s="1209" t="s">
        <v>233</v>
      </c>
      <c r="J15" s="1220" t="s">
        <v>666</v>
      </c>
      <c r="N15" s="1290" t="s">
        <v>1475</v>
      </c>
      <c r="X15" s="1218"/>
      <c r="AW15" s="1252" t="s">
        <v>232</v>
      </c>
      <c r="AX15" s="1252" t="s">
        <v>232</v>
      </c>
      <c r="AZ15" s="1252" t="s">
        <v>1395</v>
      </c>
      <c r="BB15" s="1252" t="s">
        <v>1476</v>
      </c>
      <c r="BC15" s="1252" t="s">
        <v>1460</v>
      </c>
      <c r="BE15" s="1252">
        <v>2013</v>
      </c>
      <c r="BH15" s="1199" t="s">
        <v>1400</v>
      </c>
      <c r="BJ15" s="1353" t="s">
        <v>1477</v>
      </c>
      <c r="BL15" s="1353" t="s">
        <v>1477</v>
      </c>
      <c r="BN15" s="1199" t="s">
        <v>1478</v>
      </c>
      <c r="BR15" s="1201"/>
      <c r="BS15" s="1568"/>
      <c r="BT15" s="1201"/>
      <c r="BU15" s="1201"/>
      <c r="BV15" s="1201"/>
      <c r="BW15" s="1831"/>
      <c r="BX15" s="1827"/>
    </row>
    <row customHeight="1" ht="21">
      <c r="A16" s="2009" t="s">
        <v>1479</v>
      </c>
      <c r="B16" s="1206">
        <v>2014</v>
      </c>
      <c r="E16" s="1836" t="s">
        <v>1480</v>
      </c>
      <c r="G16" s="1207" t="s">
        <v>1481</v>
      </c>
      <c r="H16" s="1207" t="s">
        <v>1482</v>
      </c>
      <c r="I16" s="1209" t="s">
        <v>1483</v>
      </c>
      <c r="J16" s="1220" t="s">
        <v>639</v>
      </c>
      <c r="N16" s="1290" t="s">
        <v>1484</v>
      </c>
      <c r="AW16" s="1252" t="s">
        <v>233</v>
      </c>
      <c r="AX16" s="1252" t="s">
        <v>233</v>
      </c>
      <c r="AZ16" s="1252" t="s">
        <v>1411</v>
      </c>
      <c r="BB16" s="1252" t="s">
        <v>1485</v>
      </c>
      <c r="BC16" s="1252" t="s">
        <v>1460</v>
      </c>
      <c r="BE16" s="1252">
        <v>2014</v>
      </c>
      <c r="BH16" s="1199" t="s">
        <v>1416</v>
      </c>
      <c r="BJ16" s="1353" t="s">
        <v>1486</v>
      </c>
      <c r="BL16" s="1353" t="s">
        <v>1486</v>
      </c>
      <c r="BN16" s="1199" t="s">
        <v>1487</v>
      </c>
      <c r="BR16" s="1201"/>
      <c r="BS16" s="1568"/>
      <c r="BT16" s="1201"/>
      <c r="BU16" s="1201"/>
      <c r="BV16" s="1201"/>
      <c r="BW16" s="1831"/>
      <c r="BX16" s="1827"/>
    </row>
    <row customHeight="1" ht="21">
      <c r="A17" s="1205" t="s">
        <v>1488</v>
      </c>
      <c r="B17" s="1206">
        <v>2015</v>
      </c>
      <c r="G17" s="1207" t="s">
        <v>1435</v>
      </c>
      <c r="H17" s="1207" t="s">
        <v>1435</v>
      </c>
      <c r="I17" s="1207" t="s">
        <v>1489</v>
      </c>
      <c r="N17" s="1290" t="s">
        <v>1490</v>
      </c>
      <c r="X17" s="1218"/>
      <c r="AW17" s="1252" t="s">
        <v>1483</v>
      </c>
      <c r="AX17" s="1252" t="s">
        <v>1483</v>
      </c>
      <c r="AZ17" s="1252" t="s">
        <v>1491</v>
      </c>
      <c r="BB17" s="1252" t="s">
        <v>1492</v>
      </c>
      <c r="BC17" s="1252" t="s">
        <v>1344</v>
      </c>
      <c r="BE17" s="1252">
        <v>2015</v>
      </c>
      <c r="BH17" s="1199" t="s">
        <v>1431</v>
      </c>
      <c r="BJ17" s="1353" t="s">
        <v>1493</v>
      </c>
      <c r="BL17" s="1353" t="s">
        <v>1493</v>
      </c>
      <c r="BN17" s="1199" t="s">
        <v>1494</v>
      </c>
      <c r="BR17" s="1198" t="s">
        <v>1287</v>
      </c>
      <c r="BS17" s="1565"/>
      <c r="BU17" s="1198" t="s">
        <v>1495</v>
      </c>
      <c r="BV17" s="1201"/>
      <c r="BW17" s="1827"/>
      <c r="BX17" s="1829" t="s">
        <v>1496</v>
      </c>
      <c r="CA17" s="1198" t="s">
        <v>1497</v>
      </c>
      <c r="CD17" s="1198" t="s">
        <v>1498</v>
      </c>
    </row>
    <row customHeight="1" ht="21">
      <c r="A18" s="1205" t="s">
        <v>1499</v>
      </c>
      <c r="B18" s="1206">
        <v>2016</v>
      </c>
      <c r="I18" s="1207" t="s">
        <v>1500</v>
      </c>
      <c r="N18" s="1290" t="s">
        <v>1501</v>
      </c>
      <c r="X18" s="1218"/>
      <c r="AW18" s="1252" t="s">
        <v>1489</v>
      </c>
      <c r="AX18" s="1252" t="s">
        <v>1489</v>
      </c>
      <c r="BB18" s="1252" t="s">
        <v>1502</v>
      </c>
      <c r="BC18" s="1252" t="s">
        <v>1344</v>
      </c>
      <c r="BE18" s="1252">
        <v>2016</v>
      </c>
      <c r="BH18" s="1199" t="s">
        <v>1445</v>
      </c>
      <c r="BJ18" s="1353" t="s">
        <v>1503</v>
      </c>
      <c r="BL18" s="1353" t="s">
        <v>1503</v>
      </c>
      <c r="BN18" s="1199" t="s">
        <v>1504</v>
      </c>
      <c r="BQ18" s="1569" t="s">
        <v>1317</v>
      </c>
      <c r="BR18" s="1291" t="s">
        <v>1318</v>
      </c>
      <c r="BS18" s="404"/>
      <c r="BT18" s="1569" t="s">
        <v>1505</v>
      </c>
      <c r="BU18" s="1291" t="s">
        <v>1506</v>
      </c>
      <c r="BV18" s="1201"/>
      <c r="BW18" s="1834" t="s">
        <v>1507</v>
      </c>
      <c r="BX18" s="1828" t="s">
        <v>1508</v>
      </c>
      <c r="BZ18" s="1569" t="s">
        <v>1509</v>
      </c>
      <c r="CA18" s="1291" t="s">
        <v>1510</v>
      </c>
      <c r="CC18" s="1569" t="s">
        <v>1511</v>
      </c>
      <c r="CD18" s="1291" t="s">
        <v>1512</v>
      </c>
    </row>
    <row customHeight="1" ht="21">
      <c r="A19" s="2009" t="s">
        <v>1513</v>
      </c>
      <c r="B19" s="1206">
        <v>2017</v>
      </c>
      <c r="I19" s="1207" t="s">
        <v>1514</v>
      </c>
      <c r="N19" s="1290" t="s">
        <v>1515</v>
      </c>
      <c r="X19" s="1218"/>
      <c r="AW19" s="1252" t="s">
        <v>1500</v>
      </c>
      <c r="AX19" s="1252" t="s">
        <v>1500</v>
      </c>
      <c r="AZ19" s="1198" t="s">
        <v>1516</v>
      </c>
      <c r="BB19" s="1252" t="s">
        <v>1517</v>
      </c>
      <c r="BC19" s="1252" t="s">
        <v>1344</v>
      </c>
      <c r="BE19" s="1252">
        <v>2017</v>
      </c>
      <c r="BH19" s="1199" t="s">
        <v>1518</v>
      </c>
      <c r="BJ19" s="1353" t="s">
        <v>1519</v>
      </c>
      <c r="BL19" s="1353" t="s">
        <v>1519</v>
      </c>
      <c r="BQ19" s="1418">
        <v>4190064</v>
      </c>
      <c r="BR19" s="1199" t="s">
        <v>1520</v>
      </c>
      <c r="BS19" s="1566"/>
      <c r="BT19" s="1418">
        <v>4189671</v>
      </c>
      <c r="BU19" s="1199" t="s">
        <v>1521</v>
      </c>
      <c r="BV19" s="1201"/>
      <c r="BW19" s="1832">
        <v>4189706</v>
      </c>
      <c r="BX19" s="1830" t="s">
        <v>1522</v>
      </c>
      <c r="BZ19" s="1418">
        <v>4189714</v>
      </c>
      <c r="CA19" s="1199" t="s">
        <v>1523</v>
      </c>
      <c r="CC19" s="1418">
        <v>4189708</v>
      </c>
      <c r="CD19" s="1199" t="s">
        <v>1524</v>
      </c>
    </row>
    <row customHeight="1" ht="21">
      <c r="A20" s="1205" t="s">
        <v>1525</v>
      </c>
      <c r="B20" s="1206">
        <v>2018</v>
      </c>
      <c r="I20" s="1207" t="s">
        <v>1526</v>
      </c>
      <c r="N20" s="1290" t="s">
        <v>1527</v>
      </c>
      <c r="AW20" s="1252" t="s">
        <v>1514</v>
      </c>
      <c r="AX20" s="1252" t="s">
        <v>1514</v>
      </c>
      <c r="AZ20" s="1252" t="s">
        <v>1528</v>
      </c>
      <c r="BB20" s="1252" t="s">
        <v>1529</v>
      </c>
      <c r="BC20" s="1252" t="s">
        <v>1460</v>
      </c>
      <c r="BE20" s="1252">
        <v>2018</v>
      </c>
      <c r="BH20" s="1199" t="s">
        <v>1456</v>
      </c>
      <c r="BJ20" s="1199" t="s">
        <v>1384</v>
      </c>
      <c r="BL20" s="1199" t="s">
        <v>1384</v>
      </c>
      <c r="BQ20" s="1418">
        <v>4190065</v>
      </c>
      <c r="BR20" s="1199" t="s">
        <v>1530</v>
      </c>
      <c r="BS20" s="1566"/>
      <c r="BT20" s="1418">
        <v>4189672</v>
      </c>
      <c r="BU20" s="1199" t="s">
        <v>1531</v>
      </c>
      <c r="BV20" s="1201"/>
      <c r="BW20" s="1832">
        <v>4189705</v>
      </c>
      <c r="BX20" s="1830" t="s">
        <v>1532</v>
      </c>
      <c r="BZ20" s="1418">
        <v>4189713</v>
      </c>
      <c r="CA20" s="1199" t="s">
        <v>1532</v>
      </c>
      <c r="CC20" s="1418">
        <v>4189709</v>
      </c>
      <c r="CD20" s="1199" t="s">
        <v>1533</v>
      </c>
    </row>
    <row customHeight="1" ht="21">
      <c r="A21" s="1205" t="s">
        <v>1534</v>
      </c>
      <c r="B21" s="1206">
        <v>2019</v>
      </c>
      <c r="I21" s="1207" t="s">
        <v>1535</v>
      </c>
      <c r="N21" s="1290" t="s">
        <v>1536</v>
      </c>
      <c r="AW21" s="1252" t="s">
        <v>1526</v>
      </c>
      <c r="AX21" s="1252" t="s">
        <v>1526</v>
      </c>
      <c r="AZ21" s="1252" t="s">
        <v>1537</v>
      </c>
      <c r="BB21" s="1252" t="s">
        <v>1538</v>
      </c>
      <c r="BC21" s="1252" t="s">
        <v>1344</v>
      </c>
      <c r="BE21" s="1252">
        <v>2019</v>
      </c>
      <c r="BH21" s="1199" t="s">
        <v>1463</v>
      </c>
      <c r="BJ21" s="1199" t="s">
        <v>1400</v>
      </c>
      <c r="BL21" s="1199" t="s">
        <v>1400</v>
      </c>
      <c r="BQ21" s="1418">
        <v>4190066</v>
      </c>
      <c r="BR21" s="1199" t="s">
        <v>1539</v>
      </c>
      <c r="BS21" s="1566"/>
      <c r="BT21" s="1418">
        <v>4189673</v>
      </c>
      <c r="BU21" s="1199" t="s">
        <v>1540</v>
      </c>
      <c r="BV21" s="1201"/>
      <c r="BW21" s="1832">
        <v>4189707</v>
      </c>
      <c r="BX21" s="1830" t="s">
        <v>1541</v>
      </c>
      <c r="BZ21" s="1418">
        <v>4189712</v>
      </c>
      <c r="CA21" s="1199" t="s">
        <v>1542</v>
      </c>
      <c r="CC21" s="1418">
        <v>4189710</v>
      </c>
      <c r="CD21" s="1199" t="s">
        <v>1543</v>
      </c>
    </row>
    <row customHeight="1" ht="21">
      <c r="A22" s="1205" t="s">
        <v>1544</v>
      </c>
      <c r="B22" s="1206">
        <v>2020</v>
      </c>
      <c r="N22" s="1290" t="s">
        <v>1545</v>
      </c>
      <c r="AW22" s="1252" t="s">
        <v>1535</v>
      </c>
      <c r="AX22" s="1252" t="s">
        <v>1535</v>
      </c>
      <c r="AZ22" s="1252" t="s">
        <v>1546</v>
      </c>
      <c r="BB22" s="1252" t="s">
        <v>1547</v>
      </c>
      <c r="BC22" s="1252" t="s">
        <v>1344</v>
      </c>
      <c r="BE22" s="1252">
        <v>2020</v>
      </c>
      <c r="BH22" s="1199" t="s">
        <v>1470</v>
      </c>
      <c r="BJ22" s="1199" t="s">
        <v>1416</v>
      </c>
      <c r="BL22" s="1199" t="s">
        <v>1416</v>
      </c>
      <c r="BQ22" s="1418">
        <v>4190067</v>
      </c>
      <c r="BR22" s="1199" t="s">
        <v>1548</v>
      </c>
      <c r="BS22" s="1566"/>
      <c r="BT22" s="1418">
        <v>4189674</v>
      </c>
      <c r="BU22" s="1199" t="s">
        <v>1549</v>
      </c>
      <c r="BV22" s="1201"/>
      <c r="BW22" s="1201"/>
      <c r="CC22" s="1418">
        <v>4189711</v>
      </c>
      <c r="CD22" s="1199" t="s">
        <v>371</v>
      </c>
    </row>
    <row customHeight="1" ht="21">
      <c r="A23" s="1205" t="s">
        <v>1550</v>
      </c>
      <c r="B23" s="1206">
        <v>2021</v>
      </c>
      <c r="AW23" s="1252" t="s">
        <v>1551</v>
      </c>
      <c r="AX23" s="1252" t="s">
        <v>1551</v>
      </c>
      <c r="AZ23" s="1252" t="s">
        <v>1552</v>
      </c>
      <c r="BB23" s="1252" t="s">
        <v>1553</v>
      </c>
      <c r="BC23" s="1252" t="s">
        <v>1253</v>
      </c>
      <c r="BE23" s="1252">
        <v>2021</v>
      </c>
      <c r="BH23" s="1199" t="s">
        <v>1478</v>
      </c>
      <c r="BJ23" s="1199" t="s">
        <v>1431</v>
      </c>
      <c r="BL23" s="1199" t="s">
        <v>1431</v>
      </c>
      <c r="BQ23" s="1418">
        <v>4190068</v>
      </c>
      <c r="BR23" s="1199" t="s">
        <v>1554</v>
      </c>
      <c r="BS23" s="1566"/>
      <c r="BT23" s="1418">
        <v>4189675</v>
      </c>
      <c r="BU23" s="1199" t="s">
        <v>1555</v>
      </c>
      <c r="BV23" s="1201"/>
      <c r="BW23" s="1201"/>
      <c r="CC23" s="1418">
        <v>5110778</v>
      </c>
      <c r="CD23" s="1199" t="s">
        <v>1556</v>
      </c>
    </row>
    <row customHeight="1" ht="21">
      <c r="A24" s="1205" t="s">
        <v>1557</v>
      </c>
      <c r="B24" s="1206">
        <v>2022</v>
      </c>
      <c r="AW24" s="1252" t="s">
        <v>1558</v>
      </c>
      <c r="AX24" s="1252" t="s">
        <v>1558</v>
      </c>
      <c r="AZ24" s="1252" t="s">
        <v>1559</v>
      </c>
      <c r="BB24" s="1252" t="s">
        <v>1560</v>
      </c>
      <c r="BC24" s="1252" t="s">
        <v>1561</v>
      </c>
      <c r="BE24" s="1252">
        <v>2022</v>
      </c>
      <c r="BH24" s="1199" t="s">
        <v>1487</v>
      </c>
      <c r="BJ24" s="1199" t="s">
        <v>1445</v>
      </c>
      <c r="BL24" s="1199" t="s">
        <v>1445</v>
      </c>
      <c r="BQ24" s="1418">
        <v>4190069</v>
      </c>
      <c r="BR24" s="1199" t="s">
        <v>1562</v>
      </c>
      <c r="BS24" s="1566"/>
      <c r="BT24" s="1418">
        <v>4189676</v>
      </c>
      <c r="BU24" s="1199" t="s">
        <v>1563</v>
      </c>
      <c r="BV24" s="1201"/>
      <c r="BW24" s="1201"/>
      <c r="CC24" s="1418">
        <v>25575374</v>
      </c>
      <c r="CD24" s="1199" t="s">
        <v>1564</v>
      </c>
    </row>
    <row customHeight="1" ht="11.25">
      <c r="A25" s="1205" t="s">
        <v>1565</v>
      </c>
      <c r="B25" s="1206">
        <v>2023</v>
      </c>
      <c r="AW25" s="1252" t="s">
        <v>1566</v>
      </c>
      <c r="AX25" s="1252" t="s">
        <v>1566</v>
      </c>
      <c r="AZ25" s="1252" t="s">
        <v>1567</v>
      </c>
      <c r="BB25" s="1252" t="s">
        <v>1568</v>
      </c>
      <c r="BC25" s="1252" t="s">
        <v>1561</v>
      </c>
      <c r="BE25" s="1252">
        <v>2023</v>
      </c>
      <c r="BH25" s="1199" t="s">
        <v>1494</v>
      </c>
      <c r="BJ25" s="1199" t="s">
        <v>1518</v>
      </c>
      <c r="BL25" s="1199" t="s">
        <v>1518</v>
      </c>
      <c r="BQ25" s="1418">
        <v>4190070</v>
      </c>
      <c r="BR25" s="1199" t="s">
        <v>1569</v>
      </c>
      <c r="BS25" s="1566"/>
      <c r="BT25" s="1418">
        <v>4189677</v>
      </c>
      <c r="BU25" s="1199" t="s">
        <v>1570</v>
      </c>
      <c r="BV25" s="1201"/>
      <c r="BW25" s="1201"/>
    </row>
    <row customHeight="1" ht="11.25">
      <c r="A26" s="1205" t="s">
        <v>1571</v>
      </c>
      <c r="B26" s="1206">
        <v>2024</v>
      </c>
      <c r="J26" s="1868" t="s">
        <v>1572</v>
      </c>
      <c r="AX26" s="1252" t="s">
        <v>1573</v>
      </c>
      <c r="AZ26" s="1252" t="s">
        <v>1438</v>
      </c>
      <c r="BB26" s="1252" t="s">
        <v>1574</v>
      </c>
      <c r="BC26" s="1252" t="s">
        <v>1561</v>
      </c>
      <c r="BE26" s="1252">
        <v>2024</v>
      </c>
      <c r="BH26" s="1199" t="s">
        <v>1504</v>
      </c>
      <c r="BJ26" s="1199" t="s">
        <v>1456</v>
      </c>
      <c r="BL26" s="1199" t="s">
        <v>1456</v>
      </c>
      <c r="BQ26" s="1418">
        <v>4190071</v>
      </c>
      <c r="BR26" s="1199" t="s">
        <v>1575</v>
      </c>
      <c r="BS26" s="1566"/>
      <c r="BV26" s="1201"/>
      <c r="BW26" s="1201"/>
    </row>
    <row customHeight="1" ht="11.25">
      <c r="A27" s="1205" t="s">
        <v>1576</v>
      </c>
      <c r="B27" s="1206">
        <v>2025</v>
      </c>
      <c r="J27" s="306" t="s">
        <v>101</v>
      </c>
      <c r="AX27" s="1252" t="s">
        <v>1577</v>
      </c>
      <c r="BB27" s="1252" t="s">
        <v>1578</v>
      </c>
      <c r="BC27" s="1252" t="s">
        <v>1561</v>
      </c>
      <c r="BE27" s="1252">
        <v>2025</v>
      </c>
      <c r="BH27" s="1201" t="s">
        <v>18</v>
      </c>
      <c r="BJ27" s="1199" t="s">
        <v>1463</v>
      </c>
      <c r="BL27" s="1199" t="s">
        <v>1463</v>
      </c>
      <c r="BN27" s="1201" t="s">
        <v>18</v>
      </c>
      <c r="BQ27" s="1418">
        <v>4190072</v>
      </c>
      <c r="BR27" s="1199" t="s">
        <v>1579</v>
      </c>
      <c r="BS27" s="1566"/>
      <c r="BV27" s="1201"/>
      <c r="BW27" s="1201"/>
    </row>
    <row customHeight="1" ht="11.25">
      <c r="A28" s="1205" t="s">
        <v>1580</v>
      </c>
      <c r="D28" s="1232"/>
      <c r="E28" s="1233"/>
      <c r="F28" s="1233"/>
      <c r="H28" s="1234" t="s">
        <v>1581</v>
      </c>
      <c r="AX28" s="1252" t="s">
        <v>1582</v>
      </c>
      <c r="AZ28" s="1198" t="s">
        <v>1583</v>
      </c>
      <c r="BB28" s="1252" t="s">
        <v>1584</v>
      </c>
      <c r="BC28" s="1252" t="s">
        <v>1585</v>
      </c>
      <c r="BE28" s="1252">
        <v>2026</v>
      </c>
      <c r="BH28" s="1201" t="s">
        <v>18</v>
      </c>
      <c r="BJ28" s="1199" t="s">
        <v>1470</v>
      </c>
      <c r="BL28" s="1199" t="s">
        <v>1470</v>
      </c>
      <c r="BN28" s="1201" t="s">
        <v>18</v>
      </c>
      <c r="BQ28" s="1418">
        <v>4190073</v>
      </c>
      <c r="BR28" s="1199" t="s">
        <v>1586</v>
      </c>
      <c r="BS28" s="1566"/>
      <c r="BV28" s="1201"/>
      <c r="BW28" s="1201"/>
    </row>
    <row customHeight="1" ht="11.25">
      <c r="A29" s="1205" t="s">
        <v>1587</v>
      </c>
      <c r="D29" s="1235" t="s">
        <v>1588</v>
      </c>
      <c r="E29" s="1236" t="str">
        <f>IF(TEMPLATE_GROUP="","",INDEX(StartDateList,MATCH(TEMPLATE_GROUP,CodeTemplateList,0),1))</f>
        <v>01.10.2023</v>
      </c>
      <c r="F29" s="1236" t="str">
        <f>IF(TEMPLATE_GROUP="","",INDEX(EndDateList,MATCH(TEMPLATE_GROUP,CodeTemplateList,0),1))</f>
        <v>31.12.2023</v>
      </c>
      <c r="H29" s="1237" t="s">
        <v>1589</v>
      </c>
      <c r="AX29" s="1252" t="s">
        <v>1590</v>
      </c>
      <c r="AZ29" s="1252" t="s">
        <v>1238</v>
      </c>
      <c r="BB29" s="1252" t="s">
        <v>1438</v>
      </c>
      <c r="BC29" s="1222"/>
      <c r="BE29" s="1252">
        <v>2027</v>
      </c>
      <c r="BJ29" s="1199" t="s">
        <v>1478</v>
      </c>
      <c r="BL29" s="1199" t="s">
        <v>1478</v>
      </c>
    </row>
    <row customHeight="1" ht="11.25">
      <c r="A30" s="1205" t="s">
        <v>1591</v>
      </c>
      <c r="D30" s="1238"/>
      <c r="E30" s="1239"/>
      <c r="F30" s="1239"/>
      <c r="AX30" s="1252" t="s">
        <v>1592</v>
      </c>
      <c r="AZ30" s="1252" t="s">
        <v>1265</v>
      </c>
      <c r="BE30" s="1252">
        <v>2028</v>
      </c>
      <c r="BJ30" s="1199" t="s">
        <v>1593</v>
      </c>
      <c r="BL30" s="1199" t="s">
        <v>1593</v>
      </c>
    </row>
    <row customHeight="1" ht="12.75">
      <c r="A31" s="1205" t="s">
        <v>1594</v>
      </c>
      <c r="D31" s="1232"/>
      <c r="E31" s="1233"/>
      <c r="F31" s="1233"/>
      <c r="H31" s="1240"/>
      <c r="AX31" s="1252" t="s">
        <v>1595</v>
      </c>
      <c r="AZ31" s="1252" t="s">
        <v>1596</v>
      </c>
      <c r="BE31" s="1252">
        <v>2029</v>
      </c>
      <c r="BJ31" s="1199" t="s">
        <v>1597</v>
      </c>
      <c r="BL31" s="1199" t="s">
        <v>1597</v>
      </c>
    </row>
    <row customHeight="1" ht="11.25">
      <c r="A32" s="1205" t="s">
        <v>1598</v>
      </c>
      <c r="D32" s="1235" t="s">
        <v>1599</v>
      </c>
      <c r="E32" s="1236" t="str">
        <f>IF(TEMPLATE_GROUP="","",INDEX(StartDateList,MATCH(TEMPLATE_GROUP,CodeTemplateList,0),1))</f>
        <v>01.10.2023</v>
      </c>
      <c r="F32" s="1236" t="str">
        <f>IF(TEMPLATE_GROUP="","",INDEX(EndDateList,MATCH(TEMPLATE_GROUP,CodeTemplateList,0),1))</f>
        <v>31.12.2023</v>
      </c>
      <c r="H32" s="1241" t="s">
        <v>1600</v>
      </c>
      <c r="O32" s="1205" t="s">
        <v>1236</v>
      </c>
      <c r="AX32" s="1252" t="s">
        <v>1601</v>
      </c>
      <c r="AZ32" s="1252" t="s">
        <v>1332</v>
      </c>
      <c r="BE32" s="1252">
        <v>2030</v>
      </c>
      <c r="BJ32" s="1199" t="s">
        <v>1487</v>
      </c>
      <c r="BL32" s="1199" t="s">
        <v>1487</v>
      </c>
    </row>
    <row customHeight="1" ht="11.25">
      <c r="A33" s="1205" t="s">
        <v>1602</v>
      </c>
      <c r="O33" s="1205" t="s">
        <v>1262</v>
      </c>
      <c r="AX33" s="1252" t="s">
        <v>1603</v>
      </c>
      <c r="AZ33" s="1252" t="s">
        <v>1237</v>
      </c>
      <c r="BE33" s="1252">
        <v>2031</v>
      </c>
      <c r="BJ33" s="1199" t="s">
        <v>1494</v>
      </c>
      <c r="BL33" s="1199" t="s">
        <v>1494</v>
      </c>
    </row>
    <row customHeight="1" ht="11.25">
      <c r="A34" s="1205" t="s">
        <v>1604</v>
      </c>
      <c r="O34" s="1205" t="s">
        <v>1298</v>
      </c>
      <c r="AX34" s="1252" t="s">
        <v>1605</v>
      </c>
      <c r="BE34" s="1252">
        <v>2032</v>
      </c>
      <c r="BJ34" s="1199" t="s">
        <v>1504</v>
      </c>
      <c r="BL34" s="1199" t="s">
        <v>1504</v>
      </c>
    </row>
    <row customHeight="1" ht="11.25">
      <c r="A35" s="1205" t="s">
        <v>1606</v>
      </c>
      <c r="O35" s="1205" t="s">
        <v>1330</v>
      </c>
      <c r="AX35" s="1252" t="s">
        <v>1607</v>
      </c>
      <c r="AZ35" s="1198" t="s">
        <v>1608</v>
      </c>
      <c r="BE35" s="1252">
        <v>2033</v>
      </c>
      <c r="BL35" s="1199" t="s">
        <v>1609</v>
      </c>
    </row>
    <row customHeight="1" ht="11.25">
      <c r="A36" s="2009" t="s">
        <v>1610</v>
      </c>
      <c r="D36" s="1242" t="s">
        <v>1611</v>
      </c>
      <c r="E36" s="1243" t="s">
        <v>818</v>
      </c>
      <c r="F36" s="1244" t="str">
        <f>INDEX(E37:E41,MATCH(TEMPLATE_SPHERE,F37:F41,0))</f>
        <v>теплоснабжения</v>
      </c>
      <c r="G36" s="1244" t="str">
        <f>INDEX(G37:G41,MATCH(TEMPLATE_SPHERE,F37:F41,0))</f>
        <v>теплоснабжение</v>
      </c>
      <c r="O36" s="1205" t="s">
        <v>1355</v>
      </c>
      <c r="AX36" s="1252" t="s">
        <v>1612</v>
      </c>
      <c r="AZ36" s="1252" t="s">
        <v>1237</v>
      </c>
      <c r="BE36" s="1252">
        <v>2034</v>
      </c>
      <c r="BL36" s="1199" t="s">
        <v>1613</v>
      </c>
    </row>
    <row customHeight="1" ht="11.25">
      <c r="A37" s="1205" t="s">
        <v>1614</v>
      </c>
      <c r="E37" s="537" t="s">
        <v>1615</v>
      </c>
      <c r="F37" s="1245" t="s">
        <v>818</v>
      </c>
      <c r="G37" s="537" t="s">
        <v>1616</v>
      </c>
      <c r="O37" s="1205" t="s">
        <v>1374</v>
      </c>
      <c r="AX37" s="1252" t="s">
        <v>1617</v>
      </c>
      <c r="AZ37" s="1252" t="s">
        <v>1264</v>
      </c>
      <c r="BE37" s="1252">
        <v>2035</v>
      </c>
    </row>
    <row customHeight="1" ht="11.25">
      <c r="A38" s="1205" t="s">
        <v>1618</v>
      </c>
      <c r="E38" s="537" t="s">
        <v>1619</v>
      </c>
      <c r="F38" s="1246" t="s">
        <v>864</v>
      </c>
      <c r="G38" s="537" t="s">
        <v>1620</v>
      </c>
      <c r="O38" s="1205" t="s">
        <v>1391</v>
      </c>
      <c r="AX38" s="1252" t="s">
        <v>1621</v>
      </c>
      <c r="AZ38" s="1252" t="s">
        <v>1299</v>
      </c>
      <c r="BE38" s="1252">
        <v>2036</v>
      </c>
      <c r="BH38" s="1198" t="s">
        <v>1622</v>
      </c>
      <c r="BJ38" s="1198" t="s">
        <v>1623</v>
      </c>
      <c r="BL38" s="1198" t="s">
        <v>1624</v>
      </c>
      <c r="BN38" s="1198" t="s">
        <v>1625</v>
      </c>
    </row>
    <row customHeight="1" ht="11.25">
      <c r="A39" s="1205" t="s">
        <v>1626</v>
      </c>
      <c r="E39" s="537" t="s">
        <v>1627</v>
      </c>
      <c r="F39" s="1246" t="s">
        <v>916</v>
      </c>
      <c r="G39" s="537" t="s">
        <v>1628</v>
      </c>
      <c r="O39" s="1205" t="s">
        <v>1407</v>
      </c>
      <c r="AX39" s="1252" t="s">
        <v>1629</v>
      </c>
      <c r="AZ39" s="1252" t="s">
        <v>1331</v>
      </c>
      <c r="BE39" s="1252">
        <v>2037</v>
      </c>
      <c r="BH39" s="1199" t="s">
        <v>1630</v>
      </c>
      <c r="BJ39" s="1353" t="s">
        <v>1630</v>
      </c>
      <c r="BL39" s="1353" t="s">
        <v>1630</v>
      </c>
      <c r="BN39" s="1199" t="s">
        <v>1631</v>
      </c>
    </row>
    <row customHeight="1" ht="11.25">
      <c r="A40" s="1205" t="s">
        <v>1632</v>
      </c>
      <c r="E40" s="537" t="s">
        <v>1633</v>
      </c>
      <c r="F40" s="1246" t="s">
        <v>902</v>
      </c>
      <c r="G40" s="537" t="s">
        <v>1634</v>
      </c>
      <c r="O40" s="1205" t="s">
        <v>1423</v>
      </c>
      <c r="AX40" s="1252" t="s">
        <v>1635</v>
      </c>
      <c r="BE40" s="1252">
        <v>2038</v>
      </c>
      <c r="BH40" s="1199" t="s">
        <v>1636</v>
      </c>
      <c r="BJ40" s="1353" t="s">
        <v>1047</v>
      </c>
      <c r="BL40" s="1353" t="s">
        <v>1047</v>
      </c>
      <c r="BN40" s="1199" t="s">
        <v>1081</v>
      </c>
    </row>
    <row customHeight="1" ht="11.25">
      <c r="A41" s="1205" t="s">
        <v>1637</v>
      </c>
      <c r="E41" s="537" t="s">
        <v>1638</v>
      </c>
      <c r="F41" s="1246" t="s">
        <v>1639</v>
      </c>
      <c r="G41" s="537" t="s">
        <v>1638</v>
      </c>
      <c r="O41" s="1205" t="s">
        <v>1438</v>
      </c>
      <c r="AX41" s="1252" t="s">
        <v>1640</v>
      </c>
      <c r="AZ41" s="1198" t="s">
        <v>1641</v>
      </c>
      <c r="BE41" s="1252">
        <v>2039</v>
      </c>
      <c r="BH41" s="1199" t="s">
        <v>1642</v>
      </c>
      <c r="BJ41" s="1353" t="s">
        <v>1043</v>
      </c>
      <c r="BL41" s="1353" t="s">
        <v>1043</v>
      </c>
      <c r="BN41" s="1199" t="s">
        <v>1068</v>
      </c>
    </row>
    <row customHeight="1" ht="11.25">
      <c r="A42" s="1205" t="s">
        <v>1643</v>
      </c>
      <c r="AX42" s="1252" t="s">
        <v>1644</v>
      </c>
      <c r="AZ42" s="1252" t="s">
        <v>1236</v>
      </c>
      <c r="BE42" s="1252">
        <v>2040</v>
      </c>
      <c r="BH42" s="1199" t="s">
        <v>1065</v>
      </c>
      <c r="BJ42" s="1353" t="s">
        <v>1045</v>
      </c>
      <c r="BL42" s="1353" t="s">
        <v>1045</v>
      </c>
      <c r="BN42" s="1199" t="s">
        <v>1645</v>
      </c>
    </row>
    <row customHeight="1" ht="11.25">
      <c r="A43" s="1205" t="s">
        <v>1646</v>
      </c>
      <c r="AX43" s="1252" t="s">
        <v>1647</v>
      </c>
      <c r="AZ43" s="1252" t="s">
        <v>1262</v>
      </c>
      <c r="BE43" s="1252">
        <v>2041</v>
      </c>
      <c r="BH43" s="1199" t="s">
        <v>1648</v>
      </c>
      <c r="BJ43" s="1353" t="s">
        <v>1642</v>
      </c>
      <c r="BL43" s="1353" t="s">
        <v>1642</v>
      </c>
      <c r="BN43" s="1199" t="s">
        <v>1649</v>
      </c>
    </row>
    <row customHeight="1" ht="11.25">
      <c r="A44" s="1205" t="s">
        <v>1650</v>
      </c>
      <c r="I44" s="929" t="s">
        <v>1651</v>
      </c>
      <c r="J44" s="1220" t="s">
        <v>1652</v>
      </c>
      <c r="K44" s="1220" t="s">
        <v>1653</v>
      </c>
      <c r="AX44" s="1252" t="s">
        <v>1654</v>
      </c>
      <c r="AZ44" s="1252" t="s">
        <v>1298</v>
      </c>
      <c r="BE44" s="1252">
        <v>2042</v>
      </c>
      <c r="BH44" s="1199" t="s">
        <v>1655</v>
      </c>
      <c r="BJ44" s="1353" t="s">
        <v>1065</v>
      </c>
      <c r="BL44" s="1353" t="s">
        <v>1065</v>
      </c>
      <c r="BN44" s="1199" t="s">
        <v>1656</v>
      </c>
    </row>
    <row customHeight="1" ht="11.25">
      <c r="A45" s="1205" t="s">
        <v>1657</v>
      </c>
      <c r="D45" s="1242" t="s">
        <v>1658</v>
      </c>
      <c r="E45" s="1243" t="s">
        <v>1659</v>
      </c>
      <c r="F45" s="927" t="s">
        <v>1660</v>
      </c>
      <c r="G45" s="926" t="s">
        <v>1661</v>
      </c>
      <c r="H45" s="929" t="s">
        <v>1662</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1663</v>
      </c>
      <c r="AZ45" s="1252" t="s">
        <v>1330</v>
      </c>
      <c r="BE45" s="1252">
        <v>2043</v>
      </c>
      <c r="BH45" s="1199" t="s">
        <v>1664</v>
      </c>
      <c r="BJ45" s="1353" t="s">
        <v>1059</v>
      </c>
      <c r="BL45" s="1353" t="s">
        <v>1059</v>
      </c>
      <c r="BN45" s="1199" t="s">
        <v>1665</v>
      </c>
    </row>
    <row customHeight="1" ht="11.25">
      <c r="A46" s="1205" t="s">
        <v>1666</v>
      </c>
      <c r="E46" s="537" t="s">
        <v>23</v>
      </c>
      <c r="F46" s="1245" t="s">
        <v>1667</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(теплоснабжения)</v>
      </c>
      <c r="K46" s="1883"/>
      <c r="AX46" s="1252" t="s">
        <v>1668</v>
      </c>
      <c r="AZ46" s="1252" t="s">
        <v>1355</v>
      </c>
      <c r="BE46" s="1252">
        <v>2044</v>
      </c>
      <c r="BH46" s="1199" t="s">
        <v>1068</v>
      </c>
      <c r="BJ46" s="1353" t="s">
        <v>1049</v>
      </c>
      <c r="BL46" s="1353" t="s">
        <v>1049</v>
      </c>
      <c r="BN46" s="1199" t="s">
        <v>1669</v>
      </c>
    </row>
    <row customHeight="1" ht="11.25">
      <c r="A47" s="1205" t="s">
        <v>1670</v>
      </c>
      <c r="E47" s="537" t="s">
        <v>29</v>
      </c>
      <c r="F47" s="1246" t="s">
        <v>1659</v>
      </c>
      <c r="G47" s="1248" t="str">
        <f>IF(f_year="","",IF(LEN(f_quart)=0,"",IF(f_quart="I квартал","01.01."&amp;f_year,IF(f_quart="II квартал","01.04."&amp;f_year,(IF(f_quart="III квартал","01.07."&amp;f_year,"01.10."&amp;f_year))))))</f>
        <v>01.10.2023</v>
      </c>
      <c r="H47" s="1248" t="str">
        <f>IF(f_year="","",IF(LEN(f_quart)=0,"",IF(f_quart="I квартал","31.03."&amp;f_year,IF(f_quart="II квартал","30.06."&amp;f_year,(IF(f_quart="III квартал","30.09."&amp;f_year,"31.12."&amp;f_year))))))</f>
        <v>31.12.2023</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83"/>
      <c r="AX47" s="1252" t="s">
        <v>121</v>
      </c>
      <c r="AZ47" s="1252" t="s">
        <v>1374</v>
      </c>
      <c r="BE47" s="1252">
        <v>2045</v>
      </c>
      <c r="BH47" s="1199" t="s">
        <v>1645</v>
      </c>
      <c r="BJ47" s="1353" t="s">
        <v>1051</v>
      </c>
      <c r="BL47" s="1353" t="s">
        <v>1051</v>
      </c>
      <c r="BN47" s="1199" t="s">
        <v>1671</v>
      </c>
    </row>
    <row customHeight="1" ht="11.25">
      <c r="A48" s="1205" t="s">
        <v>1672</v>
      </c>
      <c r="E48" s="537" t="s">
        <v>1673</v>
      </c>
      <c r="F48" s="1246" t="s">
        <v>1674</v>
      </c>
      <c r="G48" s="1248" t="str">
        <f>IF(f_year="","","01.01."&amp;f_year)</f>
        <v>01.01.2023</v>
      </c>
      <c r="H48" s="1248" t="str">
        <f>IF(f_year="","","31.12."&amp;f_year)</f>
        <v>31.12.2023</v>
      </c>
      <c r="I48" s="1879">
        <f>IF(f_year="",TRUE,FALSE)</f>
        <v>0</v>
      </c>
      <c r="J48" s="1882" t="s">
        <v>1675</v>
      </c>
      <c r="K48" s="1883"/>
      <c r="AX48" s="1252" t="s">
        <v>1676</v>
      </c>
      <c r="AZ48" s="1252" t="s">
        <v>1391</v>
      </c>
      <c r="BE48" s="1252">
        <v>2046</v>
      </c>
      <c r="BH48" s="1199" t="s">
        <v>1649</v>
      </c>
      <c r="BJ48" s="1353" t="s">
        <v>1053</v>
      </c>
      <c r="BL48" s="1353" t="s">
        <v>1053</v>
      </c>
      <c r="BN48" s="1199" t="s">
        <v>1677</v>
      </c>
    </row>
    <row customHeight="1" ht="11.25">
      <c r="A49" s="1205" t="s">
        <v>1678</v>
      </c>
      <c r="E49" s="537" t="s">
        <v>1679</v>
      </c>
      <c r="F49" s="1246" t="s">
        <v>1680</v>
      </c>
      <c r="G49" s="1248" t="str">
        <f>IF(f_year="","","01.01."&amp;f_year)</f>
        <v>01.01.2023</v>
      </c>
      <c r="H49" s="1248" t="str">
        <f>IF(f_year="","","31.12."&amp;f_year)</f>
        <v>31.12.2023</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83"/>
      <c r="AX49" s="1252" t="s">
        <v>1681</v>
      </c>
      <c r="AZ49" s="1252" t="s">
        <v>1407</v>
      </c>
      <c r="BE49" s="1252">
        <v>2047</v>
      </c>
      <c r="BH49" s="1199" t="s">
        <v>1069</v>
      </c>
      <c r="BJ49" s="1353" t="s">
        <v>1055</v>
      </c>
      <c r="BL49" s="1353" t="s">
        <v>1055</v>
      </c>
    </row>
    <row customHeight="1" ht="11.25">
      <c r="A50" s="1205" t="s">
        <v>1682</v>
      </c>
      <c r="E50" s="537" t="s">
        <v>1683</v>
      </c>
      <c r="F50" s="1246" t="s">
        <v>1039</v>
      </c>
      <c r="G50" s="1248" t="str">
        <f>IF(f_year="","","01.01."&amp;f_year)</f>
        <v>01.01.2023</v>
      </c>
      <c r="H50" s="1248" t="str">
        <f>IF(f_year="","","31.12."&amp;f_year)</f>
        <v>31.12.2023</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83"/>
      <c r="AX50" s="1252" t="s">
        <v>1684</v>
      </c>
      <c r="AZ50" s="1252" t="s">
        <v>1423</v>
      </c>
      <c r="BE50" s="1252">
        <v>2048</v>
      </c>
      <c r="BH50" s="1199" t="s">
        <v>1656</v>
      </c>
      <c r="BJ50" s="1353" t="s">
        <v>1057</v>
      </c>
      <c r="BL50" s="1353" t="s">
        <v>1057</v>
      </c>
    </row>
    <row customHeight="1" ht="11.25">
      <c r="A51" s="1205" t="s">
        <v>1685</v>
      </c>
      <c r="E51" s="537" t="s">
        <v>1686</v>
      </c>
      <c r="F51" s="1246" t="s">
        <v>1687</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1688</v>
      </c>
      <c r="AZ51" s="1252" t="s">
        <v>1438</v>
      </c>
      <c r="BE51" s="1252">
        <v>2049</v>
      </c>
      <c r="BH51" s="1199" t="s">
        <v>1665</v>
      </c>
      <c r="BJ51" s="1353" t="s">
        <v>1689</v>
      </c>
      <c r="BL51" s="1353" t="s">
        <v>1689</v>
      </c>
    </row>
    <row customHeight="1" ht="11.25">
      <c r="A52" s="1205" t="s">
        <v>1690</v>
      </c>
      <c r="E52" s="537" t="s">
        <v>1691</v>
      </c>
      <c r="F52" s="1246" t="s">
        <v>1692</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теплоснабжения (цены и тарифы)</v>
      </c>
      <c r="K52" s="1883"/>
      <c r="AX52" s="1252" t="s">
        <v>1693</v>
      </c>
      <c r="AZ52" s="1252" t="s">
        <v>1237</v>
      </c>
      <c r="BE52" s="1252">
        <v>2050</v>
      </c>
      <c r="BH52" s="1199" t="s">
        <v>1669</v>
      </c>
      <c r="BJ52" s="1353" t="s">
        <v>1068</v>
      </c>
      <c r="BL52" s="1353" t="s">
        <v>1068</v>
      </c>
    </row>
    <row customHeight="1" ht="11.25">
      <c r="A53" s="1205" t="s">
        <v>1694</v>
      </c>
      <c r="E53" s="537" t="s">
        <v>1695</v>
      </c>
      <c r="F53" s="1246" t="s">
        <v>1695</v>
      </c>
      <c r="G53" s="1248" t="str">
        <f>IF(f_year="","","01.01."&amp;f_year)</f>
        <v>01.01.2023</v>
      </c>
      <c r="H53" s="1248" t="str">
        <f>IF(f_year="","","31.12."&amp;f_year)</f>
        <v>31.12.2023</v>
      </c>
      <c r="I53" s="1879">
        <f>IF(AND(f_year="",TITLE_DATE_FIL=""),TRUE,FALSE)</f>
        <v>0</v>
      </c>
      <c r="J53" s="1882" t="s">
        <v>1696</v>
      </c>
      <c r="K53" s="1883"/>
      <c r="AX53" s="1252" t="s">
        <v>1697</v>
      </c>
      <c r="BE53" s="1252">
        <v>2051</v>
      </c>
      <c r="BH53" s="1199" t="s">
        <v>1671</v>
      </c>
      <c r="BJ53" s="1353" t="s">
        <v>1645</v>
      </c>
      <c r="BL53" s="1353" t="s">
        <v>1645</v>
      </c>
    </row>
    <row customHeight="1" ht="11.25">
      <c r="A54" s="1205" t="s">
        <v>1698</v>
      </c>
      <c r="AX54" s="1252" t="s">
        <v>1699</v>
      </c>
      <c r="AZ54" s="1198" t="s">
        <v>1700</v>
      </c>
      <c r="BE54" s="1252">
        <v>2052</v>
      </c>
      <c r="BH54" s="1199" t="s">
        <v>1677</v>
      </c>
      <c r="BJ54" s="1353" t="s">
        <v>1649</v>
      </c>
      <c r="BL54" s="1353" t="s">
        <v>1649</v>
      </c>
    </row>
    <row customHeight="1" ht="11.25">
      <c r="A55" s="1205" t="s">
        <v>1701</v>
      </c>
      <c r="AX55" s="1252" t="s">
        <v>1702</v>
      </c>
      <c r="AZ55" s="1252" t="s">
        <v>1239</v>
      </c>
      <c r="BE55" s="1252">
        <v>2053</v>
      </c>
      <c r="BH55" s="1201" t="s">
        <v>18</v>
      </c>
      <c r="BJ55" s="1353" t="s">
        <v>1069</v>
      </c>
      <c r="BL55" s="1353" t="s">
        <v>1069</v>
      </c>
    </row>
    <row customHeight="1" ht="11.25">
      <c r="A56" s="1205" t="s">
        <v>1703</v>
      </c>
      <c r="D56" s="1250" t="s">
        <v>1704</v>
      </c>
      <c r="E56" s="1226">
        <v>63</v>
      </c>
      <c r="F56" s="1205" t="s">
        <v>1705</v>
      </c>
      <c r="AX56" s="1252" t="s">
        <v>1706</v>
      </c>
      <c r="AZ56" s="1252" t="s">
        <v>1266</v>
      </c>
      <c r="BE56" s="1252">
        <v>2054</v>
      </c>
      <c r="BH56" s="1201" t="s">
        <v>18</v>
      </c>
      <c r="BJ56" s="1353" t="s">
        <v>1656</v>
      </c>
      <c r="BL56" s="1353" t="s">
        <v>1656</v>
      </c>
    </row>
    <row customHeight="1" ht="11.25">
      <c r="A57" s="1205" t="s">
        <v>1707</v>
      </c>
      <c r="D57" s="1250" t="s">
        <v>1708</v>
      </c>
      <c r="E57" s="1226">
        <v>79</v>
      </c>
      <c r="F57" s="1205" t="s">
        <v>1705</v>
      </c>
      <c r="AX57" s="1252" t="s">
        <v>1709</v>
      </c>
      <c r="AZ57" s="1252" t="s">
        <v>1301</v>
      </c>
      <c r="BE57" s="1252">
        <v>2055</v>
      </c>
      <c r="BJ57" s="1353" t="s">
        <v>1665</v>
      </c>
      <c r="BL57" s="1353" t="s">
        <v>1665</v>
      </c>
    </row>
    <row customHeight="1" ht="11.25">
      <c r="A58" s="1205" t="s">
        <v>1710</v>
      </c>
      <c r="D58" s="1250" t="s">
        <v>1711</v>
      </c>
      <c r="E58" s="1226">
        <v>44</v>
      </c>
      <c r="F58" s="1205" t="s">
        <v>1705</v>
      </c>
      <c r="AX58" s="1252" t="s">
        <v>1712</v>
      </c>
      <c r="BE58" s="1252">
        <v>2056</v>
      </c>
      <c r="BJ58" s="1353" t="s">
        <v>1669</v>
      </c>
      <c r="BL58" s="1353" t="s">
        <v>1669</v>
      </c>
    </row>
    <row customHeight="1" ht="11.25">
      <c r="A59" s="1205" t="s">
        <v>1713</v>
      </c>
      <c r="D59" s="1250" t="s">
        <v>212</v>
      </c>
      <c r="E59" s="1226" t="s">
        <v>1535</v>
      </c>
      <c r="F59" s="1205" t="s">
        <v>1714</v>
      </c>
      <c r="AX59" s="1252" t="s">
        <v>1715</v>
      </c>
      <c r="AZ59" s="1198" t="s">
        <v>1716</v>
      </c>
      <c r="BE59" s="1252">
        <v>2057</v>
      </c>
      <c r="BJ59" s="1353" t="s">
        <v>1671</v>
      </c>
      <c r="BL59" s="1353" t="s">
        <v>1671</v>
      </c>
    </row>
    <row customHeight="1" ht="11.25">
      <c r="A60" s="1205" t="s">
        <v>1717</v>
      </c>
      <c r="D60" s="1250" t="s">
        <v>1718</v>
      </c>
      <c r="E60" s="1226" t="s">
        <v>1535</v>
      </c>
      <c r="F60" s="1205" t="s">
        <v>1714</v>
      </c>
      <c r="AX60" s="1252" t="s">
        <v>1719</v>
      </c>
      <c r="AZ60" s="1252" t="s">
        <v>1240</v>
      </c>
      <c r="BE60" s="1252">
        <v>2058</v>
      </c>
      <c r="BJ60" s="1353" t="s">
        <v>1677</v>
      </c>
      <c r="BL60" s="1353" t="s">
        <v>1677</v>
      </c>
    </row>
    <row customHeight="1" ht="11.25">
      <c r="A61" s="1205" t="s">
        <v>1720</v>
      </c>
      <c r="D61" s="1250" t="s">
        <v>1721</v>
      </c>
      <c r="E61" s="1226">
        <v>26</v>
      </c>
      <c r="F61" s="1205" t="s">
        <v>1714</v>
      </c>
      <c r="AX61" s="1252" t="s">
        <v>1722</v>
      </c>
      <c r="AZ61" s="1252" t="s">
        <v>1267</v>
      </c>
      <c r="BE61" s="1252">
        <v>2059</v>
      </c>
      <c r="BL61" s="1353" t="s">
        <v>1061</v>
      </c>
    </row>
    <row customHeight="1" ht="11.25">
      <c r="A62" s="1205" t="s">
        <v>1723</v>
      </c>
      <c r="D62" s="1250" t="s">
        <v>211</v>
      </c>
      <c r="E62" s="1226">
        <v>30</v>
      </c>
      <c r="F62" s="1205" t="s">
        <v>1714</v>
      </c>
      <c r="AZ62" s="1252" t="s">
        <v>1302</v>
      </c>
      <c r="BE62" s="1252">
        <v>2060</v>
      </c>
      <c r="BL62" s="1353" t="s">
        <v>1063</v>
      </c>
    </row>
    <row customHeight="1" ht="11.25">
      <c r="A63" s="1205" t="s">
        <v>1724</v>
      </c>
      <c r="D63" s="1250" t="s">
        <v>1725</v>
      </c>
      <c r="E63" s="1226">
        <v>30</v>
      </c>
      <c r="F63" s="1205" t="s">
        <v>1714</v>
      </c>
      <c r="AZ63" s="1252" t="s">
        <v>1333</v>
      </c>
      <c r="BE63" s="1252">
        <v>2061</v>
      </c>
    </row>
    <row customHeight="1" ht="11.25">
      <c r="A64" s="1205" t="s">
        <v>1726</v>
      </c>
      <c r="D64" s="1250" t="s">
        <v>1727</v>
      </c>
      <c r="E64" s="1226">
        <v>30</v>
      </c>
      <c r="F64" s="1205" t="s">
        <v>1714</v>
      </c>
      <c r="AZ64" s="1252" t="s">
        <v>1356</v>
      </c>
      <c r="BE64" s="1252">
        <v>2062</v>
      </c>
    </row>
    <row customHeight="1" ht="11.25">
      <c r="A65" s="1205" t="s">
        <v>1728</v>
      </c>
      <c r="D65" s="1205"/>
      <c r="BE65" s="1252">
        <v>2063</v>
      </c>
    </row>
    <row customHeight="1" ht="11.25">
      <c r="A66" s="1205" t="s">
        <v>1729</v>
      </c>
      <c r="AZ66" s="1198" t="s">
        <v>1730</v>
      </c>
      <c r="BE66" s="1252">
        <v>2064</v>
      </c>
    </row>
    <row customHeight="1" ht="11.25">
      <c r="A67" s="1205" t="s">
        <v>1731</v>
      </c>
      <c r="AZ67" s="1252" t="s">
        <v>1241</v>
      </c>
      <c r="BE67" s="1252">
        <v>2065</v>
      </c>
    </row>
    <row customHeight="1" ht="11.25">
      <c r="A68" s="1205" t="s">
        <v>1732</v>
      </c>
      <c r="AZ68" s="1252" t="s">
        <v>1268</v>
      </c>
      <c r="BE68" s="1252">
        <v>2066</v>
      </c>
      <c r="BH68" s="1198" t="s">
        <v>1733</v>
      </c>
      <c r="BJ68" s="1198" t="s">
        <v>1734</v>
      </c>
      <c r="BL68" s="1198" t="s">
        <v>1735</v>
      </c>
      <c r="BN68" s="1198" t="s">
        <v>1736</v>
      </c>
    </row>
    <row customHeight="1" ht="11.25">
      <c r="A69" s="1205" t="s">
        <v>1737</v>
      </c>
      <c r="AZ69" s="1252" t="s">
        <v>1303</v>
      </c>
      <c r="BE69" s="1252">
        <v>2067</v>
      </c>
      <c r="BH69" s="1199" t="s">
        <v>1738</v>
      </c>
      <c r="BI69" s="1249" t="s">
        <v>165</v>
      </c>
      <c r="BJ69" s="1199" t="s">
        <v>1739</v>
      </c>
      <c r="BK69" s="1249" t="s">
        <v>165</v>
      </c>
      <c r="BL69" s="1199" t="s">
        <v>1740</v>
      </c>
      <c r="BN69" s="1199" t="s">
        <v>1741</v>
      </c>
    </row>
    <row customHeight="1" ht="11.25">
      <c r="A70" s="1205" t="s">
        <v>1742</v>
      </c>
      <c r="AZ70" s="1252" t="s">
        <v>1334</v>
      </c>
      <c r="BE70" s="1252">
        <v>2068</v>
      </c>
      <c r="BH70" s="1199" t="s">
        <v>1743</v>
      </c>
      <c r="BJ70" s="1199" t="s">
        <v>1744</v>
      </c>
      <c r="BL70" s="1199" t="s">
        <v>1745</v>
      </c>
      <c r="BN70" s="1199" t="s">
        <v>1746</v>
      </c>
    </row>
    <row customHeight="1" ht="11.25">
      <c r="A71" s="1205" t="s">
        <v>1747</v>
      </c>
      <c r="AZ71" s="1252" t="s">
        <v>1336</v>
      </c>
      <c r="BE71" s="1252">
        <v>2069</v>
      </c>
      <c r="BH71" s="1199" t="s">
        <v>1748</v>
      </c>
      <c r="BI71" s="1249" t="s">
        <v>87</v>
      </c>
      <c r="BJ71" s="1199" t="s">
        <v>1749</v>
      </c>
      <c r="BK71" s="1249" t="s">
        <v>87</v>
      </c>
      <c r="BL71" s="1199" t="s">
        <v>1750</v>
      </c>
      <c r="BN71" s="1199" t="s">
        <v>1751</v>
      </c>
    </row>
    <row customHeight="1" ht="11.25">
      <c r="A72" s="1205" t="s">
        <v>1752</v>
      </c>
      <c r="AZ72" s="1252" t="s">
        <v>54</v>
      </c>
      <c r="BE72" s="1252">
        <v>2070</v>
      </c>
      <c r="BH72" s="1199" t="s">
        <v>1753</v>
      </c>
      <c r="BJ72" s="1199" t="s">
        <v>1753</v>
      </c>
      <c r="BL72" s="1199" t="s">
        <v>1753</v>
      </c>
      <c r="BN72" s="1199" t="s">
        <v>1754</v>
      </c>
    </row>
    <row customHeight="1" ht="11.25">
      <c r="A73" s="1205" t="s">
        <v>1755</v>
      </c>
      <c r="BH73" s="1199" t="s">
        <v>1756</v>
      </c>
      <c r="BI73" s="1249" t="s">
        <v>119</v>
      </c>
      <c r="BJ73" s="1199" t="s">
        <v>1757</v>
      </c>
      <c r="BK73" s="1249" t="s">
        <v>119</v>
      </c>
      <c r="BL73" s="1199" t="s">
        <v>1758</v>
      </c>
      <c r="BN73" s="1199" t="s">
        <v>1759</v>
      </c>
    </row>
    <row customHeight="1" ht="11.25">
      <c r="A74" s="1205" t="s">
        <v>1760</v>
      </c>
      <c r="BH74" s="1199" t="s">
        <v>1761</v>
      </c>
      <c r="BJ74" s="1199" t="s">
        <v>1762</v>
      </c>
      <c r="BL74" s="1199" t="s">
        <v>1763</v>
      </c>
      <c r="BN74" s="1199" t="s">
        <v>1764</v>
      </c>
    </row>
    <row customHeight="1" ht="11.25">
      <c r="A75" s="1205" t="s">
        <v>1765</v>
      </c>
      <c r="AZ75" s="1198" t="s">
        <v>1766</v>
      </c>
      <c r="BH75" s="1199" t="s">
        <v>1767</v>
      </c>
      <c r="BJ75" s="1199" t="s">
        <v>1767</v>
      </c>
      <c r="BL75" s="1199" t="s">
        <v>1767</v>
      </c>
    </row>
    <row customHeight="1" ht="11.25">
      <c r="A76" s="1205" t="s">
        <v>1768</v>
      </c>
      <c r="AZ76" s="1252" t="s">
        <v>1250</v>
      </c>
      <c r="BH76" s="1199" t="s">
        <v>1769</v>
      </c>
      <c r="BJ76" s="1199" t="s">
        <v>1770</v>
      </c>
      <c r="BL76" s="1199" t="s">
        <v>1771</v>
      </c>
    </row>
    <row customHeight="1" ht="11.25">
      <c r="A77" s="1205" t="s">
        <v>1772</v>
      </c>
      <c r="AZ77" s="1252" t="s">
        <v>1278</v>
      </c>
    </row>
    <row customHeight="1" ht="11.25">
      <c r="A78" s="1205" t="s">
        <v>1773</v>
      </c>
      <c r="AZ78" s="1252" t="s">
        <v>1310</v>
      </c>
    </row>
    <row customHeight="1" ht="11.25">
      <c r="A79" s="1205" t="s">
        <v>1774</v>
      </c>
      <c r="AZ79" s="1252" t="s">
        <v>1340</v>
      </c>
      <c r="BH79" s="1198" t="s">
        <v>1775</v>
      </c>
      <c r="BJ79" s="1198" t="s">
        <v>1776</v>
      </c>
      <c r="BL79" s="1198" t="s">
        <v>1777</v>
      </c>
    </row>
    <row customHeight="1" ht="11.25">
      <c r="A80" s="1205" t="s">
        <v>1778</v>
      </c>
      <c r="AZ80" s="1252" t="s">
        <v>1361</v>
      </c>
      <c r="BH80" s="1199" t="s">
        <v>1779</v>
      </c>
      <c r="BJ80" s="1199" t="s">
        <v>1780</v>
      </c>
      <c r="BL80" s="1199" t="s">
        <v>1781</v>
      </c>
    </row>
    <row customHeight="1" ht="11.25">
      <c r="A81" s="1205" t="s">
        <v>1782</v>
      </c>
      <c r="AZ81" s="1252" t="s">
        <v>1378</v>
      </c>
      <c r="BH81" s="1199" t="s">
        <v>1783</v>
      </c>
      <c r="BJ81" s="1199" t="s">
        <v>1784</v>
      </c>
      <c r="BL81" s="1199" t="s">
        <v>1785</v>
      </c>
    </row>
    <row customHeight="1" ht="11.25">
      <c r="A82" s="1205" t="s">
        <v>1786</v>
      </c>
      <c r="AZ82" s="1252" t="s">
        <v>1393</v>
      </c>
      <c r="BH82" s="1199" t="s">
        <v>1787</v>
      </c>
      <c r="BJ82" s="1199" t="s">
        <v>1788</v>
      </c>
      <c r="BL82" s="1199" t="s">
        <v>1789</v>
      </c>
    </row>
    <row customHeight="1" ht="11.25">
      <c r="A83" s="1205" t="s">
        <v>14</v>
      </c>
      <c r="BH83" s="1199" t="s">
        <v>1790</v>
      </c>
      <c r="BJ83" s="1199" t="s">
        <v>1791</v>
      </c>
      <c r="BL83" s="1199" t="s">
        <v>1792</v>
      </c>
    </row>
    <row customHeight="1" ht="11.25">
      <c r="A84" s="1205" t="s">
        <v>1793</v>
      </c>
      <c r="AZ84" s="1198" t="s">
        <v>1794</v>
      </c>
    </row>
    <row customHeight="1" ht="11.25">
      <c r="A85" s="2009" t="s">
        <v>1795</v>
      </c>
      <c r="AZ85" s="1252" t="s">
        <v>1796</v>
      </c>
    </row>
    <row customHeight="1" ht="11.25">
      <c r="A86" s="1205" t="s">
        <v>1797</v>
      </c>
      <c r="AZ86" s="1252" t="s">
        <v>1798</v>
      </c>
      <c r="BH86" s="1198" t="s">
        <v>1799</v>
      </c>
      <c r="BJ86" s="1198" t="s">
        <v>1800</v>
      </c>
      <c r="BL86" s="1198" t="s">
        <v>1801</v>
      </c>
    </row>
    <row customHeight="1" ht="11.25">
      <c r="A87" s="1205" t="s">
        <v>1802</v>
      </c>
      <c r="AZ87" s="1252" t="s">
        <v>1803</v>
      </c>
      <c r="BH87" s="1199" t="s">
        <v>1804</v>
      </c>
      <c r="BJ87" s="1199" t="s">
        <v>1805</v>
      </c>
      <c r="BL87" s="1199" t="s">
        <v>1806</v>
      </c>
    </row>
    <row customHeight="1" ht="11.25">
      <c r="A88" s="1205" t="s">
        <v>1807</v>
      </c>
      <c r="AZ88" s="1743"/>
      <c r="BH88" s="1199" t="s">
        <v>1808</v>
      </c>
      <c r="BJ88" s="1199" t="s">
        <v>1809</v>
      </c>
      <c r="BL88" s="1199" t="s">
        <v>1810</v>
      </c>
    </row>
    <row customHeight="1" ht="11.25">
      <c r="A89" s="1205" t="s">
        <v>1811</v>
      </c>
      <c r="AZ89" s="1198" t="s">
        <v>1812</v>
      </c>
    </row>
    <row customHeight="1" ht="11.25">
      <c r="A90" s="1205" t="s">
        <v>1813</v>
      </c>
      <c r="AZ90" s="1252" t="s">
        <v>1039</v>
      </c>
    </row>
    <row customHeight="1" ht="11.25">
      <c r="A91" s="1205" t="s">
        <v>1814</v>
      </c>
      <c r="AZ91" s="1252" t="s">
        <v>1075</v>
      </c>
      <c r="BH91" s="1198" t="s">
        <v>1815</v>
      </c>
      <c r="BJ91" s="1198" t="s">
        <v>1816</v>
      </c>
      <c r="BL91" s="1198" t="s">
        <v>1817</v>
      </c>
    </row>
    <row customHeight="1" ht="11.25">
      <c r="AZ92" s="1252" t="s">
        <v>1818</v>
      </c>
      <c r="BH92" s="1199" t="s">
        <v>1819</v>
      </c>
      <c r="BJ92" s="1199" t="s">
        <v>1820</v>
      </c>
      <c r="BL92" s="1199" t="s">
        <v>1821</v>
      </c>
    </row>
    <row customHeight="1" ht="11.25">
      <c r="AZ93" s="1252" t="s">
        <v>1822</v>
      </c>
      <c r="BH93" s="1199" t="s">
        <v>1823</v>
      </c>
      <c r="BJ93" s="1199" t="s">
        <v>1824</v>
      </c>
      <c r="BL93" s="1199" t="s">
        <v>1825</v>
      </c>
    </row>
    <row customHeight="1" ht="11.25">
      <c r="AZ94" s="1252" t="s">
        <v>1826</v>
      </c>
    </row>
    <row r="96" customHeight="1" ht="11.25">
      <c r="AZ96" s="1198" t="s">
        <v>1827</v>
      </c>
      <c r="BH96" s="1198" t="s">
        <v>1828</v>
      </c>
      <c r="BJ96" s="1198" t="s">
        <v>1829</v>
      </c>
      <c r="BL96" s="1198" t="s">
        <v>1830</v>
      </c>
      <c r="BN96" s="1198" t="s">
        <v>1831</v>
      </c>
    </row>
    <row customHeight="1" ht="11.25">
      <c r="AZ97" s="2040" t="s">
        <v>1832</v>
      </c>
      <c r="BA97" s="2041" t="s">
        <v>1833</v>
      </c>
      <c r="BH97" s="1199" t="s">
        <v>1834</v>
      </c>
      <c r="BJ97" s="1199" t="s">
        <v>1835</v>
      </c>
      <c r="BL97" s="1199" t="s">
        <v>1836</v>
      </c>
      <c r="BN97" s="1199" t="s">
        <v>1837</v>
      </c>
    </row>
    <row customHeight="1" ht="11.25">
      <c r="AZ98" s="2040" t="s">
        <v>1838</v>
      </c>
      <c r="BA98" s="2041" t="s">
        <v>1839</v>
      </c>
      <c r="BH98" s="1199" t="s">
        <v>1840</v>
      </c>
      <c r="BJ98" s="1199" t="s">
        <v>1841</v>
      </c>
      <c r="BL98" s="1199" t="s">
        <v>1842</v>
      </c>
      <c r="BN98" s="1199" t="s">
        <v>1843</v>
      </c>
    </row>
    <row customHeight="1" ht="22.5">
      <c r="AZ99" s="2040" t="s">
        <v>1844</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1845</v>
      </c>
      <c r="BJ99" s="1199" t="s">
        <v>1846</v>
      </c>
      <c r="BL99" s="1199" t="s">
        <v>1847</v>
      </c>
      <c r="BN99" s="1199" t="s">
        <v>1848</v>
      </c>
    </row>
    <row customHeight="1" ht="22.5">
      <c r="AZ100" s="2040" t="s">
        <v>1849</v>
      </c>
      <c r="BA100"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9" t="s">
        <v>1438</v>
      </c>
      <c r="BL100" s="1199" t="s">
        <v>1438</v>
      </c>
      <c r="BN100" s="1199" t="s">
        <v>1850</v>
      </c>
    </row>
    <row customHeight="1" ht="22.5">
      <c r="AZ101" s="2040" t="s">
        <v>1851</v>
      </c>
      <c r="BA101" s="2041" t="s">
        <v>1852</v>
      </c>
      <c r="BN101" s="1199" t="s">
        <v>1853</v>
      </c>
    </row>
    <row customHeight="1" ht="22.5">
      <c r="AZ102" s="2040" t="s">
        <v>1854</v>
      </c>
      <c r="BA102"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9" t="s">
        <v>1855</v>
      </c>
    </row>
    <row customHeight="1" ht="11.25">
      <c r="AZ103" s="2040" t="s">
        <v>1856</v>
      </c>
      <c r="BA103" s="2041" t="s">
        <v>1857</v>
      </c>
      <c r="BN103" s="1199" t="s">
        <v>1858</v>
      </c>
    </row>
    <row customHeight="1" ht="11.25">
      <c r="BN104" s="1199" t="s">
        <v>1859</v>
      </c>
    </row>
    <row customHeight="1" ht="11.25">
      <c r="AZ105" s="1829" t="s">
        <v>1860</v>
      </c>
    </row>
    <row customHeight="1" ht="11.25">
      <c r="AZ106" s="1252" t="s">
        <v>1861</v>
      </c>
    </row>
    <row customHeight="1" ht="11.25">
      <c r="AZ107" s="1252" t="s">
        <v>1862</v>
      </c>
      <c r="BH107" s="1198" t="s">
        <v>1863</v>
      </c>
      <c r="BJ107" s="1198" t="s">
        <v>1864</v>
      </c>
      <c r="BL107" s="1198" t="s">
        <v>1865</v>
      </c>
      <c r="BN107" s="1198" t="s">
        <v>1866</v>
      </c>
    </row>
    <row customHeight="1" ht="11.25">
      <c r="AZ108" s="1252" t="s">
        <v>654</v>
      </c>
      <c r="BH108" s="1199" t="s">
        <v>1867</v>
      </c>
      <c r="BJ108" s="1199" t="s">
        <v>1868</v>
      </c>
      <c r="BL108" s="1199" t="s">
        <v>1523</v>
      </c>
      <c r="BN108" s="1199" t="s">
        <v>1869</v>
      </c>
    </row>
    <row customHeight="1" ht="11.25">
      <c r="BH109" s="1199" t="s">
        <v>1870</v>
      </c>
    </row>
    <row customHeight="1" ht="11.25">
      <c r="AZ110" s="1829" t="s">
        <v>1871</v>
      </c>
      <c r="BH110" s="1199" t="s">
        <v>1870</v>
      </c>
    </row>
    <row customHeight="1" ht="11.25">
      <c r="AZ111" s="2040" t="s">
        <v>1832</v>
      </c>
      <c r="BA111" s="2041" t="s">
        <v>1833</v>
      </c>
    </row>
    <row customHeight="1" ht="11.25">
      <c r="AZ112" s="2040" t="s">
        <v>1838</v>
      </c>
      <c r="BA112" s="2041" t="s">
        <v>1839</v>
      </c>
    </row>
    <row customHeight="1" ht="22.5">
      <c r="AZ113" s="2040" t="s">
        <v>1844</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1849</v>
      </c>
      <c r="BA114"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98" t="s">
        <v>1872</v>
      </c>
    </row>
    <row customHeight="1" ht="22.5">
      <c r="AZ115" s="2040" t="s">
        <v>1854</v>
      </c>
      <c r="BA115"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9" t="s">
        <v>1237</v>
      </c>
    </row>
    <row customHeight="1" ht="11.25">
      <c r="AZ116" s="2040" t="s">
        <v>1856</v>
      </c>
      <c r="BA116" s="2041" t="s">
        <v>1857</v>
      </c>
      <c r="BH116" s="1199" t="s">
        <v>1264</v>
      </c>
    </row>
    <row customHeight="1" ht="11.25">
      <c r="BH117" s="1199" t="s">
        <v>1299</v>
      </c>
    </row>
    <row customHeight="1" ht="11.25">
      <c r="BH118" s="1199" t="s">
        <v>1331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D697B-86C2-D77E-78B8-41E1A533667E}" mc:Ignorable="x14ac xr xr2 xr3">
  <dimension ref="A1:I24"/>
  <sheetViews>
    <sheetView topLeftCell="C4" showGridLines="0" zoomScale="90" workbookViewId="0">
      <selection activeCell="A1" sqref="A1"/>
    </sheetView>
  </sheetViews>
  <sheetFormatPr defaultColWidth="9.140625" customHeight="1" defaultRowHeight="11.25"/>
  <cols>
    <col min="1" max="2" style="11392" width="15.00390625" hidden="1" customWidth="1"/>
    <col min="3" max="3" style="11439" width="3.7109375" customWidth="1"/>
    <col min="4" max="4" style="11440" width="6.8515625" customWidth="1"/>
    <col min="5" max="5" style="11439" width="52.28125" customWidth="1"/>
    <col min="6" max="6" style="11439" width="48.8515625" customWidth="1"/>
    <col min="7" max="7" style="11439" width="93.421875" customWidth="1"/>
    <col min="8" max="8" style="11439" width="9.140625"/>
    <col min="9" max="9" style="11439" width="65.00390625" customWidth="1"/>
  </cols>
  <sheetData>
    <row customHeight="1" ht="11.25" hidden="1">
      <c r="A1" s="631" t="s">
        <v>377</v>
      </c>
    </row>
    <row customHeight="1" ht="22.5" hidden="1">
      <c r="A2" s="632"/>
      <c r="B2" s="632"/>
      <c r="C2" s="1867" t="s">
        <v>101</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8"/>
      <c r="F5" s="2279"/>
      <c r="I5" s="845"/>
    </row>
    <row customHeight="1" ht="17.25">
      <c r="D6" s="2214" t="str">
        <f>IF(region_name=0,"Не определено",region_name)</f>
        <v>Хабаровский край</v>
      </c>
      <c r="E6" s="2214"/>
      <c r="F6" s="2214"/>
      <c r="I6" s="845"/>
    </row>
    <row s="11358"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378</v>
      </c>
      <c r="E9" s="2243"/>
      <c r="F9" s="2243"/>
      <c r="G9" s="2247" t="s">
        <v>379</v>
      </c>
    </row>
    <row customHeight="1" ht="11.25">
      <c r="A10" s="632"/>
      <c r="B10" s="632"/>
      <c r="C10" s="587"/>
      <c r="D10" s="1611" t="s">
        <v>85</v>
      </c>
      <c r="E10" s="1613" t="s">
        <v>380</v>
      </c>
      <c r="F10" s="1613" t="s">
        <v>381</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47" t="str">
        <f>IF(org="","",org)</f>
        <v>АО "ДГК"</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70"/>
    </row>
    <row customHeight="1" ht="18.75">
      <c r="A13" s="632"/>
      <c r="B13" s="632"/>
      <c r="C13" s="587"/>
      <c r="D13" s="1657">
        <v>2</v>
      </c>
      <c r="E13" s="1664" t="s">
        <v>1873</v>
      </c>
      <c r="F13" s="1658" t="s">
        <v>384</v>
      </c>
      <c r="G13" s="604"/>
      <c r="H13" s="1670"/>
    </row>
    <row customHeight="1" ht="18.75">
      <c r="A14" s="632"/>
      <c r="B14" s="632"/>
      <c r="C14" s="587"/>
      <c r="D14" s="1660" t="s">
        <v>718</v>
      </c>
      <c r="E14" s="1661" t="s">
        <v>1874</v>
      </c>
      <c r="F14" s="1663"/>
      <c r="G14" s="1662" t="s">
        <v>1875</v>
      </c>
      <c r="H14" s="1670"/>
    </row>
    <row customHeight="1" ht="18.75">
      <c r="A15" s="632"/>
      <c r="B15" s="632"/>
      <c r="C15" s="587"/>
      <c r="D15" s="1660" t="s">
        <v>385</v>
      </c>
      <c r="E15" s="1661" t="s">
        <v>1876</v>
      </c>
      <c r="F15" s="1663"/>
      <c r="G15" s="1662" t="s">
        <v>1877</v>
      </c>
      <c r="H15" s="1670"/>
    </row>
    <row customHeight="1" ht="22.5">
      <c r="A16" s="632"/>
      <c r="B16" s="632"/>
      <c r="C16" s="587"/>
      <c r="D16" s="1660" t="s">
        <v>388</v>
      </c>
      <c r="E16" s="1659" t="s">
        <v>1878</v>
      </c>
      <c r="F16" s="1668"/>
      <c r="G16" s="604" t="s">
        <v>1879</v>
      </c>
      <c r="H16" s="1670"/>
    </row>
    <row customHeight="1" ht="45">
      <c r="A17" s="632"/>
      <c r="B17" s="632"/>
      <c r="C17" s="587"/>
      <c r="D17" s="1657">
        <v>3</v>
      </c>
      <c r="E17" s="1664" t="s">
        <v>1880</v>
      </c>
      <c r="F17" s="1663"/>
      <c r="G17" s="604" t="s">
        <v>1881</v>
      </c>
      <c r="H17" s="1670"/>
    </row>
    <row customHeight="1" ht="45">
      <c r="A18" s="1612">
        <v>1</v>
      </c>
      <c r="B18" s="632"/>
      <c r="C18" s="1614"/>
      <c r="D18" s="1657" t="s">
        <v>88</v>
      </c>
      <c r="E18" s="1664" t="s">
        <v>1882</v>
      </c>
      <c r="F18" s="1663"/>
      <c r="G18" s="604" t="s">
        <v>1881</v>
      </c>
      <c r="H18" s="1670"/>
      <c r="I18" s="982"/>
    </row>
    <row customHeight="1" ht="22.5">
      <c r="A19" s="632"/>
      <c r="B19" s="632"/>
      <c r="C19" s="587"/>
      <c r="D19" s="1657" t="s">
        <v>119</v>
      </c>
      <c r="E19" s="1664" t="s">
        <v>1883</v>
      </c>
      <c r="F19" s="1658" t="s">
        <v>384</v>
      </c>
      <c r="G19" s="2501" t="s">
        <v>1884</v>
      </c>
      <c r="H19" s="605"/>
    </row>
    <row s="13116" customFormat="1" customHeight="1" ht="5.25" hidden="1">
      <c r="A20" s="632"/>
      <c r="B20" s="632"/>
      <c r="C20" s="1666"/>
      <c r="D20" s="1665" t="s">
        <v>1137</v>
      </c>
      <c r="E20" s="1145"/>
      <c r="F20" s="1144"/>
      <c r="G20" s="2502"/>
    </row>
    <row customHeight="1" ht="15">
      <c r="A21" s="632"/>
      <c r="B21" s="632"/>
      <c r="C21" s="587"/>
      <c r="D21" s="597"/>
      <c r="E21" s="545" t="s">
        <v>419</v>
      </c>
      <c r="F21" s="599"/>
      <c r="G21" s="2503"/>
      <c r="H21" s="1670"/>
    </row>
    <row s="11392" customFormat="1" customHeight="1" ht="24.75">
      <c r="A22" s="632"/>
      <c r="B22" s="632"/>
      <c r="C22" s="632"/>
      <c r="D22" s="1657" t="s">
        <v>89</v>
      </c>
      <c r="E22" s="604" t="s">
        <v>1885</v>
      </c>
      <c r="F22" s="1663"/>
      <c r="G22" s="604" t="s">
        <v>1886</v>
      </c>
      <c r="H22" s="1669"/>
    </row>
    <row s="11392" customFormat="1" customHeight="1" ht="18.75">
      <c r="A23" s="632"/>
      <c r="B23" s="632"/>
      <c r="C23" s="632"/>
      <c r="D23" s="1657" t="s">
        <v>90</v>
      </c>
      <c r="E23" s="1664" t="s">
        <v>1887</v>
      </c>
      <c r="F23" s="1668"/>
      <c r="G23" s="604" t="s">
        <v>1888</v>
      </c>
      <c r="H23" s="1669"/>
    </row>
    <row s="11392" customFormat="1" customHeight="1" ht="144" hidden="1">
      <c r="A24" s="632"/>
      <c r="B24" s="632"/>
      <c r="C24" s="632"/>
      <c r="D24" s="1657" t="s">
        <v>140</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69"/>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7176E-762C-1FB4-56DD-07D7189732C2}" mc:Ignorable="x14ac xr xr2 xr3">
  <dimension ref="A1:IT23"/>
  <sheetViews>
    <sheetView topLeftCell="D4" showGridLines="0" zoomScale="90" workbookViewId="0">
      <selection activeCell="A1" sqref="A1"/>
    </sheetView>
  </sheetViews>
  <sheetFormatPr defaultColWidth="9.140625" customHeight="1" defaultRowHeight="14.25"/>
  <cols>
    <col min="1" max="1" style="11734" width="9.140625" hidden="1"/>
    <col min="2" max="2" style="11649" width="9.140625" hidden="1"/>
    <col min="3" max="3" style="11734" width="3.7109375" hidden="1" customWidth="1"/>
    <col min="4" max="4" style="11505" width="3.8515625" customWidth="1"/>
    <col min="5" max="5" style="11734" width="6.28125" customWidth="1"/>
    <col min="6" max="6" style="11734" width="46.7109375" customWidth="1"/>
    <col min="7" max="8" style="11734" width="16.7109375" customWidth="1"/>
    <col min="9" max="9" style="11734" width="35.28125" customWidth="1"/>
    <col min="10" max="10" style="11734" width="89.57421875" customWidth="1"/>
    <col min="11" max="11" style="13141" width="3.7109375" customWidth="1"/>
    <col min="12" max="14" style="13141" width="9.140625"/>
    <col min="15" max="15" style="11060" width="25.7109375" customWidth="1"/>
    <col min="16" max="16" style="13141" width="14.421875" customWidth="1"/>
    <col min="17" max="20" style="11061" width="9.140625"/>
    <col min="21" max="254" style="11734" width="9.140625"/>
  </cols>
  <sheetData>
    <row customHeight="1" ht="14.25" hidden="1"/>
    <row s="11007" customFormat="1" customHeight="1" ht="22.5" hidden="1">
      <c r="A2" s="961"/>
      <c r="B2" s="1292">
        <v>1</v>
      </c>
      <c r="C2" s="1292"/>
      <c r="D2" s="2064" t="s">
        <v>101</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721" customFormat="1" customHeight="1" ht="5.25" hidden="1">
      <c r="A3" s="626"/>
      <c r="D3" s="624"/>
      <c r="F3" s="377" t="s">
        <v>80</v>
      </c>
      <c r="G3" s="624" t="s">
        <v>81</v>
      </c>
      <c r="H3" s="624"/>
      <c r="I3" s="624"/>
      <c r="J3" s="357" t="s">
        <v>82</v>
      </c>
      <c r="K3" s="377" t="s">
        <v>80</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998" customFormat="1" customHeight="1" ht="14.25">
      <c r="A4" s="1287"/>
      <c r="B4" s="1292"/>
      <c r="C4" s="1287"/>
      <c r="D4" s="1632"/>
      <c r="E4" s="639"/>
      <c r="F4" s="639"/>
      <c r="G4" s="639"/>
      <c r="H4" s="639"/>
      <c r="I4" s="639"/>
      <c r="J4" s="296"/>
      <c r="K4" s="377"/>
      <c r="L4" s="630"/>
      <c r="M4" s="630"/>
      <c r="N4" s="630"/>
      <c r="O4" s="356"/>
      <c r="P4" s="630"/>
      <c r="Q4" s="355"/>
      <c r="R4" s="355"/>
      <c r="S4" s="355"/>
      <c r="T4" s="355"/>
    </row>
    <row s="10998"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40"/>
      <c r="G5" s="2140"/>
      <c r="H5" s="2140"/>
      <c r="I5" s="2140"/>
      <c r="J5" s="2140"/>
      <c r="K5" s="377"/>
      <c r="L5" s="630"/>
      <c r="M5" s="630"/>
      <c r="N5" s="630"/>
      <c r="O5" s="356"/>
      <c r="P5" s="630"/>
      <c r="Q5" s="355"/>
      <c r="R5" s="355"/>
      <c r="S5" s="355"/>
      <c r="T5" s="355"/>
    </row>
    <row s="10998" customFormat="1" customHeight="1" ht="14.25">
      <c r="A6" s="1287"/>
      <c r="B6" s="1292"/>
      <c r="C6" s="1287"/>
      <c r="D6" s="1632"/>
      <c r="E6" s="639"/>
      <c r="F6" s="297"/>
      <c r="G6" s="297"/>
      <c r="H6" s="297"/>
      <c r="I6" s="297"/>
      <c r="J6" s="298"/>
      <c r="K6" s="630"/>
      <c r="L6" s="630"/>
      <c r="M6" s="630"/>
      <c r="N6" s="630"/>
      <c r="O6" s="356"/>
      <c r="P6" s="630"/>
      <c r="Q6" s="355"/>
      <c r="R6" s="355"/>
      <c r="S6" s="355"/>
      <c r="T6" s="355"/>
    </row>
    <row s="10998" customFormat="1" customHeight="1" ht="14.25">
      <c r="A7" s="1287"/>
      <c r="B7" s="1292"/>
      <c r="C7" s="1287"/>
      <c r="D7" s="1632"/>
      <c r="E7" s="2141" t="s">
        <v>378</v>
      </c>
      <c r="F7" s="2142"/>
      <c r="G7" s="2142"/>
      <c r="H7" s="2142"/>
      <c r="I7" s="2142"/>
      <c r="J7" s="2504" t="s">
        <v>379</v>
      </c>
      <c r="K7" s="630"/>
      <c r="L7" s="630"/>
      <c r="M7" s="630"/>
      <c r="N7" s="630"/>
      <c r="O7" s="356"/>
      <c r="P7" s="630"/>
      <c r="Q7" s="355"/>
      <c r="R7" s="355"/>
      <c r="S7" s="355"/>
      <c r="T7" s="355"/>
    </row>
    <row s="10998" customFormat="1" customHeight="1" ht="20.25">
      <c r="A8" s="1287"/>
      <c r="B8" s="1292"/>
      <c r="C8" s="1287"/>
      <c r="D8" s="1632"/>
      <c r="E8" s="1685" t="s">
        <v>85</v>
      </c>
      <c r="F8" s="1677" t="s">
        <v>1889</v>
      </c>
      <c r="G8" s="1677" t="s">
        <v>45</v>
      </c>
      <c r="H8" s="1677" t="s">
        <v>47</v>
      </c>
      <c r="I8" s="1677" t="s">
        <v>1890</v>
      </c>
      <c r="J8" s="2505"/>
      <c r="K8" s="630"/>
      <c r="L8" s="630"/>
      <c r="M8" s="630"/>
      <c r="N8" s="630"/>
      <c r="O8" s="356"/>
      <c r="P8" s="630"/>
      <c r="Q8" s="355"/>
      <c r="R8" s="355"/>
      <c r="S8" s="355"/>
      <c r="T8" s="355"/>
    </row>
    <row s="11007"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1007" customFormat="1" customHeight="1" ht="15">
      <c r="A10" s="2139"/>
      <c r="B10" s="1292"/>
      <c r="C10" s="542"/>
      <c r="D10" s="931"/>
      <c r="E10" s="1678"/>
      <c r="F10" s="1637" t="s">
        <v>1891</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998"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998"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998"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1051" customFormat="1" customHeight="1" ht="10.5">
      <c r="B14" s="964"/>
      <c r="D14" s="312"/>
      <c r="K14" s="630"/>
      <c r="L14" s="630"/>
      <c r="M14" s="630"/>
      <c r="N14" s="630"/>
      <c r="O14" s="356"/>
      <c r="P14" s="630"/>
      <c r="Q14" s="355"/>
      <c r="R14" s="355"/>
      <c r="S14" s="355"/>
      <c r="T14" s="355"/>
    </row>
    <row s="11051"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1D692-CA5E-49A1-ACE8-070AD32E94F3}" mc:Ignorable="x14ac xr xr2 xr3">
  <dimension ref="A1:IV14"/>
  <sheetViews>
    <sheetView topLeftCell="D4" showGridLines="0" zoomScale="90" workbookViewId="0">
      <selection activeCell="A1" sqref="A1"/>
    </sheetView>
  </sheetViews>
  <sheetFormatPr defaultColWidth="9.140625" customHeight="1" defaultRowHeight="14.25"/>
  <cols>
    <col min="1" max="1" style="11734" width="9.140625" hidden="1"/>
    <col min="2" max="2" style="11649" width="9.140625" hidden="1"/>
    <col min="3" max="3" style="11734" width="3.7109375" hidden="1" customWidth="1"/>
    <col min="4" max="4" style="11505" width="3.8515625" customWidth="1"/>
    <col min="5" max="5" style="11734" width="6.28125" customWidth="1"/>
    <col min="6" max="6" style="11734" width="27.28125" customWidth="1"/>
    <col min="7" max="7" style="11734" width="16.7109375" customWidth="1"/>
    <col min="8" max="8" style="11734" width="12.7109375" customWidth="1"/>
    <col min="9" max="9" style="11734" width="32.140625" customWidth="1"/>
    <col min="10" max="11" style="11734" width="41.8515625" customWidth="1"/>
    <col min="12" max="12" style="11734" width="89.57421875" customWidth="1"/>
    <col min="13" max="13" style="13141" width="3.7109375" customWidth="1"/>
    <col min="14" max="16" style="13141" width="9.140625"/>
    <col min="17" max="17" style="11060" width="25.7109375" customWidth="1"/>
    <col min="18" max="18" style="13141" width="14.421875" customWidth="1"/>
    <col min="19" max="22" style="11061" width="9.140625"/>
    <col min="23" max="256" style="11734" width="9.140625"/>
  </cols>
  <sheetData>
    <row customHeight="1" ht="14.25" hidden="1"/>
    <row s="11007" customFormat="1" customHeight="1" ht="22.5" hidden="1">
      <c r="A2" s="961"/>
      <c r="B2" s="1292">
        <v>1</v>
      </c>
      <c r="C2" s="1292"/>
      <c r="D2" s="2065" t="s">
        <v>101</v>
      </c>
      <c r="E2" s="2028"/>
      <c r="F2" s="2031" t="str">
        <f>IF(ROIV_INFO_NAME="","",ROIV_INFO_NAME)</f>
        <v>АО "ДГК"</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721" customFormat="1" customHeight="1" ht="5.25" hidden="1">
      <c r="A3" s="626"/>
      <c r="D3" s="624"/>
      <c r="F3" s="377" t="s">
        <v>80</v>
      </c>
      <c r="G3" s="1872" t="s">
        <v>81</v>
      </c>
      <c r="H3" s="624"/>
      <c r="I3" s="624"/>
      <c r="J3" s="624"/>
      <c r="K3" s="624"/>
      <c r="L3" s="357" t="s">
        <v>82</v>
      </c>
      <c r="M3" s="377" t="s">
        <v>80</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998"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998"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0"/>
      <c r="G5" s="2140"/>
      <c r="H5" s="2140"/>
      <c r="I5" s="2140"/>
      <c r="J5" s="2140"/>
      <c r="K5" s="2140"/>
      <c r="L5" s="718"/>
      <c r="M5" s="377"/>
      <c r="N5" s="630"/>
      <c r="O5" s="630"/>
      <c r="P5" s="630"/>
      <c r="Q5" s="356"/>
      <c r="R5" s="630"/>
      <c r="S5" s="355"/>
      <c r="T5" s="355"/>
      <c r="U5" s="355"/>
      <c r="V5" s="355"/>
    </row>
    <row s="10998"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998" customFormat="1" customHeight="1" ht="14.25">
      <c r="A7" s="1287"/>
      <c r="B7" s="1292"/>
      <c r="C7" s="1287"/>
      <c r="D7" s="1632"/>
      <c r="E7" s="2141" t="s">
        <v>378</v>
      </c>
      <c r="F7" s="2142"/>
      <c r="G7" s="2142"/>
      <c r="H7" s="2142"/>
      <c r="I7" s="2142"/>
      <c r="J7" s="2142"/>
      <c r="K7" s="2142"/>
      <c r="L7" s="2504" t="s">
        <v>379</v>
      </c>
      <c r="M7" s="630"/>
      <c r="N7" s="630"/>
      <c r="O7" s="630"/>
      <c r="P7" s="630"/>
      <c r="Q7" s="356"/>
      <c r="R7" s="630"/>
      <c r="S7" s="355"/>
      <c r="T7" s="355"/>
      <c r="U7" s="355"/>
      <c r="V7" s="355"/>
    </row>
    <row s="10998" customFormat="1" customHeight="1" ht="64.5">
      <c r="A8" s="1287"/>
      <c r="B8" s="1292"/>
      <c r="C8" s="1287"/>
      <c r="D8" s="1632"/>
      <c r="E8" s="2508" t="s">
        <v>85</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6"/>
      <c r="M8" s="630"/>
      <c r="N8" s="630"/>
      <c r="O8" s="630"/>
      <c r="P8" s="630"/>
      <c r="Q8" s="356"/>
      <c r="R8" s="630"/>
      <c r="S8" s="355"/>
      <c r="T8" s="355"/>
      <c r="U8" s="355"/>
      <c r="V8" s="355"/>
    </row>
    <row s="10998" customFormat="1" customHeight="1" ht="27.75">
      <c r="A9" s="1287"/>
      <c r="B9" s="1292"/>
      <c r="C9" s="1287"/>
      <c r="D9" s="1632"/>
      <c r="E9" s="2509"/>
      <c r="F9" s="2509"/>
      <c r="G9" s="1674" t="s">
        <v>1892</v>
      </c>
      <c r="H9" s="1674" t="s">
        <v>1893</v>
      </c>
      <c r="I9" s="1674" t="s">
        <v>1894</v>
      </c>
      <c r="J9" s="2509"/>
      <c r="K9" s="2509"/>
      <c r="L9" s="2505"/>
      <c r="M9" s="630"/>
      <c r="N9" s="630"/>
      <c r="O9" s="630"/>
      <c r="P9" s="630"/>
      <c r="Q9" s="356"/>
      <c r="R9" s="630"/>
      <c r="S9" s="355"/>
      <c r="T9" s="355"/>
      <c r="U9" s="355"/>
      <c r="V9" s="355"/>
    </row>
    <row s="11007" customFormat="1" customHeight="1" ht="22.5">
      <c r="A10" s="2139"/>
      <c r="B10" s="1292">
        <v>1</v>
      </c>
      <c r="C10" s="1292"/>
      <c r="D10" s="930"/>
      <c r="E10" s="928">
        <v>1</v>
      </c>
      <c r="F10" s="1676" t="str">
        <f>IF(ROIV_INFO_NAME="","",ROIV_INFO_NAME)</f>
        <v>АО "ДГК"</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1007" customFormat="1" customHeight="1" ht="15">
      <c r="A11" s="2139"/>
      <c r="B11" s="1292"/>
      <c r="C11" s="542"/>
      <c r="D11" s="931"/>
      <c r="E11" s="551"/>
      <c r="F11" s="546" t="s">
        <v>1895</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998"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998"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998"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83654-C435-7BC5-E931-29D3EE5D148C}" mc:Ignorable="x14ac xr xr2 xr3">
  <dimension ref="A1:IV14"/>
  <sheetViews>
    <sheetView topLeftCell="D4" showGridLines="0" zoomScale="90" workbookViewId="0">
      <selection activeCell="A1" sqref="A1"/>
    </sheetView>
  </sheetViews>
  <sheetFormatPr defaultColWidth="9.140625" customHeight="1" defaultRowHeight="14.25"/>
  <cols>
    <col min="1" max="1" style="11775" width="9.140625" hidden="1"/>
    <col min="2" max="2" style="11760" width="9.140625" hidden="1"/>
    <col min="3" max="3" style="11775" width="3.7109375" hidden="1" customWidth="1"/>
    <col min="4" max="4" style="13169" width="3.8515625" customWidth="1"/>
    <col min="5" max="5" style="11775" width="6.28125" customWidth="1"/>
    <col min="6" max="6" style="11775" width="27.28125" customWidth="1"/>
    <col min="7" max="7" style="11775" width="16.7109375" customWidth="1"/>
    <col min="8" max="8" style="11775" width="12.7109375" customWidth="1"/>
    <col min="9" max="9" style="11775" width="32.140625" customWidth="1"/>
    <col min="10" max="11" style="11775" width="41.8515625" customWidth="1"/>
    <col min="12" max="12" style="11775" width="89.57421875" customWidth="1"/>
    <col min="13" max="13" style="13170" width="3.7109375" customWidth="1"/>
    <col min="14" max="16" style="13170" width="9.140625"/>
    <col min="17" max="17" style="13170" width="25.7109375" customWidth="1"/>
    <col min="18" max="18" style="13170" width="14.421875" customWidth="1"/>
    <col min="19" max="22" style="11061" width="9.140625"/>
    <col min="23" max="256" style="11775" width="9.140625"/>
  </cols>
  <sheetData>
    <row customHeight="1" ht="14.25" hidden="1"/>
    <row s="13159" customFormat="1" customHeight="1" ht="22.5" hidden="1">
      <c r="A2" s="961"/>
      <c r="B2" s="1503">
        <v>1</v>
      </c>
      <c r="C2" s="1503"/>
      <c r="D2" s="2066" t="s">
        <v>101</v>
      </c>
      <c r="E2" s="2043"/>
      <c r="F2" s="2045" t="str">
        <f>IF(ROIV_INFO_NAME="","",ROIV_INFO_NAME)</f>
        <v>АО "ДГК"</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773" customFormat="1" customHeight="1" ht="5.25" hidden="1">
      <c r="A3" s="1778"/>
      <c r="D3" s="2032"/>
      <c r="F3" s="378" t="s">
        <v>80</v>
      </c>
      <c r="G3" s="1872" t="s">
        <v>81</v>
      </c>
      <c r="H3" s="2032"/>
      <c r="I3" s="2032"/>
      <c r="J3" s="2032"/>
      <c r="K3" s="2032"/>
      <c r="L3" s="357" t="s">
        <v>82</v>
      </c>
      <c r="M3" s="378" t="s">
        <v>80</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1295"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1295"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0"/>
      <c r="G5" s="2140"/>
      <c r="H5" s="2140"/>
      <c r="I5" s="2140"/>
      <c r="J5" s="2140"/>
      <c r="K5" s="2140"/>
      <c r="L5" s="1772"/>
      <c r="M5" s="378"/>
      <c r="N5" s="1761"/>
      <c r="O5" s="1761"/>
      <c r="P5" s="1761"/>
      <c r="Q5" s="1761"/>
      <c r="R5" s="1761"/>
      <c r="S5" s="355"/>
      <c r="T5" s="355"/>
      <c r="U5" s="355"/>
      <c r="V5" s="355"/>
    </row>
    <row s="11295"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1295" customFormat="1" customHeight="1" ht="14.25">
      <c r="A7" s="1768"/>
      <c r="B7" s="1503"/>
      <c r="C7" s="1768"/>
      <c r="D7" s="1652"/>
      <c r="E7" s="2141" t="s">
        <v>378</v>
      </c>
      <c r="F7" s="2142"/>
      <c r="G7" s="2142"/>
      <c r="H7" s="2142"/>
      <c r="I7" s="2142"/>
      <c r="J7" s="2142"/>
      <c r="K7" s="2142"/>
      <c r="L7" s="2504" t="s">
        <v>379</v>
      </c>
      <c r="M7" s="1761"/>
      <c r="N7" s="1761"/>
      <c r="O7" s="1761"/>
      <c r="P7" s="1761"/>
      <c r="Q7" s="1761"/>
      <c r="R7" s="1761"/>
      <c r="S7" s="355"/>
      <c r="T7" s="355"/>
      <c r="U7" s="355"/>
      <c r="V7" s="355"/>
    </row>
    <row s="11295" customFormat="1" customHeight="1" ht="64.5">
      <c r="A8" s="1768"/>
      <c r="B8" s="1503"/>
      <c r="C8" s="1768"/>
      <c r="D8" s="1652"/>
      <c r="E8" s="2508" t="s">
        <v>85</v>
      </c>
      <c r="F8" s="2508" t="s">
        <v>1896</v>
      </c>
      <c r="G8" s="2510" t="s">
        <v>1897</v>
      </c>
      <c r="H8" s="2511"/>
      <c r="I8" s="2512"/>
      <c r="J8" s="2508" t="s">
        <v>1898</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6"/>
      <c r="M8" s="1761"/>
      <c r="N8" s="1761"/>
      <c r="O8" s="1761"/>
      <c r="P8" s="1761"/>
      <c r="Q8" s="1761"/>
      <c r="R8" s="1761"/>
      <c r="S8" s="355"/>
      <c r="T8" s="355"/>
      <c r="U8" s="355"/>
      <c r="V8" s="355"/>
    </row>
    <row s="11295" customFormat="1" customHeight="1" ht="27.75">
      <c r="A9" s="1768"/>
      <c r="B9" s="1503"/>
      <c r="C9" s="1768"/>
      <c r="D9" s="1652"/>
      <c r="E9" s="2509"/>
      <c r="F9" s="2509"/>
      <c r="G9" s="2033" t="s">
        <v>1892</v>
      </c>
      <c r="H9" s="2033" t="s">
        <v>1893</v>
      </c>
      <c r="I9" s="2033" t="s">
        <v>1894</v>
      </c>
      <c r="J9" s="2509"/>
      <c r="K9" s="2509"/>
      <c r="L9" s="2505"/>
      <c r="M9" s="1761"/>
      <c r="N9" s="1761"/>
      <c r="O9" s="1761"/>
      <c r="P9" s="1761"/>
      <c r="Q9" s="1761"/>
      <c r="R9" s="1761"/>
      <c r="S9" s="355"/>
      <c r="T9" s="355"/>
      <c r="U9" s="355"/>
      <c r="V9" s="355"/>
    </row>
    <row s="13159" customFormat="1" customHeight="1" ht="0.75">
      <c r="A10" s="2139"/>
      <c r="B10" s="1503">
        <v>1</v>
      </c>
      <c r="C10" s="1503"/>
      <c r="D10" s="930"/>
      <c r="E10" s="925">
        <v>0</v>
      </c>
      <c r="F10" s="2030" t="str">
        <f>IF(ROIV_INFO_NAME="","",ROIV_INFO_NAME)</f>
        <v>АО "ДГК"</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3159" customFormat="1" customHeight="1" ht="15">
      <c r="A11" s="2139"/>
      <c r="B11" s="1503"/>
      <c r="C11" s="542"/>
      <c r="D11" s="931"/>
      <c r="E11" s="551"/>
      <c r="F11" s="781" t="s">
        <v>1895</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1295"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1295"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1295"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E8736-56CC-A35B-E1CC-D1CB56D10369}" mc:Ignorable="x14ac xr xr2 xr3">
  <dimension ref="A1:P18"/>
  <sheetViews>
    <sheetView topLeftCell="D6" showGridLines="0" zoomScale="90" workbookViewId="0">
      <selection activeCell="A1" sqref="A1"/>
    </sheetView>
  </sheetViews>
  <sheetFormatPr defaultColWidth="9.140625" customHeight="1" defaultRowHeight="14.25"/>
  <cols>
    <col min="1" max="1" style="11734" width="9.140625" hidden="1"/>
    <col min="2" max="2" style="11649" width="9.140625" hidden="1"/>
    <col min="3" max="3" style="11734" width="3.7109375" hidden="1" customWidth="1"/>
    <col min="4" max="4" style="11505" width="3.8515625" customWidth="1"/>
    <col min="5" max="5" style="11734" width="6.28125" customWidth="1"/>
    <col min="6" max="6" style="11734" width="27.28125" customWidth="1"/>
    <col min="7" max="7" style="11734" width="29.28125" customWidth="1"/>
    <col min="8" max="8" style="11734" width="25.421875" customWidth="1"/>
    <col min="9" max="9" style="11734" width="5.57421875" customWidth="1"/>
    <col min="10" max="10" style="11734" width="6.57421875" customWidth="1"/>
    <col min="11" max="11" style="11734" width="41.8515625" customWidth="1"/>
    <col min="12" max="12" style="11734" width="42.421875" customWidth="1"/>
    <col min="13" max="13" style="11734" width="41.57421875" customWidth="1"/>
    <col min="14" max="14" style="11775" width="89.57421875" customWidth="1"/>
    <col min="15" max="15" style="13141" width="3.7109375" customWidth="1"/>
    <col min="16" max="16" style="13141" width="9.140625"/>
  </cols>
  <sheetData>
    <row customHeight="1" ht="14.25" hidden="1"/>
    <row s="11007" customFormat="1" customHeight="1" ht="22.5" hidden="1">
      <c r="A2" s="626"/>
      <c r="B2" s="1292">
        <v>1</v>
      </c>
      <c r="C2" s="1292"/>
      <c r="D2" s="2067" t="s">
        <v>101</v>
      </c>
      <c r="E2" s="2167">
        <v>1</v>
      </c>
      <c r="F2" s="2513" t="str">
        <f>IF(region_name="","",region_name)</f>
        <v>Хабаровский край</v>
      </c>
      <c r="G2" s="2514"/>
      <c r="H2" s="2515"/>
      <c r="I2" s="604"/>
      <c r="J2" s="2049">
        <v>1</v>
      </c>
      <c r="K2" s="2051"/>
      <c r="L2" s="2051"/>
      <c r="M2" s="2051"/>
      <c r="N2" s="622"/>
      <c r="O2" s="1672"/>
      <c r="P2" s="641"/>
    </row>
    <row s="11007" customFormat="1" customHeight="1" ht="22.5" hidden="1">
      <c r="A3" s="961"/>
      <c r="B3" s="1292"/>
      <c r="C3" s="1292"/>
      <c r="D3" s="931"/>
      <c r="E3" s="2167"/>
      <c r="F3" s="2513"/>
      <c r="G3" s="2514"/>
      <c r="H3" s="2516"/>
      <c r="I3" s="551"/>
      <c r="J3" s="1637"/>
      <c r="K3" s="1637" t="s">
        <v>1899</v>
      </c>
      <c r="L3" s="1680"/>
      <c r="M3" s="2059"/>
      <c r="N3" s="2052"/>
      <c r="O3" s="1672"/>
      <c r="P3" s="641"/>
    </row>
    <row s="11721" customFormat="1" customHeight="1" ht="5.25" hidden="1">
      <c r="A4" s="626"/>
      <c r="D4" s="624"/>
      <c r="F4" s="377" t="s">
        <v>80</v>
      </c>
      <c r="G4" s="624" t="s">
        <v>81</v>
      </c>
      <c r="H4" s="624"/>
      <c r="I4" s="2062"/>
      <c r="J4" s="1681"/>
      <c r="K4" s="2050"/>
      <c r="L4" s="2050"/>
      <c r="M4" s="2050"/>
      <c r="N4" s="2046"/>
      <c r="O4" s="377" t="s">
        <v>80</v>
      </c>
      <c r="P4" s="377"/>
    </row>
    <row s="13159" customFormat="1" customHeight="1" ht="22.5" hidden="1">
      <c r="A5" s="1778"/>
      <c r="B5" s="1503">
        <v>1</v>
      </c>
      <c r="C5" s="1503"/>
      <c r="D5" s="931"/>
      <c r="E5" s="2052"/>
      <c r="F5" s="2052"/>
      <c r="G5" s="2052"/>
      <c r="H5" s="2063"/>
      <c r="I5" s="2068" t="s">
        <v>101</v>
      </c>
      <c r="J5" s="2061">
        <v>1</v>
      </c>
      <c r="K5" s="2051"/>
      <c r="L5" s="2051"/>
      <c r="M5" s="2051"/>
      <c r="N5" s="622"/>
      <c r="O5" s="1672"/>
      <c r="P5" s="1773"/>
    </row>
    <row s="10998" customFormat="1" customHeight="1" ht="14.25">
      <c r="A6" s="1287"/>
      <c r="B6" s="1292"/>
      <c r="C6" s="1287"/>
      <c r="D6" s="1632"/>
      <c r="E6" s="639"/>
      <c r="F6" s="639"/>
      <c r="G6" s="639"/>
      <c r="H6" s="639"/>
      <c r="I6" s="639"/>
      <c r="J6" s="639"/>
      <c r="K6" s="639"/>
      <c r="L6" s="639"/>
      <c r="M6" s="639"/>
      <c r="N6" s="1772"/>
      <c r="O6" s="377"/>
      <c r="P6" s="630"/>
    </row>
    <row s="10998"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998" customFormat="1" customHeight="1" ht="14.25">
      <c r="A8" s="1287"/>
      <c r="B8" s="1292"/>
      <c r="C8" s="1287"/>
      <c r="D8" s="1632"/>
      <c r="E8" s="639"/>
      <c r="F8" s="297"/>
      <c r="G8" s="297"/>
      <c r="H8" s="297"/>
      <c r="I8" s="297"/>
      <c r="J8" s="297"/>
      <c r="K8" s="297"/>
      <c r="L8" s="297"/>
      <c r="M8" s="297"/>
      <c r="N8" s="746"/>
      <c r="O8" s="630"/>
      <c r="P8" s="630"/>
    </row>
    <row s="13188" customFormat="1" customHeight="1" ht="14.25" hidden="1">
      <c r="A9" s="1605"/>
      <c r="B9" s="1615"/>
      <c r="C9" s="1605"/>
      <c r="D9" s="1632"/>
      <c r="E9" s="2053"/>
      <c r="F9" s="2053"/>
      <c r="G9" s="2053"/>
      <c r="H9" s="2053"/>
      <c r="I9" s="2524"/>
      <c r="J9" s="2524"/>
      <c r="K9" s="2524"/>
      <c r="L9" s="2053"/>
      <c r="M9" s="2054"/>
      <c r="O9" s="1682"/>
      <c r="P9" s="1682"/>
    </row>
    <row s="10998" customFormat="1" customHeight="1" ht="14.25">
      <c r="A10" s="1287"/>
      <c r="B10" s="1292"/>
      <c r="C10" s="1287"/>
      <c r="D10" s="1632"/>
      <c r="E10" s="2167" t="s">
        <v>378</v>
      </c>
      <c r="F10" s="2167"/>
      <c r="G10" s="2167"/>
      <c r="H10" s="2167"/>
      <c r="I10" s="2167"/>
      <c r="J10" s="2167"/>
      <c r="K10" s="2167"/>
      <c r="L10" s="2167"/>
      <c r="M10" s="2141"/>
      <c r="N10" s="2508" t="s">
        <v>379</v>
      </c>
      <c r="O10" s="630"/>
      <c r="P10" s="630"/>
    </row>
    <row s="11295" customFormat="1" customHeight="1" ht="42">
      <c r="A11" s="1768"/>
      <c r="B11" s="1503"/>
      <c r="C11" s="1768"/>
      <c r="D11" s="1652"/>
      <c r="E11" s="2523" t="s">
        <v>85</v>
      </c>
      <c r="F11" s="2523" t="s">
        <v>382</v>
      </c>
      <c r="G11" s="2523" t="s">
        <v>1900</v>
      </c>
      <c r="H11" s="2523"/>
      <c r="I11" s="2523" t="s">
        <v>1901</v>
      </c>
      <c r="J11" s="2523"/>
      <c r="K11" s="2523"/>
      <c r="L11" s="2523" t="s">
        <v>1902</v>
      </c>
      <c r="M11" s="2510" t="s">
        <v>1903</v>
      </c>
      <c r="N11" s="2522"/>
      <c r="O11" s="1761"/>
      <c r="P11" s="1761"/>
    </row>
    <row s="10998" customFormat="1" customHeight="1" ht="27.75">
      <c r="A12" s="1287"/>
      <c r="B12" s="1292"/>
      <c r="C12" s="1287"/>
      <c r="D12" s="1632"/>
      <c r="E12" s="2508"/>
      <c r="F12" s="2523"/>
      <c r="G12" s="2048" t="s">
        <v>1904</v>
      </c>
      <c r="H12" s="2048" t="s">
        <v>386</v>
      </c>
      <c r="I12" s="2523"/>
      <c r="J12" s="2523"/>
      <c r="K12" s="2523"/>
      <c r="L12" s="2523"/>
      <c r="M12" s="2510"/>
      <c r="N12" s="2509"/>
      <c r="O12" s="630"/>
      <c r="P12" s="630"/>
    </row>
    <row s="11007" customFormat="1" customHeight="1" ht="22.5">
      <c r="A13" s="2139">
        <v>26379339</v>
      </c>
      <c r="B13" s="1292">
        <v>1</v>
      </c>
      <c r="C13" s="1292"/>
      <c r="D13" s="931"/>
      <c r="E13" s="2167">
        <v>1</v>
      </c>
      <c r="F13" s="2517" t="str">
        <f>IF(region_name="","",region_name)</f>
        <v>Хабаровский край</v>
      </c>
      <c r="G13" s="2518"/>
      <c r="H13" s="2525"/>
      <c r="I13" s="604"/>
      <c r="J13" s="2044">
        <v>1</v>
      </c>
      <c r="K13" s="2057"/>
      <c r="L13" s="2058"/>
      <c r="M13" s="2058"/>
      <c r="N13" s="2519" t="s">
        <v>1905</v>
      </c>
      <c r="O13" s="1672"/>
      <c r="P13" s="641"/>
    </row>
    <row s="11007" customFormat="1" customHeight="1" ht="22.5">
      <c r="A14" s="2139"/>
      <c r="B14" s="1292"/>
      <c r="C14" s="1292"/>
      <c r="D14" s="931"/>
      <c r="E14" s="2167"/>
      <c r="F14" s="2517"/>
      <c r="G14" s="2518"/>
      <c r="H14" s="2526"/>
      <c r="I14" s="551"/>
      <c r="J14" s="1637"/>
      <c r="K14" s="1637" t="s">
        <v>1899</v>
      </c>
      <c r="L14" s="1680"/>
      <c r="M14" s="1680"/>
      <c r="N14" s="2520"/>
      <c r="O14" s="1672"/>
      <c r="P14" s="641"/>
    </row>
    <row s="11007" customFormat="1" customHeight="1" ht="22.5">
      <c r="A15" s="2139"/>
      <c r="B15" s="1292"/>
      <c r="C15" s="542"/>
      <c r="D15" s="931"/>
      <c r="E15" s="551"/>
      <c r="F15" s="1637" t="s">
        <v>1891</v>
      </c>
      <c r="G15" s="1679"/>
      <c r="H15" s="1679"/>
      <c r="I15" s="317"/>
      <c r="J15" s="317"/>
      <c r="K15" s="317"/>
      <c r="L15" s="317"/>
      <c r="M15" s="317"/>
      <c r="N15" s="2520"/>
      <c r="O15" s="1673"/>
      <c r="P15" s="641"/>
    </row>
    <row s="10998" customFormat="1" customHeight="1" ht="21">
      <c r="A16" s="1287"/>
      <c r="B16" s="1292"/>
      <c r="C16" s="1287"/>
      <c r="D16" s="581"/>
      <c r="E16" s="310"/>
      <c r="F16" s="310"/>
      <c r="G16" s="310"/>
      <c r="H16" s="310"/>
      <c r="I16" s="310"/>
      <c r="J16" s="310"/>
      <c r="K16" s="310"/>
      <c r="L16" s="310"/>
      <c r="M16" s="639"/>
      <c r="N16" s="1772"/>
      <c r="O16" s="630"/>
      <c r="P16" s="630"/>
    </row>
    <row s="10998" customFormat="1" customHeight="1" ht="14.25">
      <c r="A17" s="1287"/>
      <c r="B17" s="1292"/>
      <c r="C17" s="1287"/>
      <c r="D17" s="581"/>
      <c r="E17" s="1287"/>
      <c r="F17" s="1287"/>
      <c r="G17" s="1287"/>
      <c r="H17" s="1287"/>
      <c r="I17" s="1287"/>
      <c r="J17" s="1287"/>
      <c r="K17" s="1287"/>
      <c r="L17" s="1287"/>
      <c r="M17" s="1287"/>
      <c r="N17" s="1768"/>
      <c r="O17" s="630"/>
      <c r="P17" s="630"/>
    </row>
    <row s="10998" customFormat="1" customHeight="1" ht="0.75">
      <c r="A18" s="1287"/>
      <c r="B18" s="1292"/>
      <c r="C18" s="1287"/>
      <c r="D18" s="581"/>
      <c r="E18" s="1287"/>
      <c r="F18" s="1287"/>
      <c r="G18" s="1287"/>
      <c r="H18" s="1287"/>
      <c r="I18" s="1287"/>
      <c r="J18" s="1287"/>
      <c r="K18" s="1287"/>
      <c r="L18" s="1287"/>
      <c r="M18" s="1287"/>
      <c r="N18" s="1768"/>
      <c r="O18" s="630"/>
      <c r="P18" s="63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8AD9A-00B8-E1C8-85A1-6084F8127CF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3209" width="9.140625" hidden="1"/>
    <col min="2" max="2" style="13227" width="9.140625" hidden="1"/>
    <col min="3" max="3" style="13228" width="3.7109375" customWidth="1"/>
    <col min="4" max="4" style="13229" width="7.00390625" customWidth="1"/>
    <col min="5" max="5" style="13229" width="23.140625" customWidth="1"/>
    <col min="6" max="6" style="13229" width="16.00390625" customWidth="1"/>
    <col min="7" max="7" style="13229" width="14.8515625" customWidth="1"/>
    <col min="8" max="8" style="13229" width="47.8515625" customWidth="1"/>
    <col min="9" max="9" style="13229" width="115.7109375" customWidth="1"/>
    <col min="10" max="10" style="13229" width="3.7109375" customWidth="1"/>
    <col min="11" max="12" style="13229" width="9.140625"/>
  </cols>
  <sheetData>
    <row customHeight="1" ht="14.25" hidden="1"/>
    <row customHeight="1" ht="14.25" hidden="1"/>
    <row customHeight="1" ht="14.25" hidden="1"/>
    <row customHeight="1" ht="3"/>
    <row s="11058" customFormat="1" customHeight="1" ht="30">
      <c r="A5" s="245"/>
      <c r="C5" s="219"/>
      <c r="D5" s="2140" t="s">
        <v>1906</v>
      </c>
      <c r="E5" s="2140"/>
      <c r="F5" s="2140"/>
      <c r="G5" s="2140"/>
      <c r="H5" s="2140"/>
      <c r="I5" s="395"/>
    </row>
    <row customHeight="1" ht="3" hidden="1">
      <c r="D6" s="252"/>
      <c r="E6" s="252"/>
      <c r="F6" s="252"/>
      <c r="G6" s="252"/>
      <c r="H6" s="252"/>
      <c r="I6" s="252"/>
    </row>
    <row s="13209" customFormat="1" customHeight="1" ht="14.25">
      <c r="B7" s="249"/>
      <c r="C7" s="250"/>
      <c r="D7" s="253"/>
      <c r="E7" s="253"/>
      <c r="F7" s="253"/>
      <c r="G7" s="253"/>
      <c r="H7" s="882"/>
      <c r="I7" s="253"/>
      <c r="J7" s="254"/>
    </row>
    <row customHeight="1" ht="14.25">
      <c r="D8" s="2248" t="s">
        <v>378</v>
      </c>
      <c r="E8" s="2248"/>
      <c r="F8" s="2248"/>
      <c r="G8" s="2248"/>
      <c r="H8" s="2248"/>
      <c r="I8" s="2248" t="s">
        <v>379</v>
      </c>
    </row>
    <row customHeight="1" ht="27.75">
      <c r="D9" s="2248" t="s">
        <v>85</v>
      </c>
      <c r="E9" s="2248" t="s">
        <v>1907</v>
      </c>
      <c r="F9" s="2248"/>
      <c r="G9" s="2248"/>
      <c r="H9" s="2248"/>
      <c r="I9" s="2248"/>
    </row>
    <row customHeight="1" ht="22.5">
      <c r="D10" s="2248"/>
      <c r="E10" s="257" t="s">
        <v>1908</v>
      </c>
      <c r="F10" s="257" t="s">
        <v>1909</v>
      </c>
      <c r="G10" s="257" t="s">
        <v>1910</v>
      </c>
      <c r="H10" s="257" t="s">
        <v>470</v>
      </c>
      <c r="I10" s="2248"/>
    </row>
    <row customHeight="1" ht="12" hidden="1">
      <c r="D11" s="216" t="s">
        <v>165</v>
      </c>
      <c r="E11" s="216" t="s">
        <v>88</v>
      </c>
      <c r="F11" s="216" t="s">
        <v>119</v>
      </c>
      <c r="G11" s="216" t="s">
        <v>89</v>
      </c>
      <c r="H11" s="216" t="s">
        <v>90</v>
      </c>
      <c r="I11" s="216" t="s">
        <v>140</v>
      </c>
    </row>
    <row s="13215" customFormat="1" customHeight="1" ht="24.75">
      <c r="A12" s="275" t="s">
        <v>87</v>
      </c>
      <c r="B12" s="255" t="s">
        <v>18</v>
      </c>
      <c r="C12" s="256"/>
      <c r="D12" s="258" t="s">
        <v>165</v>
      </c>
      <c r="E12" s="511"/>
      <c r="F12" s="511"/>
      <c r="G12" s="1871" t="s">
        <v>18</v>
      </c>
      <c r="H12" s="512"/>
      <c r="I12" s="2207" t="s">
        <v>1911</v>
      </c>
      <c r="K12" s="402"/>
      <c r="L12" s="403"/>
    </row>
    <row customHeight="1" ht="15">
      <c r="A13" s="251"/>
      <c r="B13" s="251"/>
      <c r="C13" s="251"/>
      <c r="D13" s="239"/>
      <c r="E13" s="260" t="s">
        <v>548</v>
      </c>
      <c r="F13" s="259"/>
      <c r="G13" s="259"/>
      <c r="H13" s="344"/>
      <c r="I13" s="2209"/>
    </row>
    <row customHeight="1" ht="3">
      <c r="A14" s="251"/>
      <c r="B14" s="251"/>
      <c r="C14" s="251"/>
    </row>
    <row customHeight="1" ht="27.75">
      <c r="E15" s="2527" t="s">
        <v>1912</v>
      </c>
      <c r="F15" s="2527"/>
      <c r="G15" s="2527"/>
      <c r="H15" s="2527"/>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758CD-8C37-92E7-D317-B2F8C68A30E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3246" width="9.140625" hidden="1"/>
    <col min="3" max="3" style="13247" width="3.7109375" customWidth="1"/>
    <col min="4" max="4" style="13246" width="6.28125" customWidth="1"/>
    <col min="5" max="5" style="13246" width="94.8515625" customWidth="1"/>
    <col min="6" max="9" style="13246"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1913</v>
      </c>
      <c r="E7" s="2529"/>
      <c r="F7" s="397"/>
    </row>
    <row customHeight="1" ht="3">
      <c r="C8" s="221"/>
      <c r="D8" s="199"/>
      <c r="E8" s="199"/>
    </row>
    <row customHeight="1" ht="15.75">
      <c r="C9" s="221"/>
      <c r="D9" s="235" t="s">
        <v>85</v>
      </c>
      <c r="E9" s="390" t="s">
        <v>1914</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1915</v>
      </c>
    </row>
    <row customHeight="1" ht="3"/>
    <row customHeight="1" ht="22.5">
      <c r="C15" s="267"/>
      <c r="D15" s="2530" t="s">
        <v>1916</v>
      </c>
      <c r="E15" s="2530"/>
      <c r="F15" s="268"/>
      <c r="G15" s="268"/>
      <c r="H15" s="268"/>
      <c r="I15" s="26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A7C11-CA2E-9902-1C7C-5F2184EA331F}" mc:Ignorable="x14ac xr xr2 xr3">
  <sheetPr>
    <tabColor rgb="FFCCCCFF"/>
    <pageSetUpPr fitToPage="1"/>
  </sheetPr>
  <dimension ref="A1:L16"/>
  <sheetViews>
    <sheetView topLeftCell="C6" showGridLines="0" zoomScale="90" workbookViewId="0">
      <selection activeCell="E12" sqref="E12:E15"/>
    </sheetView>
  </sheetViews>
  <sheetFormatPr defaultColWidth="9.140625" customHeight="1" defaultRowHeight="14.25"/>
  <cols>
    <col min="1" max="2" style="13246" width="9.140625" hidden="1"/>
    <col min="3" max="3" style="13247" width="3.7109375" customWidth="1"/>
    <col min="4" max="4" style="13246" width="6.28125" customWidth="1"/>
    <col min="5" max="5" style="13246" width="94.8515625" customWidth="1"/>
    <col min="6" max="12" style="13246"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1917</v>
      </c>
      <c r="E7" s="2140"/>
      <c r="F7" s="397"/>
    </row>
    <row customHeight="1" ht="3">
      <c r="C8" s="221"/>
      <c r="D8" s="199"/>
      <c r="E8" s="199"/>
    </row>
    <row customHeight="1" ht="15.75">
      <c r="C9" s="221"/>
      <c r="D9" s="235" t="s">
        <v>85</v>
      </c>
      <c r="E9" s="238" t="s">
        <v>365</v>
      </c>
    </row>
    <row customHeight="1" ht="12">
      <c r="C10" s="221"/>
      <c r="D10" s="216" t="s">
        <v>165</v>
      </c>
      <c r="E10" s="216" t="s">
        <v>100</v>
      </c>
    </row>
    <row customHeight="1" ht="15" hidden="1">
      <c r="C11" s="221"/>
      <c r="D11" s="243">
        <v>0</v>
      </c>
      <c r="E11" s="279"/>
    </row>
    <row customHeight="1" ht="17.25">
      <c r="A12" s="7532"/>
      <c r="B12" s="7532"/>
      <c r="C12" s="1955" t="s">
        <v>101</v>
      </c>
      <c r="D12" s="243" t="s">
        <v>165</v>
      </c>
      <c r="E12" s="244" t="s">
        <v>1918</v>
      </c>
      <c r="F12" s="7532"/>
      <c r="G12" s="7532"/>
      <c r="H12" s="7532"/>
      <c r="I12" s="7532"/>
      <c r="J12" s="7532"/>
      <c r="K12" s="7532"/>
      <c r="L12" s="7532"/>
    </row>
    <row customHeight="1" ht="17.25">
      <c r="A13" s="7532"/>
      <c r="B13" s="7532"/>
      <c r="C13" s="1955" t="s">
        <v>101</v>
      </c>
      <c r="D13" s="243" t="s">
        <v>100</v>
      </c>
      <c r="E13" s="244" t="s">
        <v>1919</v>
      </c>
      <c r="F13" s="7532"/>
      <c r="G13" s="7532"/>
      <c r="H13" s="7532"/>
      <c r="I13" s="7532"/>
      <c r="J13" s="7532"/>
      <c r="K13" s="7532"/>
      <c r="L13" s="7532"/>
    </row>
    <row customHeight="1" ht="17.25">
      <c r="A14" s="7532"/>
      <c r="B14" s="7532"/>
      <c r="C14" s="1955" t="s">
        <v>101</v>
      </c>
      <c r="D14" s="243" t="s">
        <v>87</v>
      </c>
      <c r="E14" s="244" t="s">
        <v>1920</v>
      </c>
      <c r="F14" s="7532"/>
      <c r="G14" s="7532"/>
      <c r="H14" s="7532"/>
      <c r="I14" s="7532"/>
      <c r="J14" s="7532"/>
      <c r="K14" s="7532"/>
      <c r="L14" s="7532"/>
    </row>
    <row customHeight="1" ht="17.25">
      <c r="A15" s="7532"/>
      <c r="B15" s="7532"/>
      <c r="C15" s="1955" t="s">
        <v>101</v>
      </c>
      <c r="D15" s="243" t="s">
        <v>88</v>
      </c>
      <c r="E15" s="244" t="s">
        <v>1921</v>
      </c>
      <c r="F15" s="7532"/>
      <c r="G15" s="7532"/>
      <c r="H15" s="7532"/>
      <c r="I15" s="7532"/>
      <c r="J15" s="7532"/>
      <c r="K15" s="7532"/>
      <c r="L15" s="7532"/>
    </row>
    <row customHeight="1" ht="14.25">
      <c r="C16" s="221"/>
      <c r="D16" s="239"/>
      <c r="E16" s="237" t="s">
        <v>1915</v>
      </c>
    </row>
  </sheetData>
  <sheetProtection sheet="1" formatColumns="0" formatRows="0" autoFilter="0" sort="1" insertRows="1" insertColumns="1" deleteRows="1" deleteColumns="1"/>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1AD19-734D-79A5-E9BB-88B5B739C25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257" width="1.7109375" customWidth="1"/>
    <col min="2" max="2" style="13257" width="34.57421875" customWidth="1"/>
    <col min="3" max="3" style="13257" width="85.57421875" customWidth="1"/>
    <col min="4" max="4" style="13257" width="17.7109375" customWidth="1"/>
    <col min="5" max="5" style="13257" width="9.140625"/>
  </cols>
  <sheetData>
    <row customHeight="1" ht="3"/>
    <row customHeight="1" ht="22.5">
      <c r="B2" s="2531" t="s">
        <v>1922</v>
      </c>
      <c r="C2" s="2531"/>
      <c r="D2" s="2531"/>
      <c r="E2" s="398"/>
    </row>
    <row customHeight="1" ht="3"/>
    <row customHeight="1" ht="21.75">
      <c r="B4" s="513" t="s">
        <v>1923</v>
      </c>
      <c r="C4" s="513" t="s">
        <v>1924</v>
      </c>
      <c r="D4" s="513" t="s">
        <v>1925</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B1CA3-E8BC-9646-AEA9-BB71D9871AC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3257" width="26.57421875" customWidth="1"/>
    <col min="2" max="2" style="13257" width="10.00390625" customWidth="1"/>
    <col min="3" max="3" style="13257" width="9.140625"/>
    <col min="4" max="4" style="13257" width="11.140625" customWidth="1"/>
    <col min="5" max="5" style="13257" width="16.57421875" customWidth="1"/>
    <col min="6" max="6" style="13257" width="16.28125" customWidth="1"/>
    <col min="7" max="7" style="13257" width="19.140625" customWidth="1"/>
    <col min="8" max="11" style="13257" width="10.00390625" customWidth="1"/>
    <col min="12" max="12" style="13257" width="12.7109375" customWidth="1"/>
    <col min="13" max="13" style="13257" width="61.28125" customWidth="1"/>
    <col min="14" max="14" style="13257" width="10.00390625" customWidth="1"/>
    <col min="15" max="17" style="13257" width="23.7109375" customWidth="1"/>
    <col min="18" max="18" style="13257" width="11.7109375" customWidth="1"/>
    <col min="19" max="19" style="13257" width="8.57421875" customWidth="1"/>
    <col min="20" max="20" style="13257" width="11.7109375" customWidth="1"/>
    <col min="21" max="21" style="13257" width="8.57421875" customWidth="1"/>
    <col min="22" max="22" style="13257" width="4.7109375" customWidth="1"/>
    <col min="23" max="23" style="13257" width="115.7109375" customWidth="1"/>
    <col min="24" max="24" style="13257" width="115.28125" customWidth="1"/>
    <col min="25" max="27" style="13257" width="9.140625"/>
    <col min="28" max="28" style="13257" width="115.7109375" customWidth="1"/>
    <col min="29" max="29" style="13257" width="9.140625"/>
    <col min="30" max="90" style="13257" width="115.7109375" customWidth="1"/>
    <col min="91" max="184" style="13257" width="9.140625"/>
  </cols>
  <sheetData>
    <row r="2" s="13258" customFormat="1" customHeight="1" ht="17.25">
      <c r="A2" s="1953" t="s">
        <v>1926</v>
      </c>
    </row>
    <row r="4" s="13246" customFormat="1" customHeight="1" ht="15">
      <c r="C4" s="1954"/>
      <c r="D4" s="243"/>
      <c r="E4" s="507"/>
    </row>
    <row r="6" s="13258" customFormat="1" customHeight="1" ht="17.25">
      <c r="A6" s="1953" t="s">
        <v>1927</v>
      </c>
    </row>
    <row r="8" s="13246" customFormat="1" customHeight="1" ht="17.25">
      <c r="C8" s="1955"/>
      <c r="D8" s="243"/>
      <c r="E8" s="244"/>
    </row>
    <row r="11" s="13258" customFormat="1" customHeight="1" ht="17.25">
      <c r="A11" s="1953" t="s">
        <v>1928</v>
      </c>
    </row>
    <row r="13" s="13261" customFormat="1" customHeight="1" ht="15">
      <c r="A13" s="2256">
        <v>1</v>
      </c>
      <c r="B13" s="1292"/>
      <c r="C13" s="931" t="s">
        <v>101</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1007"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1007" customFormat="1" customHeight="1" ht="15">
      <c r="A15" s="2256"/>
      <c r="B15" s="1292"/>
      <c r="C15" s="542"/>
      <c r="D15" s="931"/>
      <c r="E15" s="551"/>
      <c r="F15" s="307"/>
      <c r="G15" s="545" t="s">
        <v>99</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3258" customFormat="1" customHeight="1" ht="17.25">
      <c r="A17" s="1953" t="s">
        <v>1929</v>
      </c>
    </row>
    <row r="19" s="13159" customFormat="1" customHeight="1" ht="15">
      <c r="A19" s="2021"/>
      <c r="B19" s="1503">
        <v>1</v>
      </c>
      <c r="C19" s="1503"/>
      <c r="D19" s="930" t="s">
        <v>101</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1007" customFormat="1" customHeight="1" ht="15">
      <c r="A21" s="1953" t="s">
        <v>1930</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1007" customFormat="1" customHeight="1" ht="15">
      <c r="U22" s="315"/>
    </row>
    <row s="13264" customFormat="1" customHeight="1" ht="15">
      <c r="A23" s="553"/>
      <c r="B23" s="553"/>
      <c r="C23" s="1865" t="s">
        <v>101</v>
      </c>
      <c r="D23" s="2148" t="s">
        <v>165</v>
      </c>
      <c r="E23" s="2149"/>
      <c r="F23" s="2147" t="s">
        <v>54</v>
      </c>
      <c r="G23" s="2580"/>
      <c r="H23" s="2167">
        <v>1</v>
      </c>
      <c r="I23" s="2582" t="str">
        <f>IF(U23="","",INDEX(TERRITORY_MR_LIST,MATCH(U23,TERRITORY_LIST_ID,0)))</f>
        <v/>
      </c>
      <c r="J23" s="2147" t="s">
        <v>54</v>
      </c>
      <c r="K23" s="962"/>
      <c r="L23" s="1920" t="s">
        <v>165</v>
      </c>
      <c r="M23" s="733"/>
      <c r="N23" s="734"/>
      <c r="O23" s="734"/>
      <c r="P23" s="734"/>
      <c r="Q23" s="734"/>
      <c r="R23" s="734"/>
      <c r="S23" s="734"/>
      <c r="T23" s="734"/>
      <c r="U23" s="735"/>
      <c r="V23" s="734"/>
      <c r="W23" s="734"/>
      <c r="X23" s="725"/>
      <c r="Y23" s="725" t="s">
        <v>173</v>
      </c>
      <c r="Z23" s="725">
        <v>1705000</v>
      </c>
      <c r="AA23" s="725"/>
      <c r="AB23" s="725"/>
      <c r="AC23" s="725"/>
      <c r="AD23" s="725"/>
      <c r="AE23" s="725"/>
      <c r="AF23" s="725"/>
      <c r="AG23" s="725"/>
      <c r="AH23" s="725"/>
      <c r="AI23" s="725"/>
      <c r="AJ23" s="725"/>
      <c r="AK23" s="725"/>
      <c r="AL23" s="725"/>
    </row>
    <row s="13264" customFormat="1" customHeight="1" ht="15">
      <c r="A24" s="553"/>
      <c r="B24" s="553"/>
      <c r="C24" s="306"/>
      <c r="D24" s="2148"/>
      <c r="E24" s="2150"/>
      <c r="F24" s="2147"/>
      <c r="G24" s="2581"/>
      <c r="H24" s="2167"/>
      <c r="I24" s="2583"/>
      <c r="J24" s="2147"/>
      <c r="K24" s="551"/>
      <c r="L24" s="307"/>
      <c r="M24" s="737" t="s">
        <v>174</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3264" customFormat="1" customHeight="1" ht="15">
      <c r="A25" s="553"/>
      <c r="B25" s="553"/>
      <c r="C25" s="306"/>
      <c r="D25" s="2148"/>
      <c r="E25" s="2151"/>
      <c r="F25" s="2147"/>
      <c r="G25" s="551"/>
      <c r="H25" s="307"/>
      <c r="I25" s="710" t="s">
        <v>201</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1007" customFormat="1" customHeight="1" ht="15">
      <c r="U26" s="315"/>
    </row>
    <row s="11007" customFormat="1" customHeight="1" ht="15">
      <c r="A27" s="1953" t="s">
        <v>1931</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1007" customFormat="1" customHeight="1" ht="15">
      <c r="U28" s="315"/>
    </row>
    <row s="13264" customFormat="1" customHeight="1" ht="15">
      <c r="A29" s="553"/>
      <c r="B29" s="553"/>
      <c r="C29" s="306"/>
      <c r="D29" s="1959"/>
      <c r="E29" s="1959"/>
      <c r="F29" s="1959"/>
      <c r="G29" s="2584" t="s">
        <v>101</v>
      </c>
      <c r="H29" s="2143">
        <v>1</v>
      </c>
      <c r="I29" s="2585" t="str">
        <f>IF(U29="","",INDEX(TERRITORY_MR_LIST,MATCH(U29,TERRITORY_LIST_ID,0)))</f>
        <v/>
      </c>
      <c r="J29" s="2147" t="s">
        <v>54</v>
      </c>
      <c r="K29" s="962"/>
      <c r="L29" s="1920" t="s">
        <v>165</v>
      </c>
      <c r="M29" s="733"/>
      <c r="N29" s="734"/>
      <c r="O29" s="734"/>
      <c r="P29" s="734"/>
      <c r="Q29" s="734"/>
      <c r="R29" s="734"/>
      <c r="S29" s="734"/>
      <c r="T29" s="734"/>
      <c r="U29" s="735"/>
      <c r="V29" s="734"/>
      <c r="W29" s="734"/>
      <c r="X29" s="725"/>
      <c r="Y29" s="725" t="s">
        <v>173</v>
      </c>
      <c r="Z29" s="725">
        <v>1705000</v>
      </c>
      <c r="AA29" s="725"/>
      <c r="AB29" s="725"/>
      <c r="AC29" s="725"/>
      <c r="AD29" s="725"/>
      <c r="AE29" s="725"/>
      <c r="AF29" s="725"/>
      <c r="AG29" s="725"/>
      <c r="AH29" s="725"/>
      <c r="AI29" s="725"/>
      <c r="AJ29" s="725"/>
      <c r="AK29" s="725"/>
      <c r="AL29" s="725"/>
    </row>
    <row s="13264" customFormat="1" customHeight="1" ht="15">
      <c r="A30" s="553"/>
      <c r="B30" s="553"/>
      <c r="C30" s="306"/>
      <c r="D30" s="1959"/>
      <c r="E30" s="1959"/>
      <c r="F30" s="1959"/>
      <c r="G30" s="2584"/>
      <c r="H30" s="2143"/>
      <c r="I30" s="2585"/>
      <c r="J30" s="2147"/>
      <c r="K30" s="551"/>
      <c r="L30" s="307"/>
      <c r="M30" s="737" t="s">
        <v>174</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1007" customFormat="1" customHeight="1" ht="15">
      <c r="U31" s="315"/>
    </row>
    <row s="11007" customFormat="1" customHeight="1" ht="15">
      <c r="A32" s="1953" t="s">
        <v>1932</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1007" customFormat="1" customHeight="1" ht="15">
      <c r="U33" s="315"/>
    </row>
    <row s="13264" customFormat="1" customHeight="1" ht="15">
      <c r="A34" s="553"/>
      <c r="B34" s="553"/>
      <c r="C34" s="306"/>
      <c r="D34" s="1959"/>
      <c r="E34" s="1959"/>
      <c r="F34" s="1959"/>
      <c r="G34" s="1959"/>
      <c r="H34" s="1959"/>
      <c r="I34" s="1959"/>
      <c r="J34" s="1959"/>
      <c r="K34" s="1937" t="s">
        <v>101</v>
      </c>
      <c r="L34" s="1866" t="s">
        <v>165</v>
      </c>
      <c r="M34" s="941"/>
      <c r="N34" s="942"/>
      <c r="O34" s="734"/>
      <c r="P34" s="734"/>
      <c r="Q34" s="734"/>
      <c r="R34" s="734"/>
      <c r="S34" s="734"/>
      <c r="T34" s="734"/>
      <c r="U34" s="735"/>
      <c r="V34" s="734"/>
      <c r="W34" s="734"/>
      <c r="X34" s="725"/>
      <c r="Y34" s="725" t="s">
        <v>173</v>
      </c>
      <c r="Z34" s="725">
        <v>1705000</v>
      </c>
      <c r="AA34" s="725"/>
      <c r="AB34" s="725"/>
      <c r="AC34" s="725"/>
      <c r="AD34" s="725"/>
      <c r="AE34" s="725"/>
      <c r="AF34" s="725"/>
      <c r="AG34" s="725"/>
      <c r="AH34" s="725"/>
      <c r="AI34" s="725"/>
      <c r="AJ34" s="725"/>
      <c r="AK34" s="725"/>
      <c r="AL34" s="725"/>
    </row>
    <row s="11007" customFormat="1" customHeight="1" ht="15">
      <c r="U35" s="315"/>
    </row>
    <row s="11007" customFormat="1" customHeight="1" ht="15">
      <c r="U36" s="315"/>
    </row>
    <row s="13258" customFormat="1" customHeight="1" ht="11.25">
      <c r="A37" s="1953" t="s">
        <v>1933</v>
      </c>
    </row>
    <row customHeight="1" ht="11.25"/>
    <row s="11439" customFormat="1" customHeight="1" ht="22.5">
      <c r="A39" s="1929"/>
      <c r="B39" s="587"/>
      <c r="C39" s="989"/>
      <c r="D39" s="570"/>
      <c r="E39" s="990"/>
      <c r="F39" s="1950"/>
      <c r="G39" s="1960"/>
      <c r="H39" s="605"/>
    </row>
    <row customHeight="1" ht="11.25"/>
    <row s="13258" customFormat="1" customHeight="1" ht="11.25">
      <c r="A41" s="1953" t="s">
        <v>1934</v>
      </c>
    </row>
    <row customHeight="1" ht="11.25"/>
    <row s="11439" customFormat="1" customHeight="1" ht="22.5">
      <c r="A43" s="587"/>
      <c r="B43" s="587"/>
      <c r="C43" s="587"/>
      <c r="D43" s="570"/>
      <c r="E43" s="990"/>
      <c r="F43" s="991"/>
      <c r="G43" s="1960"/>
      <c r="H43" s="605"/>
    </row>
    <row r="46" s="13258" customFormat="1" customHeight="1" ht="17.25">
      <c r="A46" s="1953" t="s">
        <v>1935</v>
      </c>
    </row>
    <row r="48" s="11525" customFormat="1" customHeight="1" ht="18.75">
      <c r="A48" s="218"/>
      <c r="B48" s="1961"/>
      <c r="C48" s="1961"/>
      <c r="D48" s="1962"/>
      <c r="E48" s="1947"/>
      <c r="F48" s="998">
        <v>13</v>
      </c>
      <c r="G48" s="997"/>
      <c r="H48" s="923"/>
      <c r="I48" s="921"/>
      <c r="J48" s="650" t="s">
        <v>64</v>
      </c>
      <c r="K48" s="1963" t="s">
        <v>18</v>
      </c>
      <c r="L48" s="218"/>
      <c r="M48" s="1773"/>
      <c r="N48" s="1773"/>
      <c r="O48" s="1773"/>
      <c r="P48" s="646" t="s">
        <v>472</v>
      </c>
      <c r="Q48" s="646" t="s">
        <v>473</v>
      </c>
      <c r="R48" s="647" t="s">
        <v>474</v>
      </c>
      <c r="S48" s="1773" t="s">
        <v>475</v>
      </c>
      <c r="T48" s="1773"/>
      <c r="U48" s="1773"/>
      <c r="V48" s="1773"/>
    </row>
    <row r="50" s="13258" customFormat="1" customHeight="1" ht="11.25">
      <c r="A50" s="1953" t="s">
        <v>1936</v>
      </c>
    </row>
    <row r="52" s="11775"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461</v>
      </c>
      <c r="AQ52" s="1761" t="s">
        <v>461</v>
      </c>
      <c r="AR52" s="1773"/>
      <c r="AS52" s="1773"/>
    </row>
    <row r="54" s="13258" customFormat="1" customHeight="1" ht="11.25">
      <c r="A54" s="1953" t="s">
        <v>1937</v>
      </c>
    </row>
    <row r="56" s="13285" customFormat="1" customHeight="1" ht="15">
      <c r="A56" s="275" t="s">
        <v>87</v>
      </c>
      <c r="B56" s="255" t="s">
        <v>18</v>
      </c>
      <c r="C56" s="1964"/>
      <c r="D56" s="258"/>
      <c r="E56" s="511"/>
      <c r="F56" s="511"/>
      <c r="G56" s="1941"/>
      <c r="H56" s="1963"/>
      <c r="I56" s="1942"/>
      <c r="K56" s="402"/>
      <c r="L56" s="403"/>
    </row>
    <row r="58" s="13258" customFormat="1" customHeight="1" ht="11.25">
      <c r="A58" s="1953" t="s">
        <v>1938</v>
      </c>
    </row>
    <row r="60" s="11775" customFormat="1" customHeight="1" ht="14.25">
      <c r="A60" s="473"/>
      <c r="B60" s="1292"/>
      <c r="C60" s="506"/>
      <c r="D60" s="1948"/>
      <c r="E60" s="1016"/>
      <c r="F60" s="1963"/>
      <c r="G60" s="218"/>
      <c r="I60" s="1761"/>
      <c r="J60" s="1761"/>
    </row>
    <row r="62" s="13258" customFormat="1" customHeight="1" ht="11.25">
      <c r="A62" s="1953" t="s">
        <v>1939</v>
      </c>
    </row>
    <row r="64" s="11775" customFormat="1" customHeight="1" ht="27">
      <c r="A64" s="1298"/>
      <c r="B64" s="1298"/>
      <c r="C64" s="1298"/>
      <c r="D64" s="1292"/>
      <c r="E64" s="1965"/>
      <c r="F64" s="2605"/>
      <c r="G64" s="2606"/>
      <c r="H64" s="2607" t="s">
        <v>64</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64</v>
      </c>
      <c r="Z64" s="1946"/>
      <c r="AA64" s="1930">
        <v>1</v>
      </c>
      <c r="AB64" s="1378"/>
      <c r="AD64" s="1773" t="s">
        <v>1940</v>
      </c>
    </row>
    <row s="11775"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1941</v>
      </c>
    </row>
    <row r="67" s="13258" customFormat="1" customHeight="1" ht="11.25">
      <c r="A67" s="1953" t="s">
        <v>1942</v>
      </c>
    </row>
    <row r="69" s="11775"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1940</v>
      </c>
    </row>
    <row r="71" s="13258" customFormat="1" customHeight="1" ht="11.25">
      <c r="A71" s="1953" t="s">
        <v>1943</v>
      </c>
    </row>
    <row customHeight="1" ht="17.25"/>
    <row s="11775"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775" customFormat="1" customHeight="1" ht="11.25">
      <c r="A74" s="1298"/>
      <c r="B74" s="1298"/>
      <c r="C74" s="1298"/>
      <c r="D74" s="1292"/>
      <c r="E74" s="1302"/>
      <c r="F74" s="2566"/>
      <c r="G74" s="2548"/>
      <c r="H74" s="2548" t="s">
        <v>165</v>
      </c>
      <c r="I74" s="2549"/>
      <c r="J74" s="2516"/>
      <c r="K74" s="2550"/>
      <c r="L74" s="2540" t="s">
        <v>54</v>
      </c>
      <c r="M74" s="2148"/>
      <c r="N74" s="1311"/>
      <c r="O74" s="1310" t="s">
        <v>456</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775" customFormat="1" customHeight="1" ht="11.25">
      <c r="A75" s="1298"/>
      <c r="B75" s="1298"/>
      <c r="C75" s="1298"/>
      <c r="D75" s="1292"/>
      <c r="E75" s="1302"/>
      <c r="F75" s="2566"/>
      <c r="G75" s="2548"/>
      <c r="H75" s="2548"/>
      <c r="I75" s="2549"/>
      <c r="J75" s="2516"/>
      <c r="K75" s="2550"/>
      <c r="L75" s="2540"/>
      <c r="M75" s="2148"/>
      <c r="N75" s="2541"/>
      <c r="O75" s="2542">
        <v>1</v>
      </c>
      <c r="P75" s="2543" t="s">
        <v>54</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775"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775"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1944</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775" customFormat="1" customHeight="1" ht="11.25">
      <c r="A78" s="1298"/>
      <c r="B78" s="1298"/>
      <c r="C78" s="1298"/>
      <c r="D78" s="1292"/>
      <c r="E78" s="1302"/>
      <c r="F78" s="2566"/>
      <c r="G78" s="2548"/>
      <c r="H78" s="2548"/>
      <c r="I78" s="2549"/>
      <c r="J78" s="2516"/>
      <c r="K78" s="2550"/>
      <c r="L78" s="2540"/>
      <c r="M78" s="2148"/>
      <c r="N78" s="1309"/>
      <c r="O78" s="1309"/>
      <c r="P78" s="1300" t="s">
        <v>1945</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775" customFormat="1" customHeight="1" ht="12">
      <c r="A79" s="1298"/>
      <c r="B79" s="1298"/>
      <c r="C79" s="1298"/>
      <c r="D79" s="1292"/>
      <c r="E79" s="1302"/>
      <c r="F79" s="2567"/>
      <c r="G79" s="1324"/>
      <c r="H79" s="1324"/>
      <c r="I79" s="2565" t="s">
        <v>1946</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3258" customFormat="1" customHeight="1" ht="11.25">
      <c r="A81" s="1953" t="s">
        <v>1947</v>
      </c>
    </row>
    <row r="83" s="11775" customFormat="1" customHeight="1" ht="11.25">
      <c r="A83" s="1298"/>
      <c r="B83" s="1298"/>
      <c r="C83" s="1298"/>
      <c r="D83" s="1292"/>
      <c r="E83" s="1302"/>
      <c r="F83" s="1967"/>
      <c r="G83" s="1968"/>
      <c r="H83" s="1968"/>
      <c r="I83" s="1901"/>
      <c r="J83" s="1901"/>
      <c r="K83" s="1969"/>
      <c r="L83" s="1901"/>
      <c r="M83" s="1968"/>
      <c r="N83" s="2604"/>
      <c r="O83" s="2542">
        <v>1</v>
      </c>
      <c r="P83" s="2543" t="s">
        <v>54</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775"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775"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1944</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3258" customFormat="1" customHeight="1" ht="11.25">
      <c r="A87" s="1953" t="s">
        <v>1948</v>
      </c>
    </row>
    <row r="89" s="11775"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3258" customFormat="1" customHeight="1" ht="11.25">
      <c r="A91" s="1953" t="s">
        <v>1949</v>
      </c>
    </row>
    <row r="93" s="11775" customFormat="1" customHeight="1" ht="11.25">
      <c r="A93" s="1298"/>
      <c r="B93" s="1298"/>
      <c r="C93" s="1298"/>
      <c r="D93" s="1292"/>
      <c r="E93" s="1302"/>
      <c r="F93" s="1967"/>
      <c r="G93" s="1968"/>
      <c r="H93" s="2548" t="s">
        <v>165</v>
      </c>
      <c r="I93" s="2549"/>
      <c r="J93" s="2516"/>
      <c r="K93" s="2550"/>
      <c r="L93" s="2540" t="s">
        <v>54</v>
      </c>
      <c r="M93" s="2148"/>
      <c r="N93" s="1311"/>
      <c r="O93" s="1310" t="s">
        <v>456</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775" customFormat="1" customHeight="1" ht="11.25">
      <c r="A94" s="1298"/>
      <c r="B94" s="1298"/>
      <c r="C94" s="1298"/>
      <c r="D94" s="1292"/>
      <c r="E94" s="1302"/>
      <c r="F94" s="1967"/>
      <c r="G94" s="1968"/>
      <c r="H94" s="2548"/>
      <c r="I94" s="2549"/>
      <c r="J94" s="2516"/>
      <c r="K94" s="2550"/>
      <c r="L94" s="2540"/>
      <c r="M94" s="2148"/>
      <c r="N94" s="2541"/>
      <c r="O94" s="2542">
        <v>1</v>
      </c>
      <c r="P94" s="2543" t="s">
        <v>54</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775"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775"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1944</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775" customFormat="1" customHeight="1" ht="11.25">
      <c r="A97" s="1298"/>
      <c r="B97" s="1298"/>
      <c r="C97" s="1298"/>
      <c r="D97" s="1292"/>
      <c r="E97" s="1302"/>
      <c r="F97" s="1967"/>
      <c r="G97" s="1968"/>
      <c r="H97" s="2548"/>
      <c r="I97" s="2549"/>
      <c r="J97" s="2516"/>
      <c r="K97" s="2550"/>
      <c r="L97" s="2540"/>
      <c r="M97" s="2148"/>
      <c r="N97" s="1309"/>
      <c r="O97" s="1309"/>
      <c r="P97" s="1300" t="s">
        <v>1945</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3258" customFormat="1" customHeight="1" ht="11.25">
      <c r="A99" s="1953" t="s">
        <v>1950</v>
      </c>
    </row>
    <row customHeight="1" ht="17.25"/>
    <row s="12747"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2747"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2747" customFormat="1" customHeight="1" ht="12">
      <c r="A103" s="1054"/>
      <c r="B103" s="1053"/>
      <c r="C103" s="1054"/>
      <c r="D103" s="1054"/>
      <c r="E103" s="1054"/>
      <c r="F103" s="1348"/>
      <c r="G103" s="1938" t="s">
        <v>1951</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3258" customFormat="1" customHeight="1" ht="11.25">
      <c r="A105" s="1953" t="s">
        <v>1952</v>
      </c>
    </row>
    <row r="107" s="11007" customFormat="1" customHeight="1" ht="15">
      <c r="A107" s="753"/>
      <c r="B107" s="754"/>
      <c r="C107" s="754"/>
      <c r="D107" s="2601" t="s">
        <v>165</v>
      </c>
      <c r="E107" s="2406" t="s">
        <v>161</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692</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1007" customFormat="1" customHeight="1" ht="15">
      <c r="A108" s="753"/>
      <c r="B108" s="754"/>
      <c r="C108" s="754"/>
      <c r="D108" s="2602"/>
      <c r="E108" s="2406" t="s">
        <v>647</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1007" customFormat="1" customHeight="1" ht="15">
      <c r="A109" s="753"/>
      <c r="B109" s="754"/>
      <c r="C109" s="754"/>
      <c r="D109" s="2602"/>
      <c r="E109" s="2406" t="s">
        <v>648</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1007" customFormat="1" customHeight="1" ht="24.75">
      <c r="A110" s="1944"/>
      <c r="B110" s="1292"/>
      <c r="C110" s="542"/>
      <c r="D110" s="2602"/>
      <c r="E110" s="2405" t="s">
        <v>693</v>
      </c>
      <c r="F110" s="2405"/>
      <c r="G110" s="2405"/>
      <c r="H110" s="2405"/>
      <c r="I110" s="2405"/>
      <c r="J110" s="2405"/>
      <c r="K110" s="2405"/>
      <c r="L110" s="2405"/>
      <c r="M110" s="2405"/>
      <c r="N110" s="2405"/>
      <c r="O110" s="2405"/>
      <c r="P110" s="2405"/>
      <c r="Q110" s="688">
        <f>SUMIF(T111:T112,"i",Q111:Q112)</f>
        <v>0</v>
      </c>
      <c r="R110" s="1148"/>
      <c r="S110" s="1936" t="s">
        <v>694</v>
      </c>
      <c r="T110" s="847" t="s">
        <v>695</v>
      </c>
      <c r="U110" s="2403">
        <v>1</v>
      </c>
      <c r="V110" s="2403" t="s">
        <v>658</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1007"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1007" customFormat="1" customHeight="1" ht="11.25">
      <c r="A112" s="1944"/>
      <c r="B112" s="1292"/>
      <c r="C112" s="542"/>
      <c r="D112" s="2602"/>
      <c r="E112" s="779" t="s">
        <v>18</v>
      </c>
      <c r="F112" s="1300" t="s">
        <v>18</v>
      </c>
      <c r="G112" s="1300" t="s">
        <v>698</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1007" customFormat="1" customHeight="1" ht="24.75">
      <c r="A113" s="1944"/>
      <c r="B113" s="1292"/>
      <c r="C113" s="542"/>
      <c r="D113" s="2602"/>
      <c r="E113" s="2405" t="s">
        <v>696</v>
      </c>
      <c r="F113" s="2405"/>
      <c r="G113" s="2405"/>
      <c r="H113" s="2405"/>
      <c r="I113" s="2405"/>
      <c r="J113" s="2405"/>
      <c r="K113" s="2405"/>
      <c r="L113" s="2405"/>
      <c r="M113" s="2405"/>
      <c r="N113" s="2405"/>
      <c r="O113" s="2405"/>
      <c r="P113" s="2405"/>
      <c r="Q113" s="688">
        <f>SUMIF(T114:T115,"i",Q114:Q115)</f>
        <v>0</v>
      </c>
      <c r="R113" s="1148"/>
      <c r="S113" s="1936" t="s">
        <v>697</v>
      </c>
      <c r="T113" s="847" t="s">
        <v>695</v>
      </c>
      <c r="U113" s="2403">
        <v>1</v>
      </c>
      <c r="V113" s="2403" t="s">
        <v>658</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1007"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1007" customFormat="1" customHeight="1" ht="11.25">
      <c r="A115" s="1944"/>
      <c r="B115" s="1292"/>
      <c r="C115" s="542"/>
      <c r="D115" s="2603"/>
      <c r="E115" s="779" t="s">
        <v>18</v>
      </c>
      <c r="F115" s="1300" t="s">
        <v>18</v>
      </c>
      <c r="G115" s="1300" t="s">
        <v>698</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3258" customFormat="1" customHeight="1" ht="11.25">
      <c r="A117" s="1953" t="s">
        <v>1953</v>
      </c>
    </row>
    <row r="119" s="11007" customFormat="1" customHeight="1" ht="15" hidden="1">
      <c r="A119" s="753"/>
      <c r="B119" s="754"/>
      <c r="C119" s="754"/>
      <c r="D119" s="2601" t="s">
        <v>165</v>
      </c>
      <c r="E119" s="2406" t="s">
        <v>161</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692</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1007" customFormat="1" customHeight="1" ht="15" hidden="1">
      <c r="A120" s="753"/>
      <c r="B120" s="754"/>
      <c r="C120" s="754"/>
      <c r="D120" s="2602"/>
      <c r="E120" s="2406" t="s">
        <v>647</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1007" customFormat="1" customHeight="1" ht="15" hidden="1">
      <c r="A121" s="753"/>
      <c r="B121" s="754"/>
      <c r="C121" s="754"/>
      <c r="D121" s="2602"/>
      <c r="E121" s="2406" t="s">
        <v>648</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1007" customFormat="1" customHeight="1" ht="24.75" hidden="1">
      <c r="A122" s="1944"/>
      <c r="B122" s="1292"/>
      <c r="C122" s="542"/>
      <c r="D122" s="2602"/>
      <c r="E122" s="2405" t="s">
        <v>693</v>
      </c>
      <c r="F122" s="2405"/>
      <c r="G122" s="2405"/>
      <c r="H122" s="2405"/>
      <c r="I122" s="2405"/>
      <c r="J122" s="2405"/>
      <c r="K122" s="2405"/>
      <c r="L122" s="2405"/>
      <c r="M122" s="2405"/>
      <c r="N122" s="2405"/>
      <c r="O122" s="2405"/>
      <c r="P122" s="2405"/>
      <c r="Q122" s="688">
        <f>SUMIF(T123:T124,"i",Q123:Q124)</f>
        <v>0</v>
      </c>
      <c r="R122" s="1148"/>
      <c r="S122" s="1936" t="s">
        <v>694</v>
      </c>
      <c r="T122" s="847" t="s">
        <v>695</v>
      </c>
      <c r="U122" s="2403">
        <v>1</v>
      </c>
      <c r="V122" s="2403" t="s">
        <v>658</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1007"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1007" customFormat="1" customHeight="1" ht="11.25" hidden="1">
      <c r="A124" s="1944"/>
      <c r="B124" s="1292"/>
      <c r="C124" s="542"/>
      <c r="D124" s="2602"/>
      <c r="E124" s="779" t="s">
        <v>18</v>
      </c>
      <c r="F124" s="1300" t="s">
        <v>18</v>
      </c>
      <c r="G124" s="1300" t="s">
        <v>698</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1280"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695</v>
      </c>
      <c r="U125" s="2403">
        <v>1</v>
      </c>
      <c r="V125" s="2403" t="s">
        <v>658</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1280"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1280"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3258" customFormat="1" customHeight="1" ht="11.25">
      <c r="A129" s="1953" t="s">
        <v>1954</v>
      </c>
    </row>
    <row r="131" s="11007" customFormat="1" customHeight="1" ht="45">
      <c r="A131" s="1944"/>
      <c r="B131" s="1292"/>
      <c r="C131" s="542"/>
      <c r="D131" s="218"/>
      <c r="E131" s="2592"/>
      <c r="F131" s="2148" t="s">
        <v>165</v>
      </c>
      <c r="G131" s="2595" t="s">
        <v>18</v>
      </c>
      <c r="H131" s="419"/>
      <c r="I131" s="767" t="s">
        <v>165</v>
      </c>
      <c r="J131" s="1945" t="s">
        <v>1955</v>
      </c>
      <c r="K131" s="768" t="s">
        <v>629</v>
      </c>
      <c r="L131" s="2263" t="s">
        <v>629</v>
      </c>
      <c r="M131" s="2597"/>
      <c r="N131" s="768" t="s">
        <v>629</v>
      </c>
      <c r="O131" s="768" t="s">
        <v>629</v>
      </c>
      <c r="P131" s="768" t="s">
        <v>629</v>
      </c>
      <c r="Q131" s="769">
        <f>SUM(Q132:Q134)</f>
        <v>0</v>
      </c>
      <c r="R131" s="769">
        <f>IF(R128=0,0,(Q128/R128)*100)</f>
        <v>0</v>
      </c>
      <c r="S131" s="2217"/>
      <c r="T131" s="847" t="s">
        <v>695</v>
      </c>
      <c r="U131" s="218"/>
      <c r="V131" s="218"/>
      <c r="AC131" s="218"/>
    </row>
    <row s="11007" customFormat="1" customHeight="1" ht="11.25">
      <c r="A132" s="1944"/>
      <c r="B132" s="1292"/>
      <c r="C132" s="542"/>
      <c r="D132" s="218"/>
      <c r="E132" s="2593"/>
      <c r="F132" s="2148"/>
      <c r="G132" s="2595"/>
      <c r="H132" s="2167"/>
      <c r="I132" s="2548" t="s">
        <v>1042</v>
      </c>
      <c r="J132" s="2598"/>
      <c r="K132" s="2599"/>
      <c r="L132" s="770"/>
      <c r="M132" s="771" t="s">
        <v>165</v>
      </c>
      <c r="N132" s="1933"/>
      <c r="O132" s="772"/>
      <c r="P132" s="773"/>
      <c r="Q132" s="772"/>
      <c r="R132" s="774">
        <v>0</v>
      </c>
      <c r="S132" s="2217"/>
      <c r="T132" s="847"/>
      <c r="U132" s="218"/>
      <c r="V132" s="218"/>
      <c r="AC132" s="218"/>
    </row>
    <row s="11007" customFormat="1" customHeight="1" ht="11.25">
      <c r="A133" s="1944"/>
      <c r="B133" s="1292"/>
      <c r="C133" s="542"/>
      <c r="D133" s="218"/>
      <c r="E133" s="2593"/>
      <c r="F133" s="2148"/>
      <c r="G133" s="2595"/>
      <c r="H133" s="2167"/>
      <c r="I133" s="2548"/>
      <c r="J133" s="2598"/>
      <c r="K133" s="2600"/>
      <c r="L133" s="775"/>
      <c r="M133" s="776"/>
      <c r="N133" s="777" t="s">
        <v>1956</v>
      </c>
      <c r="O133" s="777"/>
      <c r="P133" s="777"/>
      <c r="Q133" s="777"/>
      <c r="R133" s="778"/>
      <c r="S133" s="2217"/>
      <c r="T133" s="847"/>
      <c r="U133" s="218"/>
      <c r="V133" s="218"/>
      <c r="AC133" s="218"/>
    </row>
    <row s="11007" customFormat="1" customHeight="1" ht="11.25">
      <c r="A134" s="1944"/>
      <c r="B134" s="1292"/>
      <c r="C134" s="542"/>
      <c r="D134" s="218"/>
      <c r="E134" s="2594"/>
      <c r="F134" s="2148"/>
      <c r="G134" s="2596"/>
      <c r="H134" s="775" t="s">
        <v>18</v>
      </c>
      <c r="I134" s="776"/>
      <c r="J134" s="777" t="s">
        <v>1957</v>
      </c>
      <c r="K134" s="777"/>
      <c r="L134" s="777"/>
      <c r="M134" s="777"/>
      <c r="N134" s="777"/>
      <c r="O134" s="777"/>
      <c r="P134" s="777"/>
      <c r="Q134" s="777"/>
      <c r="R134" s="778"/>
      <c r="S134" s="2217"/>
      <c r="T134" s="847"/>
      <c r="U134" s="218"/>
      <c r="V134" s="218"/>
      <c r="AC134" s="218"/>
    </row>
    <row r="139" s="11007" customFormat="1" customHeight="1" ht="11.25">
      <c r="A139" s="1944"/>
      <c r="B139" s="1292"/>
      <c r="C139" s="542"/>
      <c r="D139" s="218"/>
      <c r="E139" s="1968"/>
      <c r="F139" s="1968"/>
      <c r="G139" s="1968"/>
      <c r="H139" s="2167"/>
      <c r="I139" s="2548" t="s">
        <v>1042</v>
      </c>
      <c r="J139" s="2598"/>
      <c r="K139" s="2599"/>
      <c r="L139" s="770"/>
      <c r="M139" s="771" t="s">
        <v>165</v>
      </c>
      <c r="N139" s="1933"/>
      <c r="O139" s="772"/>
      <c r="P139" s="773"/>
      <c r="Q139" s="772"/>
      <c r="R139" s="774">
        <v>0</v>
      </c>
      <c r="S139" s="218"/>
      <c r="T139" s="847"/>
      <c r="U139" s="218"/>
      <c r="V139" s="218"/>
      <c r="AC139" s="218"/>
    </row>
    <row s="11007" customFormat="1" customHeight="1" ht="11.25">
      <c r="A140" s="1944"/>
      <c r="B140" s="1292"/>
      <c r="C140" s="542"/>
      <c r="D140" s="218"/>
      <c r="E140" s="1968"/>
      <c r="F140" s="1968"/>
      <c r="G140" s="1968"/>
      <c r="H140" s="2167"/>
      <c r="I140" s="2548"/>
      <c r="J140" s="2598"/>
      <c r="K140" s="2600"/>
      <c r="L140" s="775"/>
      <c r="M140" s="776"/>
      <c r="N140" s="777" t="s">
        <v>1956</v>
      </c>
      <c r="O140" s="777"/>
      <c r="P140" s="777"/>
      <c r="Q140" s="777"/>
      <c r="R140" s="778"/>
      <c r="S140" s="218"/>
      <c r="T140" s="847"/>
      <c r="U140" s="218"/>
      <c r="V140" s="218"/>
      <c r="AC140" s="218"/>
    </row>
    <row r="142" s="11007" customFormat="1" customHeight="1" ht="11.25">
      <c r="A142" s="1944"/>
      <c r="B142" s="1292"/>
      <c r="C142" s="542"/>
      <c r="D142" s="218"/>
      <c r="E142" s="1975"/>
      <c r="F142" s="1973"/>
      <c r="G142" s="1973"/>
      <c r="H142" s="1976"/>
      <c r="I142" s="1968"/>
      <c r="J142" s="1969"/>
      <c r="K142" s="1969"/>
      <c r="L142" s="770"/>
      <c r="M142" s="771" t="s">
        <v>165</v>
      </c>
      <c r="N142" s="1933"/>
      <c r="O142" s="772"/>
      <c r="P142" s="773"/>
      <c r="Q142" s="772"/>
      <c r="R142" s="774">
        <v>0</v>
      </c>
      <c r="S142" s="218"/>
      <c r="T142" s="847"/>
      <c r="U142" s="218"/>
      <c r="V142" s="218"/>
      <c r="AC142" s="218"/>
    </row>
    <row r="144" s="13258" customFormat="1" customHeight="1" ht="17.25">
      <c r="A144" s="1953" t="s">
        <v>1958</v>
      </c>
    </row>
    <row customHeight="1" ht="17.25">
      <c r="G145" s="1977"/>
      <c r="H145" s="1977"/>
      <c r="I145" s="1977"/>
      <c r="M145" s="1973"/>
    </row>
    <row s="13419" customFormat="1" customHeight="1" ht="17.25">
      <c r="A146" s="1978"/>
      <c r="C146" s="1980"/>
      <c r="D146" s="2537"/>
      <c r="E146" s="2183"/>
      <c r="F146" s="2185"/>
      <c r="G146" s="2563"/>
      <c r="H146" s="2537"/>
      <c r="I146" s="2537">
        <v>1</v>
      </c>
      <c r="J146" s="2533"/>
      <c r="K146" s="2223" t="s">
        <v>64</v>
      </c>
      <c r="L146" s="2148"/>
      <c r="M146" s="2148" t="s">
        <v>165</v>
      </c>
      <c r="N146" s="2535" t="str">
        <f>IF(Z146="","",INDEX(TERRITORY_MR_LIST,MATCH(Z146,TERRITORY_LIST_ID,0)))</f>
        <v/>
      </c>
      <c r="O146" s="2223" t="s">
        <v>64</v>
      </c>
      <c r="P146" s="2148"/>
      <c r="Q146" s="2148" t="s">
        <v>165</v>
      </c>
      <c r="R146" s="2532" t="s">
        <v>18</v>
      </c>
      <c r="S146" s="2147" t="s">
        <v>64</v>
      </c>
      <c r="T146" s="1949"/>
      <c r="U146" s="1949" t="s">
        <v>165</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3419"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494</v>
      </c>
      <c r="W147" s="449"/>
      <c r="Y147" s="1396"/>
      <c r="Z147" s="1396"/>
      <c r="AA147" s="1396"/>
      <c r="AB147" s="1396"/>
      <c r="AC147" s="1396"/>
      <c r="AD147" s="1396"/>
      <c r="AE147" s="1396"/>
      <c r="AF147" s="1396"/>
      <c r="AG147" s="1396"/>
      <c r="AH147" s="1396"/>
      <c r="AI147" s="1396"/>
      <c r="AJ147" s="1396"/>
      <c r="AK147" s="1396"/>
    </row>
    <row s="13419" customFormat="1" customHeight="1" ht="17.25">
      <c r="A148" s="1978"/>
      <c r="C148" s="1983"/>
      <c r="D148" s="2534"/>
      <c r="E148" s="2562"/>
      <c r="F148" s="2186"/>
      <c r="G148" s="2564"/>
      <c r="H148" s="2534"/>
      <c r="I148" s="2534"/>
      <c r="J148" s="2538"/>
      <c r="K148" s="2224"/>
      <c r="L148" s="2534"/>
      <c r="M148" s="2534"/>
      <c r="N148" s="2536"/>
      <c r="O148" s="2152"/>
      <c r="P148" s="447"/>
      <c r="Q148" s="448"/>
      <c r="R148" s="448" t="s">
        <v>495</v>
      </c>
      <c r="S148" s="1984"/>
      <c r="T148" s="1984"/>
      <c r="U148" s="1984"/>
      <c r="V148" s="1984"/>
      <c r="W148" s="449"/>
      <c r="Y148" s="1396"/>
      <c r="Z148" s="1396"/>
      <c r="AA148" s="1396"/>
      <c r="AB148" s="1396"/>
      <c r="AC148" s="1396"/>
      <c r="AD148" s="1396"/>
      <c r="AE148" s="1396"/>
      <c r="AF148" s="1396"/>
      <c r="AG148" s="1396"/>
      <c r="AH148" s="1396"/>
      <c r="AI148" s="1396"/>
      <c r="AJ148" s="1396"/>
      <c r="AK148" s="1396"/>
    </row>
    <row s="13419" customFormat="1" customHeight="1" ht="17.25">
      <c r="A149" s="1978"/>
      <c r="C149" s="1983"/>
      <c r="D149" s="2534"/>
      <c r="E149" s="2562"/>
      <c r="F149" s="2186"/>
      <c r="G149" s="2564"/>
      <c r="H149" s="2534"/>
      <c r="I149" s="2534"/>
      <c r="J149" s="2538"/>
      <c r="K149" s="2152"/>
      <c r="L149" s="447"/>
      <c r="M149" s="448"/>
      <c r="N149" s="448" t="s">
        <v>496</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3419" customFormat="1" customHeight="1" ht="17.25">
      <c r="A150" s="1978"/>
      <c r="C150" s="1983"/>
      <c r="D150" s="2534"/>
      <c r="E150" s="2562"/>
      <c r="F150" s="2187"/>
      <c r="G150" s="2564"/>
      <c r="H150" s="447"/>
      <c r="I150" s="448"/>
      <c r="J150" s="448" t="s">
        <v>528</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3419" customFormat="1" customHeight="1" ht="17.25">
      <c r="A152" s="1978"/>
      <c r="C152" s="1980"/>
      <c r="D152" s="1968"/>
      <c r="E152" s="1985"/>
      <c r="F152" s="1922"/>
      <c r="G152" s="1986"/>
      <c r="H152" s="2537"/>
      <c r="I152" s="2537">
        <v>1</v>
      </c>
      <c r="J152" s="2533"/>
      <c r="K152" s="2223" t="s">
        <v>64</v>
      </c>
      <c r="L152" s="2148"/>
      <c r="M152" s="2148" t="s">
        <v>165</v>
      </c>
      <c r="N152" s="2535" t="str">
        <f>IF(Z152="","",INDEX(TERRITORY_MR_LIST,MATCH(Z152,TERRITORY_LIST_ID,0)))</f>
        <v/>
      </c>
      <c r="O152" s="2223" t="s">
        <v>64</v>
      </c>
      <c r="P152" s="2148"/>
      <c r="Q152" s="2148" t="s">
        <v>165</v>
      </c>
      <c r="R152" s="2532" t="s">
        <v>18</v>
      </c>
      <c r="S152" s="2147" t="s">
        <v>64</v>
      </c>
      <c r="T152" s="1949"/>
      <c r="U152" s="1949" t="s">
        <v>165</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3419"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494</v>
      </c>
      <c r="W153" s="449"/>
      <c r="Y153" s="1396"/>
      <c r="Z153" s="1396"/>
      <c r="AA153" s="1396"/>
      <c r="AB153" s="1396"/>
      <c r="AC153" s="1396"/>
      <c r="AD153" s="1396"/>
      <c r="AE153" s="1396"/>
      <c r="AF153" s="1396"/>
      <c r="AG153" s="1396"/>
      <c r="AH153" s="1396"/>
      <c r="AI153" s="1396"/>
      <c r="AJ153" s="1396"/>
      <c r="AK153" s="1396"/>
    </row>
    <row s="13419" customFormat="1" customHeight="1" ht="17.25">
      <c r="A154" s="1978"/>
      <c r="C154" s="1983"/>
      <c r="D154" s="1968"/>
      <c r="E154" s="1985"/>
      <c r="F154" s="1922"/>
      <c r="G154" s="1986"/>
      <c r="H154" s="2534"/>
      <c r="I154" s="2534"/>
      <c r="J154" s="2538"/>
      <c r="K154" s="2224"/>
      <c r="L154" s="2534"/>
      <c r="M154" s="2534"/>
      <c r="N154" s="2536"/>
      <c r="O154" s="2152"/>
      <c r="P154" s="447"/>
      <c r="Q154" s="448"/>
      <c r="R154" s="448" t="s">
        <v>495</v>
      </c>
      <c r="S154" s="1984"/>
      <c r="T154" s="1984"/>
      <c r="U154" s="1984"/>
      <c r="V154" s="1984"/>
      <c r="W154" s="449"/>
      <c r="Y154" s="1396"/>
      <c r="Z154" s="1396"/>
      <c r="AA154" s="1396"/>
      <c r="AB154" s="1396"/>
      <c r="AC154" s="1396"/>
      <c r="AD154" s="1396"/>
      <c r="AE154" s="1396"/>
      <c r="AF154" s="1396"/>
      <c r="AG154" s="1396"/>
      <c r="AH154" s="1396"/>
      <c r="AI154" s="1396"/>
      <c r="AJ154" s="1396"/>
      <c r="AK154" s="1396"/>
    </row>
    <row s="13419" customFormat="1" customHeight="1" ht="17.25">
      <c r="A155" s="1978"/>
      <c r="C155" s="1983"/>
      <c r="D155" s="1968"/>
      <c r="E155" s="1985"/>
      <c r="F155" s="1922"/>
      <c r="G155" s="1986"/>
      <c r="H155" s="2534"/>
      <c r="I155" s="2534"/>
      <c r="J155" s="2538"/>
      <c r="K155" s="2152"/>
      <c r="L155" s="447"/>
      <c r="M155" s="448"/>
      <c r="N155" s="448" t="s">
        <v>496</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3419" customFormat="1" customHeight="1" ht="17.25">
      <c r="A157" s="1978"/>
      <c r="C157" s="1980"/>
      <c r="D157" s="1968"/>
      <c r="E157" s="1985"/>
      <c r="F157" s="1922"/>
      <c r="G157" s="1986"/>
      <c r="H157" s="1968"/>
      <c r="I157" s="1968"/>
      <c r="J157" s="1987"/>
      <c r="K157" s="1897"/>
      <c r="L157" s="2148"/>
      <c r="M157" s="2148" t="s">
        <v>165</v>
      </c>
      <c r="N157" s="2535" t="str">
        <f>IF(Z157="","",INDEX(TERRITORY_MR_LIST,MATCH(Z157,TERRITORY_LIST_ID,0)))</f>
        <v/>
      </c>
      <c r="O157" s="2223" t="s">
        <v>64</v>
      </c>
      <c r="P157" s="2148"/>
      <c r="Q157" s="2148" t="s">
        <v>165</v>
      </c>
      <c r="R157" s="2532" t="s">
        <v>18</v>
      </c>
      <c r="S157" s="2147" t="s">
        <v>64</v>
      </c>
      <c r="T157" s="1949"/>
      <c r="U157" s="1949" t="s">
        <v>165</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3419"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494</v>
      </c>
      <c r="W158" s="449"/>
      <c r="Y158" s="1396"/>
      <c r="Z158" s="1396"/>
      <c r="AA158" s="1396"/>
      <c r="AB158" s="1396"/>
      <c r="AC158" s="1396"/>
      <c r="AD158" s="1396"/>
      <c r="AE158" s="1396"/>
      <c r="AF158" s="1396"/>
      <c r="AG158" s="1396"/>
      <c r="AH158" s="1396"/>
      <c r="AI158" s="1396"/>
      <c r="AJ158" s="1396"/>
      <c r="AK158" s="1396"/>
    </row>
    <row s="13419" customFormat="1" customHeight="1" ht="17.25">
      <c r="A159" s="1978"/>
      <c r="C159" s="1983"/>
      <c r="D159" s="1968"/>
      <c r="E159" s="1985"/>
      <c r="F159" s="1922"/>
      <c r="G159" s="1986"/>
      <c r="H159" s="1968"/>
      <c r="I159" s="1968"/>
      <c r="J159" s="1987"/>
      <c r="K159" s="1897"/>
      <c r="L159" s="2534"/>
      <c r="M159" s="2534"/>
      <c r="N159" s="2536"/>
      <c r="O159" s="2152"/>
      <c r="P159" s="447"/>
      <c r="Q159" s="448"/>
      <c r="R159" s="448" t="s">
        <v>495</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3419" customFormat="1" customHeight="1" ht="17.25">
      <c r="A161" s="1978"/>
      <c r="C161" s="1980"/>
      <c r="D161" s="1968"/>
      <c r="E161" s="1985"/>
      <c r="F161" s="1922"/>
      <c r="G161" s="1986"/>
      <c r="H161" s="1968"/>
      <c r="I161" s="1968"/>
      <c r="J161" s="1987"/>
      <c r="K161" s="1897"/>
      <c r="L161" s="1893"/>
      <c r="M161" s="1893"/>
      <c r="N161" s="1988"/>
      <c r="O161" s="1925"/>
      <c r="P161" s="2148"/>
      <c r="Q161" s="2148" t="s">
        <v>165</v>
      </c>
      <c r="R161" s="2532" t="s">
        <v>18</v>
      </c>
      <c r="S161" s="2147" t="s">
        <v>64</v>
      </c>
      <c r="T161" s="1949"/>
      <c r="U161" s="1949" t="s">
        <v>165</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3419"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494</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3419"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165</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3258" customFormat="1" customHeight="1" ht="17.25">
      <c r="A166" s="1953" t="s">
        <v>1959</v>
      </c>
    </row>
    <row customHeight="1" ht="17.25">
      <c r="G167" s="1977"/>
      <c r="H167" s="1977"/>
      <c r="I167" s="1977"/>
      <c r="M167" s="1973"/>
    </row>
    <row s="13419" customFormat="1" customHeight="1" ht="17.25">
      <c r="A168" s="1978"/>
      <c r="C168" s="1980"/>
      <c r="D168" s="2537"/>
      <c r="E168" s="2183"/>
      <c r="F168" s="2185"/>
      <c r="G168" s="2563"/>
      <c r="H168" s="2537"/>
      <c r="I168" s="2537">
        <v>1</v>
      </c>
      <c r="J168" s="2533"/>
      <c r="K168" s="2223" t="s">
        <v>64</v>
      </c>
      <c r="L168" s="2148"/>
      <c r="M168" s="2148" t="s">
        <v>165</v>
      </c>
      <c r="N168" s="2535" t="str">
        <f>IF(Z168="","",INDEX(TERRITORY_MR_LIST,MATCH(Z168,TERRITORY_LIST_ID,0)))</f>
        <v/>
      </c>
      <c r="O168" s="2223" t="s">
        <v>64</v>
      </c>
      <c r="P168" s="2148"/>
      <c r="Q168" s="2148" t="s">
        <v>165</v>
      </c>
      <c r="R168" s="2532" t="s">
        <v>18</v>
      </c>
      <c r="S168" s="2432" t="s">
        <v>54</v>
      </c>
      <c r="T168" s="1940"/>
      <c r="U168" s="1940" t="s">
        <v>165</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3419"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3419" customFormat="1" customHeight="1" ht="17.25">
      <c r="A170" s="1978"/>
      <c r="C170" s="1983"/>
      <c r="D170" s="2534"/>
      <c r="E170" s="2562"/>
      <c r="F170" s="2186"/>
      <c r="G170" s="2564"/>
      <c r="H170" s="2534"/>
      <c r="I170" s="2534"/>
      <c r="J170" s="2538"/>
      <c r="K170" s="2224"/>
      <c r="L170" s="2534"/>
      <c r="M170" s="2534"/>
      <c r="N170" s="2536"/>
      <c r="O170" s="2152"/>
      <c r="P170" s="447"/>
      <c r="Q170" s="448"/>
      <c r="R170" s="448" t="s">
        <v>495</v>
      </c>
      <c r="S170" s="1984"/>
      <c r="T170" s="1984"/>
      <c r="U170" s="1984"/>
      <c r="V170" s="1984"/>
      <c r="W170" s="1570"/>
      <c r="Y170" s="1396"/>
      <c r="Z170" s="1396"/>
      <c r="AA170" s="1396"/>
      <c r="AB170" s="1396"/>
      <c r="AC170" s="1396"/>
      <c r="AD170" s="1396"/>
      <c r="AE170" s="1396"/>
      <c r="AF170" s="1396"/>
      <c r="AG170" s="1396"/>
      <c r="AH170" s="1396"/>
      <c r="AI170" s="1396"/>
      <c r="AJ170" s="1396"/>
      <c r="AK170" s="1396"/>
    </row>
    <row s="13419" customFormat="1" customHeight="1" ht="17.25">
      <c r="A171" s="1978"/>
      <c r="C171" s="1983"/>
      <c r="D171" s="2534"/>
      <c r="E171" s="2562"/>
      <c r="F171" s="2186"/>
      <c r="G171" s="2564"/>
      <c r="H171" s="2534"/>
      <c r="I171" s="2534"/>
      <c r="J171" s="2538"/>
      <c r="K171" s="2152"/>
      <c r="L171" s="447"/>
      <c r="M171" s="448"/>
      <c r="N171" s="448" t="s">
        <v>496</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3419" customFormat="1" customHeight="1" ht="17.25">
      <c r="A172" s="1978"/>
      <c r="C172" s="1983"/>
      <c r="D172" s="2534"/>
      <c r="E172" s="2562"/>
      <c r="F172" s="2187"/>
      <c r="G172" s="2564"/>
      <c r="H172" s="447"/>
      <c r="I172" s="448"/>
      <c r="J172" s="448" t="s">
        <v>528</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3419" customFormat="1" customHeight="1" ht="17.25">
      <c r="A174" s="1978"/>
      <c r="C174" s="1980"/>
      <c r="D174" s="1968"/>
      <c r="E174" s="1985"/>
      <c r="F174" s="1922"/>
      <c r="G174" s="1986"/>
      <c r="H174" s="2537"/>
      <c r="I174" s="2537">
        <v>1</v>
      </c>
      <c r="J174" s="2533"/>
      <c r="K174" s="2223" t="s">
        <v>64</v>
      </c>
      <c r="L174" s="2148"/>
      <c r="M174" s="2148" t="s">
        <v>165</v>
      </c>
      <c r="N174" s="2535" t="str">
        <f>IF(Z174="","",INDEX(TERRITORY_MR_LIST,MATCH(Z174,TERRITORY_LIST_ID,0)))</f>
        <v/>
      </c>
      <c r="O174" s="2223" t="s">
        <v>64</v>
      </c>
      <c r="P174" s="2148"/>
      <c r="Q174" s="2148" t="s">
        <v>165</v>
      </c>
      <c r="R174" s="2532" t="s">
        <v>18</v>
      </c>
      <c r="S174" s="2432" t="s">
        <v>54</v>
      </c>
      <c r="T174" s="1940"/>
      <c r="U174" s="1940" t="s">
        <v>165</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3419"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3419" customFormat="1" customHeight="1" ht="17.25">
      <c r="A176" s="1978"/>
      <c r="C176" s="1983"/>
      <c r="D176" s="1968"/>
      <c r="E176" s="1985"/>
      <c r="F176" s="1922"/>
      <c r="G176" s="1986"/>
      <c r="H176" s="2534"/>
      <c r="I176" s="2534"/>
      <c r="J176" s="2538"/>
      <c r="K176" s="2224"/>
      <c r="L176" s="2534"/>
      <c r="M176" s="2534"/>
      <c r="N176" s="2536"/>
      <c r="O176" s="2152"/>
      <c r="P176" s="447"/>
      <c r="Q176" s="448"/>
      <c r="R176" s="448" t="s">
        <v>495</v>
      </c>
      <c r="S176" s="1984"/>
      <c r="T176" s="1984"/>
      <c r="U176" s="1984"/>
      <c r="V176" s="1984"/>
      <c r="W176" s="1570"/>
      <c r="Y176" s="1396"/>
      <c r="Z176" s="1396"/>
      <c r="AA176" s="1396"/>
      <c r="AB176" s="1396"/>
      <c r="AC176" s="1396"/>
      <c r="AD176" s="1396"/>
      <c r="AE176" s="1396"/>
      <c r="AF176" s="1396"/>
      <c r="AG176" s="1396"/>
      <c r="AH176" s="1396"/>
      <c r="AI176" s="1396"/>
      <c r="AJ176" s="1396"/>
      <c r="AK176" s="1396"/>
    </row>
    <row s="13419" customFormat="1" customHeight="1" ht="17.25">
      <c r="A177" s="1978"/>
      <c r="C177" s="1983"/>
      <c r="D177" s="1968"/>
      <c r="E177" s="1985"/>
      <c r="F177" s="1922"/>
      <c r="G177" s="1986"/>
      <c r="H177" s="2534"/>
      <c r="I177" s="2534"/>
      <c r="J177" s="2538"/>
      <c r="K177" s="2152"/>
      <c r="L177" s="447"/>
      <c r="M177" s="448"/>
      <c r="N177" s="448" t="s">
        <v>496</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3419" customFormat="1" customHeight="1" ht="17.25">
      <c r="A179" s="1978"/>
      <c r="C179" s="1980"/>
      <c r="D179" s="1968"/>
      <c r="E179" s="1985"/>
      <c r="F179" s="1922"/>
      <c r="G179" s="1986"/>
      <c r="H179" s="1968"/>
      <c r="I179" s="1968"/>
      <c r="J179" s="1990"/>
      <c r="K179" s="1986"/>
      <c r="L179" s="2148"/>
      <c r="M179" s="2148" t="s">
        <v>165</v>
      </c>
      <c r="N179" s="2535" t="str">
        <f>IF(Z179="","",INDEX(TERRITORY_MR_LIST,MATCH(Z179,TERRITORY_LIST_ID,0)))</f>
        <v/>
      </c>
      <c r="O179" s="2223" t="s">
        <v>64</v>
      </c>
      <c r="P179" s="2148"/>
      <c r="Q179" s="2148" t="s">
        <v>165</v>
      </c>
      <c r="R179" s="2532" t="s">
        <v>18</v>
      </c>
      <c r="S179" s="2432" t="s">
        <v>54</v>
      </c>
      <c r="T179" s="1940"/>
      <c r="U179" s="1940" t="s">
        <v>165</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3419"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3419" customFormat="1" customHeight="1" ht="17.25">
      <c r="A181" s="1978"/>
      <c r="C181" s="1983"/>
      <c r="D181" s="1968"/>
      <c r="E181" s="1985"/>
      <c r="F181" s="1922"/>
      <c r="G181" s="1986"/>
      <c r="H181" s="1968"/>
      <c r="I181" s="1968"/>
      <c r="J181" s="1990"/>
      <c r="K181" s="1986"/>
      <c r="L181" s="2534"/>
      <c r="M181" s="2534"/>
      <c r="N181" s="2536"/>
      <c r="O181" s="2152"/>
      <c r="P181" s="447"/>
      <c r="Q181" s="448"/>
      <c r="R181" s="448" t="s">
        <v>495</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3419" customFormat="1" customHeight="1" ht="17.25">
      <c r="A183" s="1978"/>
      <c r="C183" s="1980"/>
      <c r="D183" s="1968"/>
      <c r="E183" s="1985"/>
      <c r="F183" s="1922"/>
      <c r="G183" s="1986"/>
      <c r="H183" s="1968"/>
      <c r="I183" s="1968"/>
      <c r="J183" s="1990"/>
      <c r="K183" s="1986"/>
      <c r="L183" s="1968"/>
      <c r="M183" s="1968"/>
      <c r="N183" s="1988"/>
      <c r="O183" s="1925"/>
      <c r="P183" s="2148"/>
      <c r="Q183" s="2148" t="s">
        <v>165</v>
      </c>
      <c r="R183" s="2532" t="s">
        <v>18</v>
      </c>
      <c r="S183" s="2432" t="s">
        <v>54</v>
      </c>
      <c r="T183" s="1940"/>
      <c r="U183" s="1940" t="s">
        <v>165</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3419"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3258" customFormat="1" customHeight="1" ht="17.25">
      <c r="A192" s="1953" t="s">
        <v>1960</v>
      </c>
    </row>
    <row customHeight="1" ht="17.25">
      <c r="G193" s="1977"/>
      <c r="H193" s="1977"/>
      <c r="I193" s="1977"/>
      <c r="M193" s="1973"/>
    </row>
    <row s="11007" customFormat="1" customHeight="1" ht="15">
      <c r="D194" s="2556"/>
      <c r="E194" s="2237"/>
      <c r="F194" s="2237"/>
      <c r="G194" s="2223"/>
      <c r="H194" s="1701"/>
      <c r="I194" s="2560">
        <v>1</v>
      </c>
      <c r="J194" s="2533"/>
      <c r="K194" s="1716"/>
      <c r="L194" s="2223" t="s">
        <v>64</v>
      </c>
      <c r="M194" s="2223" t="s">
        <v>64</v>
      </c>
      <c r="N194" s="1701"/>
      <c r="O194" s="2148" t="s">
        <v>165</v>
      </c>
      <c r="P194" s="2550"/>
      <c r="Q194" s="1717"/>
      <c r="R194" s="2223" t="s">
        <v>64</v>
      </c>
      <c r="S194" s="2223" t="s">
        <v>64</v>
      </c>
      <c r="T194" s="1994"/>
      <c r="U194" s="2148" t="s">
        <v>165</v>
      </c>
      <c r="V194" s="2557" t="str">
        <f>IF(AK194="","",INDEX(TERRITORY_MR_LIST,MATCH(AK194,TERRITORY_LIST_ID,0)))</f>
        <v/>
      </c>
      <c r="W194" s="1718"/>
      <c r="X194" s="2223" t="s">
        <v>64</v>
      </c>
      <c r="Y194" s="2223" t="s">
        <v>54</v>
      </c>
      <c r="Z194" s="1701"/>
      <c r="AA194" s="2148" t="s">
        <v>165</v>
      </c>
      <c r="AB194" s="2559"/>
      <c r="AC194" s="1719"/>
      <c r="AD194" s="2223" t="s">
        <v>64</v>
      </c>
      <c r="AE194" s="2223" t="s">
        <v>54</v>
      </c>
      <c r="AF194" s="1699"/>
      <c r="AG194" s="1949" t="s">
        <v>165</v>
      </c>
      <c r="AH194" s="1709"/>
      <c r="AI194" s="1939"/>
    </row>
    <row s="11007"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1961</v>
      </c>
      <c r="AI195" s="2552"/>
    </row>
    <row s="11007"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1962</v>
      </c>
      <c r="AC196" s="2553"/>
      <c r="AD196" s="2553"/>
      <c r="AE196" s="2553"/>
      <c r="AF196" s="2553"/>
      <c r="AG196" s="2553"/>
      <c r="AH196" s="2553"/>
      <c r="AI196" s="2554"/>
    </row>
    <row s="11007"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159</v>
      </c>
      <c r="W197" s="2551"/>
      <c r="X197" s="2551"/>
      <c r="Y197" s="2551"/>
      <c r="Z197" s="2551"/>
      <c r="AA197" s="2551"/>
      <c r="AB197" s="2551"/>
      <c r="AC197" s="2551"/>
      <c r="AD197" s="2551"/>
      <c r="AE197" s="2551"/>
      <c r="AF197" s="2551"/>
      <c r="AG197" s="2551"/>
      <c r="AH197" s="2551"/>
      <c r="AI197" s="2552"/>
    </row>
    <row s="11007" customFormat="1" customHeight="1" ht="11.25">
      <c r="D198" s="2556"/>
      <c r="E198" s="2237"/>
      <c r="F198" s="2237"/>
      <c r="G198" s="2224"/>
      <c r="H198" s="1705"/>
      <c r="I198" s="2560"/>
      <c r="J198" s="2561"/>
      <c r="K198" s="1700"/>
      <c r="L198" s="2224"/>
      <c r="M198" s="2224"/>
      <c r="N198" s="1705"/>
      <c r="O198" s="1706"/>
      <c r="P198" s="2551" t="s">
        <v>1963</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1284" customFormat="1" customHeight="1" ht="11.25">
      <c r="D199" s="2556"/>
      <c r="E199" s="2237"/>
      <c r="F199" s="2237"/>
      <c r="G199" s="2152"/>
      <c r="H199" s="1707"/>
      <c r="I199" s="1708"/>
      <c r="J199" s="2551" t="s">
        <v>528</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1007"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1007"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1007"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1007"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1007"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1284"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34B85-227D-F13D-82C8-2AFC5717FE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521" width="43.140625"/>
    <col min="2" max="2" style="13521" width="43.140625" hidden="1"/>
    <col min="3" max="3" style="13521" width="43.140625"/>
    <col min="4" max="5" style="13521" width="36.421875" customWidth="1"/>
    <col min="6" max="8" style="13522" width="36.421875" customWidth="1"/>
  </cols>
  <sheetData>
    <row customHeight="1" ht="9">
      <c r="A1" s="976" t="s">
        <v>1964</v>
      </c>
      <c r="B1" s="976"/>
      <c r="C1" s="1113" t="s">
        <v>1965</v>
      </c>
      <c r="D1" s="1111" t="s">
        <v>818</v>
      </c>
      <c r="E1" s="1111" t="s">
        <v>864</v>
      </c>
      <c r="F1" s="1111" t="s">
        <v>916</v>
      </c>
      <c r="G1" s="1111" t="s">
        <v>902</v>
      </c>
      <c r="H1" s="1111" t="s">
        <v>1639</v>
      </c>
    </row>
    <row customHeight="1" ht="9">
      <c r="A2" s="1114" t="s">
        <v>1966</v>
      </c>
      <c r="B2" s="1114"/>
      <c r="C2" s="1115" t="str">
        <f>INDEX(TEMPLATE_NUMBER_FORM_LIST,MATCH(TEMPLATE_SPHERE,TEMPLATE_SPHERE_LIST,0))</f>
        <v>16</v>
      </c>
      <c r="D2" s="1114" t="s">
        <v>1489</v>
      </c>
      <c r="E2" s="1114" t="s">
        <v>229</v>
      </c>
      <c r="F2" s="1116" t="s">
        <v>229</v>
      </c>
      <c r="G2" s="1114" t="s">
        <v>229</v>
      </c>
      <c r="H2" s="1117"/>
    </row>
    <row customHeight="1" ht="63">
      <c r="A3" s="976"/>
      <c r="B3" s="976" t="s">
        <v>165</v>
      </c>
      <c r="C3" s="111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15" t="s">
        <v>1967</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16"/>
      <c r="G3" s="1117"/>
      <c r="H3" s="976"/>
    </row>
    <row customHeight="1" ht="243">
      <c r="A4" s="976" t="s">
        <v>1968</v>
      </c>
      <c r="B4" s="976" t="s">
        <v>100</v>
      </c>
      <c r="C4" s="111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14" t="s">
        <v>1969</v>
      </c>
      <c r="E4" s="11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14"/>
      <c r="G4" s="1114"/>
      <c r="H4" s="976" t="s">
        <v>1970</v>
      </c>
    </row>
    <row customHeight="1" ht="117">
      <c r="A5" s="976" t="s">
        <v>1971</v>
      </c>
      <c r="B5" s="976" t="s">
        <v>87</v>
      </c>
      <c r="C5" s="111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76" t="s">
        <v>1972</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17"/>
      <c r="G5" s="1117"/>
      <c r="H5" s="976" t="s">
        <v>1973</v>
      </c>
    </row>
    <row customHeight="1" ht="45">
      <c r="A6" s="976" t="s">
        <v>1974</v>
      </c>
      <c r="B6" s="976" t="s">
        <v>88</v>
      </c>
      <c r="C6" s="111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6" t="s">
        <v>1975</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76"/>
      <c r="G6" s="976"/>
      <c r="H6" s="1117"/>
    </row>
    <row customHeight="1" ht="45">
      <c r="A7" s="976" t="s">
        <v>1976</v>
      </c>
      <c r="B7" s="976" t="s">
        <v>119</v>
      </c>
      <c r="C7" s="1115" t="str">
        <f>IF(TEMPLATE_SPHERE="HEAT",D7,E7)</f>
        <v>Форма 11. Информация о расходах на капитальный и текущий ремонт основных средств</v>
      </c>
      <c r="D7" s="976" t="s">
        <v>1977</v>
      </c>
      <c r="E7" s="976" t="s">
        <v>1978</v>
      </c>
      <c r="F7" s="1117"/>
      <c r="G7" s="1117"/>
      <c r="H7" s="1117"/>
    </row>
    <row customHeight="1" ht="108">
      <c r="A8" s="976" t="s">
        <v>1979</v>
      </c>
      <c r="B8" s="976" t="s">
        <v>89</v>
      </c>
      <c r="C8" s="111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76" t="s">
        <v>1178</v>
      </c>
      <c r="E8" s="976" t="s">
        <v>1980</v>
      </c>
      <c r="F8" s="1117"/>
      <c r="G8" s="1117"/>
      <c r="H8" s="1117"/>
    </row>
    <row customHeight="1" ht="99">
      <c r="A9" s="976" t="s">
        <v>1981</v>
      </c>
      <c r="B9" s="976"/>
      <c r="C9" s="976" t="s">
        <v>1982</v>
      </c>
      <c r="D9" s="976"/>
      <c r="E9" s="976"/>
      <c r="F9" s="1117"/>
      <c r="G9" s="1117"/>
      <c r="H9" s="1117"/>
    </row>
    <row customHeight="1" ht="126">
      <c r="A10" s="976" t="s">
        <v>1983</v>
      </c>
      <c r="B10" s="976"/>
      <c r="C10" s="976" t="s">
        <v>1984</v>
      </c>
      <c r="D10" s="976"/>
      <c r="E10" s="976"/>
      <c r="F10" s="1117"/>
      <c r="G10" s="1117"/>
      <c r="H10" s="1117"/>
    </row>
    <row customHeight="1" ht="108">
      <c r="A11" s="976" t="s">
        <v>1985</v>
      </c>
      <c r="B11" s="976"/>
      <c r="C11" s="976" t="s">
        <v>1986</v>
      </c>
      <c r="D11" s="976"/>
      <c r="E11" s="976"/>
      <c r="F11" s="1117"/>
      <c r="G11" s="1117"/>
      <c r="H11" s="1117"/>
    </row>
    <row customHeight="1" ht="54">
      <c r="A12" s="976" t="s">
        <v>1987</v>
      </c>
      <c r="B12" s="976"/>
      <c r="C12" s="976" t="s">
        <v>1988</v>
      </c>
      <c r="D12" s="976"/>
      <c r="E12" s="976"/>
      <c r="F12" s="1117"/>
      <c r="G12" s="1117"/>
      <c r="H12" s="1117"/>
    </row>
    <row customHeight="1" ht="45">
      <c r="A13" s="976" t="s">
        <v>1989</v>
      </c>
      <c r="B13" s="976"/>
      <c r="C13" s="976" t="s">
        <v>1990</v>
      </c>
      <c r="D13" s="976"/>
      <c r="E13" s="976"/>
      <c r="F13" s="1117"/>
      <c r="G13" s="1117"/>
      <c r="H13" s="1117"/>
    </row>
    <row customHeight="1" ht="117">
      <c r="A14" s="976" t="s">
        <v>1991</v>
      </c>
      <c r="B14" s="976"/>
      <c r="C14" s="976" t="s">
        <v>1992</v>
      </c>
      <c r="D14" s="976"/>
      <c r="E14" s="976"/>
      <c r="F14" s="1117"/>
      <c r="G14" s="1117"/>
      <c r="H14" s="1117"/>
    </row>
    <row customHeight="1" ht="117">
      <c r="A15" s="976" t="s">
        <v>1993</v>
      </c>
      <c r="B15" s="976"/>
      <c r="C15" s="976" t="s">
        <v>1994</v>
      </c>
      <c r="D15" s="976"/>
      <c r="E15" s="976"/>
      <c r="F15" s="1117"/>
      <c r="G15" s="1117"/>
      <c r="H15" s="1117"/>
    </row>
    <row customHeight="1" ht="63">
      <c r="A16" s="976" t="s">
        <v>1995</v>
      </c>
      <c r="B16" s="976"/>
      <c r="C16" s="976" t="s">
        <v>1996</v>
      </c>
      <c r="D16" s="976"/>
      <c r="E16" s="976"/>
      <c r="F16" s="1117"/>
      <c r="G16" s="1117"/>
      <c r="H16" s="1117"/>
    </row>
    <row customHeight="1" ht="54">
      <c r="A17" s="976" t="s">
        <v>1997</v>
      </c>
      <c r="B17" s="976"/>
      <c r="C17" s="1115" t="s">
        <v>1998</v>
      </c>
      <c r="D17" s="976"/>
      <c r="E17" s="976"/>
      <c r="F17" s="1117"/>
      <c r="G17" s="1117"/>
      <c r="H17" s="1117"/>
    </row>
    <row customHeight="1" ht="27">
      <c r="A18" s="976" t="s">
        <v>1999</v>
      </c>
      <c r="B18" s="976"/>
      <c r="C18" s="1115" t="s">
        <v>2000</v>
      </c>
      <c r="D18" s="976"/>
      <c r="E18" s="976"/>
      <c r="F18" s="1117"/>
      <c r="G18" s="1117"/>
      <c r="H18" s="1117"/>
    </row>
    <row customHeight="1" ht="54">
      <c r="A19" s="976" t="s">
        <v>2001</v>
      </c>
      <c r="B19" s="976"/>
      <c r="C19" s="1115" t="s">
        <v>2002</v>
      </c>
      <c r="D19" s="976"/>
      <c r="E19" s="976"/>
      <c r="F19" s="1117"/>
      <c r="G19" s="1117"/>
      <c r="H19" s="1117"/>
    </row>
    <row customHeight="1" ht="36">
      <c r="A20" s="976" t="s">
        <v>2003</v>
      </c>
      <c r="B20" s="976"/>
      <c r="C20" s="1115" t="s">
        <v>2004</v>
      </c>
      <c r="D20" s="976"/>
      <c r="E20" s="976"/>
      <c r="F20" s="1117"/>
      <c r="G20" s="1117"/>
      <c r="H20" s="1117"/>
    </row>
    <row customHeight="1" ht="36">
      <c r="A21" s="976" t="s">
        <v>2005</v>
      </c>
      <c r="B21" s="976"/>
      <c r="C21" s="1115" t="s">
        <v>2006</v>
      </c>
      <c r="D21" s="976"/>
      <c r="E21" s="976"/>
      <c r="F21" s="1117"/>
      <c r="G21" s="1117"/>
      <c r="H21" s="1117"/>
    </row>
    <row customHeight="1" ht="27">
      <c r="A22" s="976" t="s">
        <v>2007</v>
      </c>
      <c r="B22" s="976"/>
      <c r="C22" s="1115" t="s">
        <v>2008</v>
      </c>
      <c r="D22" s="976"/>
      <c r="E22" s="976"/>
      <c r="F22" s="1117"/>
      <c r="G22" s="1117"/>
      <c r="H22" s="1117"/>
    </row>
    <row customHeight="1" ht="36">
      <c r="A23" s="976" t="s">
        <v>2009</v>
      </c>
      <c r="B23" s="976"/>
      <c r="C23" s="1115" t="s">
        <v>2010</v>
      </c>
      <c r="D23" s="976"/>
      <c r="E23" s="976"/>
      <c r="F23" s="1117"/>
      <c r="G23" s="1117"/>
      <c r="H23" s="1117"/>
    </row>
    <row customHeight="1" ht="28.5">
      <c r="A24" s="976" t="s">
        <v>2011</v>
      </c>
      <c r="B24" s="976"/>
      <c r="C24" s="1115" t="s">
        <v>2012</v>
      </c>
      <c r="D24" s="976"/>
      <c r="E24" s="976"/>
      <c r="F24" s="1117"/>
      <c r="G24" s="1117"/>
      <c r="H24" s="1117"/>
    </row>
    <row customHeight="1" ht="36">
      <c r="A25" s="976" t="s">
        <v>2013</v>
      </c>
      <c r="B25" s="976"/>
      <c r="C25" s="1115" t="s">
        <v>2014</v>
      </c>
      <c r="D25" s="976"/>
      <c r="E25" s="976"/>
      <c r="F25" s="1117"/>
      <c r="G25" s="1117"/>
      <c r="H25" s="1117"/>
    </row>
    <row customHeight="1" ht="27">
      <c r="A26" s="976" t="s">
        <v>2015</v>
      </c>
      <c r="B26" s="976"/>
      <c r="C26" s="1115" t="s">
        <v>2016</v>
      </c>
      <c r="D26" s="976"/>
      <c r="E26" s="976"/>
      <c r="F26" s="1117"/>
      <c r="G26" s="1117"/>
      <c r="H26" s="1117"/>
    </row>
    <row customHeight="1" ht="36">
      <c r="A27" s="976" t="s">
        <v>2017</v>
      </c>
      <c r="B27" s="976"/>
      <c r="C27" s="1115" t="s">
        <v>2018</v>
      </c>
      <c r="D27" s="976"/>
      <c r="E27" s="976"/>
      <c r="F27" s="1117"/>
      <c r="G27" s="1117"/>
      <c r="H27" s="1117"/>
    </row>
    <row customHeight="1" ht="28.5">
      <c r="A28" s="976" t="s">
        <v>2019</v>
      </c>
      <c r="B28" s="976"/>
      <c r="C28" s="1115" t="s">
        <v>2020</v>
      </c>
      <c r="D28" s="976"/>
      <c r="E28" s="976"/>
      <c r="F28" s="1117"/>
      <c r="G28" s="1117"/>
      <c r="H28" s="1117"/>
    </row>
    <row customHeight="1" ht="126">
      <c r="A29" s="976" t="s">
        <v>2021</v>
      </c>
      <c r="B29" s="976" t="s">
        <v>1590</v>
      </c>
      <c r="C29" s="111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76" t="s">
        <v>2022</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17"/>
      <c r="G29" s="1117"/>
      <c r="H29" s="976" t="s">
        <v>2023</v>
      </c>
    </row>
    <row customHeight="1" ht="45">
      <c r="A30" s="976" t="s">
        <v>2024</v>
      </c>
      <c r="B30" s="976"/>
      <c r="C30" s="111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76" t="s">
        <v>2025</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17"/>
      <c r="G30" s="1117"/>
      <c r="H30" s="1117"/>
    </row>
    <row customHeight="1" ht="54">
      <c r="A31" s="976" t="s">
        <v>2026</v>
      </c>
      <c r="B31" s="976"/>
      <c r="C31" s="111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76" t="s">
        <v>2027</v>
      </c>
      <c r="E31"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17"/>
      <c r="G31" s="1117"/>
      <c r="H31" s="1117"/>
    </row>
    <row customHeight="1" ht="198">
      <c r="A32" s="976" t="s">
        <v>2028</v>
      </c>
      <c r="B32" s="976"/>
      <c r="C32" s="111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76" t="s">
        <v>2029</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17"/>
      <c r="G32" s="1117"/>
      <c r="H32" s="976" t="s">
        <v>2030</v>
      </c>
    </row>
    <row customHeight="1" ht="9">
      <c r="A33" s="976"/>
      <c r="B33" s="976"/>
      <c r="C33" s="1115"/>
      <c r="D33" s="976"/>
      <c r="E33" s="976"/>
      <c r="F33" s="1117"/>
      <c r="G33" s="1117"/>
      <c r="H33" s="1117"/>
    </row>
    <row customHeight="1" ht="9">
      <c r="A34" s="976"/>
      <c r="B34" s="976" t="s">
        <v>1526</v>
      </c>
      <c r="C34" s="1115">
        <f>INDEX(TEMPLATE_NAME_FORM_LIST,B34,MATCH(TEMPLATE_SPHERE,TEMPLATE_SPHERE_LIST,0))</f>
        <v>0</v>
      </c>
      <c r="D34" s="976"/>
      <c r="E34" s="976"/>
      <c r="F34" s="1117"/>
      <c r="G34" s="1117"/>
      <c r="H34" s="111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6927D9-09DC-1135-2014-F303060D3E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521" width="9.140625"/>
    <col min="3" max="7" style="13565" width="8.00390625" customWidth="1"/>
    <col min="8" max="12" style="13565" width="8.57421875" customWidth="1"/>
    <col min="13" max="14" style="13565" width="27.7109375" customWidth="1"/>
    <col min="15" max="19" style="13565" width="5.140625" customWidth="1"/>
    <col min="20" max="24" style="13565" width="27.7109375" customWidth="1"/>
    <col min="25" max="25" style="13566" width="1.8515625" customWidth="1"/>
    <col min="26" max="26" style="13521" width="27.7109375" customWidth="1"/>
    <col min="27" max="27" style="13567" width="27.7109375" customWidth="1"/>
    <col min="28" max="29" style="13521" width="27.7109375" customWidth="1"/>
    <col min="30" max="30" style="13521" width="3.8515625" customWidth="1"/>
    <col min="31" max="34" style="13521" width="9.140625"/>
  </cols>
  <sheetData>
    <row s="13523" customFormat="1" customHeight="1" ht="18">
      <c r="A1" s="1028"/>
      <c r="B1" s="1028"/>
      <c r="C1" s="1028" t="s">
        <v>2031</v>
      </c>
      <c r="D1" s="1028"/>
      <c r="E1" s="1028"/>
      <c r="F1" s="1028"/>
      <c r="G1" s="1028"/>
      <c r="H1" s="1028" t="s">
        <v>2032</v>
      </c>
      <c r="I1" s="1028"/>
      <c r="J1" s="1028"/>
      <c r="K1" s="1028"/>
      <c r="L1" s="1028"/>
      <c r="M1" s="1028" t="s">
        <v>2033</v>
      </c>
      <c r="N1" s="1028" t="s">
        <v>2034</v>
      </c>
      <c r="O1" s="2612" t="s">
        <v>2035</v>
      </c>
      <c r="P1" s="2612"/>
      <c r="Q1" s="2612"/>
      <c r="R1" s="2612"/>
      <c r="S1" s="2612"/>
      <c r="T1" s="2612" t="s">
        <v>2033</v>
      </c>
      <c r="U1" s="2612"/>
      <c r="V1" s="2612"/>
      <c r="W1" s="2612"/>
      <c r="X1" s="2612"/>
      <c r="Y1" s="1130"/>
      <c r="Z1" s="2612" t="s">
        <v>2036</v>
      </c>
      <c r="AA1" s="2612"/>
      <c r="AB1" s="2612"/>
      <c r="AC1" s="2612"/>
      <c r="AD1" s="2612"/>
    </row>
    <row customHeight="1" ht="18">
      <c r="A2" s="976"/>
      <c r="B2" s="976"/>
      <c r="C2" s="971" t="s">
        <v>818</v>
      </c>
      <c r="D2" s="971" t="s">
        <v>864</v>
      </c>
      <c r="E2" s="971" t="s">
        <v>916</v>
      </c>
      <c r="F2" s="971" t="s">
        <v>902</v>
      </c>
      <c r="G2" s="971" t="s">
        <v>1639</v>
      </c>
      <c r="H2" s="973"/>
      <c r="I2" s="973"/>
      <c r="J2" s="973"/>
      <c r="K2" s="973"/>
      <c r="L2" s="973"/>
      <c r="M2" s="973"/>
      <c r="N2" s="973"/>
      <c r="O2" s="971" t="s">
        <v>818</v>
      </c>
      <c r="P2" s="971" t="s">
        <v>864</v>
      </c>
      <c r="Q2" s="971" t="s">
        <v>902</v>
      </c>
      <c r="R2" s="971" t="s">
        <v>916</v>
      </c>
      <c r="S2" s="971" t="s">
        <v>1639</v>
      </c>
      <c r="T2" s="971" t="s">
        <v>818</v>
      </c>
      <c r="U2" s="971" t="s">
        <v>864</v>
      </c>
      <c r="V2" s="971" t="s">
        <v>902</v>
      </c>
      <c r="W2" s="971" t="s">
        <v>916</v>
      </c>
      <c r="X2" s="971" t="s">
        <v>1639</v>
      </c>
      <c r="Y2" s="971"/>
      <c r="Z2" s="971" t="s">
        <v>818</v>
      </c>
      <c r="AA2" s="980" t="s">
        <v>864</v>
      </c>
      <c r="AB2" s="971" t="s">
        <v>902</v>
      </c>
      <c r="AC2" s="971" t="s">
        <v>916</v>
      </c>
      <c r="AD2" s="971" t="s">
        <v>1639</v>
      </c>
    </row>
    <row customHeight="1" ht="162">
      <c r="A3" s="975" t="s">
        <v>23</v>
      </c>
      <c r="B3" s="975"/>
      <c r="C3" s="2616" t="s">
        <v>2037</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73"/>
      <c r="P3" s="973"/>
      <c r="Q3" s="973"/>
      <c r="R3" s="973"/>
      <c r="S3" s="973"/>
      <c r="T3" s="973"/>
      <c r="U3" s="973"/>
      <c r="V3" s="973"/>
      <c r="W3" s="973"/>
      <c r="X3" s="973"/>
      <c r="Y3" s="1131"/>
      <c r="Z3" s="976" t="s">
        <v>2038</v>
      </c>
      <c r="AA3" s="973" t="s">
        <v>2039</v>
      </c>
      <c r="AB3" s="976" t="s">
        <v>2040</v>
      </c>
      <c r="AC3" s="976" t="s">
        <v>2041</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1577</v>
      </c>
      <c r="D11" s="2619" t="s">
        <v>1573</v>
      </c>
      <c r="E11" s="2619" t="s">
        <v>121</v>
      </c>
      <c r="F11" s="2619" t="s">
        <v>2042</v>
      </c>
      <c r="G11" s="2619"/>
      <c r="H11" s="1028" t="s">
        <v>2043</v>
      </c>
      <c r="I11" s="1028"/>
      <c r="J11" s="1028"/>
      <c r="K11" s="1028"/>
      <c r="L11" s="1028"/>
      <c r="M11" s="974" t="str">
        <f>IF(TEMPLATE_SPHERE="HEAT",T11,U11)</f>
        <v>Количество поданных заявок</v>
      </c>
      <c r="N11" s="97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73"/>
      <c r="P11" s="973"/>
      <c r="Q11" s="973"/>
      <c r="R11" s="973"/>
      <c r="S11" s="973"/>
      <c r="T11" s="973" t="s">
        <v>2044</v>
      </c>
      <c r="U11" s="973" t="s">
        <v>2045</v>
      </c>
      <c r="V11" s="973"/>
      <c r="W11" s="973"/>
      <c r="X11" s="973"/>
      <c r="Y11" s="1131"/>
      <c r="Z11" s="976" t="s">
        <v>2046</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76"/>
      <c r="AC11" s="976"/>
      <c r="AD11" s="976"/>
    </row>
    <row customHeight="1" ht="54">
      <c r="A12" s="2613"/>
      <c r="B12" s="1029">
        <v>2</v>
      </c>
      <c r="C12" s="2620"/>
      <c r="D12" s="2620"/>
      <c r="E12" s="2620"/>
      <c r="F12" s="2620"/>
      <c r="G12" s="2620"/>
      <c r="H12" s="1028" t="s">
        <v>2047</v>
      </c>
      <c r="I12" s="1028"/>
      <c r="J12" s="1028"/>
      <c r="K12" s="1028"/>
      <c r="L12" s="1028"/>
      <c r="M12" s="974" t="str">
        <f>IF(TEMPLATE_SPHERE="HEAT",T12,U12)</f>
        <v>Количество рассмотренных заявок</v>
      </c>
      <c r="N12" s="97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73"/>
      <c r="P12" s="973"/>
      <c r="Q12" s="973"/>
      <c r="R12" s="973"/>
      <c r="S12" s="973"/>
      <c r="T12" s="973" t="s">
        <v>2048</v>
      </c>
      <c r="U12" s="973" t="s">
        <v>2049</v>
      </c>
      <c r="V12" s="973"/>
      <c r="W12" s="973"/>
      <c r="X12" s="973"/>
      <c r="Y12" s="1131"/>
      <c r="Z12" s="976" t="s">
        <v>2050</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76"/>
      <c r="AC12" s="976"/>
      <c r="AD12" s="976"/>
    </row>
    <row customHeight="1" ht="99">
      <c r="A13" s="2613"/>
      <c r="B13" s="1029">
        <v>3</v>
      </c>
      <c r="C13" s="2620"/>
      <c r="D13" s="2620"/>
      <c r="E13" s="2620"/>
      <c r="F13" s="2620"/>
      <c r="G13" s="2620"/>
      <c r="H13" s="2612" t="s">
        <v>2051</v>
      </c>
      <c r="I13" s="1028"/>
      <c r="J13" s="1028"/>
      <c r="K13" s="1028"/>
      <c r="L13" s="1028"/>
      <c r="M13" s="9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74" t="str">
        <f>IF(TEMPLATE_SPHERE="HEAT",Z13,AA13)</f>
        <v>Указывается количество заявок с решением об отказе в течение отчетного квартала.</v>
      </c>
      <c r="O13" s="973"/>
      <c r="P13" s="974"/>
      <c r="Q13" s="974"/>
      <c r="R13" s="974"/>
      <c r="S13" s="973"/>
      <c r="T13" s="973" t="s">
        <v>2052</v>
      </c>
      <c r="U13" s="974" t="s">
        <v>2053</v>
      </c>
      <c r="V13" s="974"/>
      <c r="W13" s="974"/>
      <c r="X13" s="973"/>
      <c r="Y13" s="1131"/>
      <c r="Z13" s="976" t="s">
        <v>2054</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системе теплоснабжения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2055</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74"/>
      <c r="W14" s="974"/>
      <c r="X14" s="973"/>
      <c r="Y14" s="1131"/>
      <c r="Z14" s="976" t="s">
        <v>2056</v>
      </c>
      <c r="AA14" s="979" t="s">
        <v>2056</v>
      </c>
      <c r="AB14" s="976"/>
      <c r="AC14" s="976"/>
      <c r="AD14" s="976"/>
    </row>
    <row customHeight="1" ht="189">
      <c r="A15" s="2613"/>
      <c r="B15" s="1029">
        <v>5</v>
      </c>
      <c r="C15" s="2620"/>
      <c r="D15" s="2620"/>
      <c r="E15" s="2620"/>
      <c r="F15" s="2620"/>
      <c r="G15" s="2620"/>
      <c r="H15" s="2614" t="s">
        <v>2057</v>
      </c>
      <c r="I15" s="1030"/>
      <c r="J15" s="1030"/>
      <c r="K15" s="1030"/>
      <c r="L15" s="1030"/>
      <c r="M15" s="979" t="str">
        <f>IF(TEMPLATE_SPHERE="HEAT",T15,U15)</f>
        <v>Резерв мощности источников тепловой энергии, входящих в систему теплоснабжения, в течение одного квартала, в том числе:</v>
      </c>
      <c r="N15" s="97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73"/>
      <c r="P15" s="974"/>
      <c r="Q15" s="974"/>
      <c r="R15" s="974"/>
      <c r="S15" s="973"/>
      <c r="T15" s="973" t="s">
        <v>2058</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74"/>
      <c r="W15" s="974"/>
      <c r="X15" s="973"/>
      <c r="Y15" s="1131"/>
      <c r="Z15" s="976" t="s">
        <v>2059</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73"/>
      <c r="P16" s="974"/>
      <c r="Q16" s="974"/>
      <c r="R16" s="974"/>
      <c r="S16" s="973"/>
      <c r="T16" s="973"/>
      <c r="U16" s="974"/>
      <c r="V16" s="974"/>
      <c r="W16" s="974"/>
      <c r="X16" s="973"/>
      <c r="Y16" s="1131"/>
      <c r="Z16" s="976" t="s">
        <v>2059</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1673</v>
      </c>
      <c r="B18" s="1029">
        <v>1</v>
      </c>
      <c r="C18" s="973" t="s">
        <v>2043</v>
      </c>
      <c r="D18" s="1098" t="s">
        <v>2043</v>
      </c>
      <c r="E18" s="973" t="s">
        <v>2043</v>
      </c>
      <c r="F18" s="973" t="s">
        <v>2043</v>
      </c>
      <c r="G18" s="973"/>
      <c r="H18" s="1133"/>
      <c r="I18" s="1136">
        <f>INDEX(TEMPLATE_NUMBER_POINT_FHD,B18,MATCH(TEMPLATE_SPHERE,TEMPLATE_SPHERE_LIST_FOR_NOTE,0))</f>
        <v>1</v>
      </c>
      <c r="J18" s="1136" t="str">
        <f>INDEX(TEMPLATE_DATA_POINT_FHD,B18,MATCH(TEMPLATE_SPHERE,TEMPLATE_SPHERE_LIST_FOR_NOTE,0))</f>
        <v>Выручка от регулируемого вида деятельности с распределением по видам деятельности</v>
      </c>
      <c r="K18" s="113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74">
        <f>IF(I18=0,"",I18)</f>
        <v>1</v>
      </c>
      <c r="M18" s="974" t="str">
        <f>IF(J18=0,"",J18)</f>
        <v>Выручка от регулируемого вида деятельности с распределением по видам деятельности</v>
      </c>
      <c r="N18" s="974" t="str">
        <f>IF(K18=0,"",K18)</f>
        <v>Указывается выручка от регулируемого вида деятельности с распределением по видам деятельности.</v>
      </c>
      <c r="O18" s="1088">
        <v>1</v>
      </c>
      <c r="P18" s="1088">
        <v>1</v>
      </c>
      <c r="Q18" s="1088">
        <v>1</v>
      </c>
      <c r="R18" s="1088">
        <v>1</v>
      </c>
      <c r="S18" s="1088"/>
      <c r="T18" s="1095" t="s">
        <v>2060</v>
      </c>
      <c r="U18" s="976" t="s">
        <v>2061</v>
      </c>
      <c r="V18" s="976" t="s">
        <v>2062</v>
      </c>
      <c r="W18" s="976" t="s">
        <v>2063</v>
      </c>
      <c r="X18" s="973"/>
      <c r="Y18" s="1131"/>
      <c r="Z18" s="976" t="s">
        <v>2064</v>
      </c>
      <c r="AA18" s="979" t="s">
        <v>2065</v>
      </c>
      <c r="AB18" s="979" t="s">
        <v>2065</v>
      </c>
      <c r="AC18" s="979" t="s">
        <v>2065</v>
      </c>
      <c r="AD18" s="976"/>
    </row>
    <row customHeight="1" ht="36">
      <c r="A19" s="975"/>
      <c r="B19" s="1029">
        <v>2</v>
      </c>
      <c r="C19" s="973" t="s">
        <v>2047</v>
      </c>
      <c r="D19" s="1098" t="s">
        <v>2047</v>
      </c>
      <c r="E19" s="973" t="s">
        <v>2047</v>
      </c>
      <c r="F19" s="973" t="s">
        <v>2047</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регулируемому виду деятельности, включая:</v>
      </c>
      <c r="N19" s="974" t="str">
        <f>IF(K19=0,"",K19)</f>
        <v>Указывается суммарная себестоимость производимых товаров.</v>
      </c>
      <c r="O19" s="1088">
        <v>2</v>
      </c>
      <c r="P19" s="1088">
        <v>2</v>
      </c>
      <c r="Q19" s="1088">
        <v>2</v>
      </c>
      <c r="R19" s="1088">
        <v>2</v>
      </c>
      <c r="S19" s="1088"/>
      <c r="T19" s="1095" t="s">
        <v>2066</v>
      </c>
      <c r="U19" s="976" t="s">
        <v>2067</v>
      </c>
      <c r="V19" s="976" t="s">
        <v>2068</v>
      </c>
      <c r="W19" s="976" t="s">
        <v>2069</v>
      </c>
      <c r="X19" s="973"/>
      <c r="Y19" s="1131"/>
      <c r="Z19" s="976" t="s">
        <v>2070</v>
      </c>
      <c r="AA19" s="979" t="s">
        <v>2070</v>
      </c>
      <c r="AB19" s="979" t="s">
        <v>2070</v>
      </c>
      <c r="AC19" s="979" t="s">
        <v>2070</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приобретаемую тепловую энергию (мощность), теплоноситель</v>
      </c>
      <c r="K20" s="1136">
        <f>INDEX(TEMPLATE_NOTE_POINT_FHD,B20,MATCH(TEMPLATE_SPHERE,TEMPLATE_SPHERE_LIST_FOR_NOTE,0))</f>
        <v>0</v>
      </c>
      <c r="L20" s="974" t="str">
        <f>IF(I20=0,"",I20)</f>
        <v>2.1</v>
      </c>
      <c r="M20" s="974" t="str">
        <f>IF(J20=0,"",J20)</f>
        <v>Расходы на приобретаемую тепловую энергию (мощность), теплоноситель</v>
      </c>
      <c r="N20" s="974" t="str">
        <f>IF(K20=0,"",K20)</f>
        <v/>
      </c>
      <c r="O20" s="1088" t="s">
        <v>718</v>
      </c>
      <c r="P20" s="1088" t="s">
        <v>718</v>
      </c>
      <c r="Q20" s="1088" t="s">
        <v>718</v>
      </c>
      <c r="R20" s="1088" t="s">
        <v>718</v>
      </c>
      <c r="S20" s="1088"/>
      <c r="T20" s="1095" t="s">
        <v>2071</v>
      </c>
      <c r="U20" s="976" t="s">
        <v>2072</v>
      </c>
      <c r="V20" s="976" t="s">
        <v>2073</v>
      </c>
      <c r="W20" s="976" t="s">
        <v>2074</v>
      </c>
      <c r="X20" s="973"/>
      <c r="Y20" s="1131"/>
      <c r="Z20" s="976"/>
      <c r="AA20" s="979"/>
      <c r="AB20" s="976"/>
      <c r="AC20" s="976"/>
      <c r="AD20" s="976"/>
    </row>
    <row customHeight="1" ht="36">
      <c r="A21" s="975"/>
      <c r="B21" s="1029">
        <v>4</v>
      </c>
      <c r="C21" s="973">
        <v>2</v>
      </c>
      <c r="D21" s="1098"/>
      <c r="E21" s="973"/>
      <c r="F21" s="973"/>
      <c r="G21" s="973"/>
      <c r="H21" s="1133"/>
      <c r="I21" s="1136" t="str">
        <f>INDEX(TEMPLATE_NUMBER_POINT_FHD,B21,MATCH(TEMPLATE_SPHERE,TEMPLATE_SPHERE_LIST_FOR_NOTE,0))</f>
        <v>2.2</v>
      </c>
      <c r="J21" s="113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36" t="str">
        <f>INDEX(TEMPLATE_NOTE_POINT_FHD,B21,MATCH(TEMPLATE_SPHERE,TEMPLATE_SPHERE_LIST_FOR_NOTE,0))</f>
        <v>Указываются суммарные расходы на приобретение топлива всех видов.</v>
      </c>
      <c r="L21" s="974" t="str">
        <f>IF(I21=0,"",I21)</f>
        <v>2.2</v>
      </c>
      <c r="M21" s="97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74" t="str">
        <f>IF(K21=0,"",K21)</f>
        <v>Указываются суммарные расходы на приобретение топлива всех видов.</v>
      </c>
      <c r="O21" s="1088" t="s">
        <v>385</v>
      </c>
      <c r="P21" s="1088"/>
      <c r="Q21" s="1088"/>
      <c r="R21" s="1088"/>
      <c r="S21" s="1088"/>
      <c r="T21" s="1095" t="s">
        <v>2075</v>
      </c>
      <c r="U21" s="976"/>
      <c r="V21" s="976"/>
      <c r="W21" s="976"/>
      <c r="X21" s="973"/>
      <c r="Y21" s="1131"/>
      <c r="Z21" s="976" t="s">
        <v>2076</v>
      </c>
      <c r="AA21" s="979"/>
      <c r="AB21" s="976"/>
      <c r="AC21" s="976"/>
      <c r="AD21" s="976"/>
    </row>
    <row customHeight="1" ht="36">
      <c r="A22" s="975"/>
      <c r="B22" s="1029">
        <v>5</v>
      </c>
      <c r="C22" s="973">
        <v>3</v>
      </c>
      <c r="D22" s="1098"/>
      <c r="E22" s="973"/>
      <c r="F22" s="973"/>
      <c r="G22" s="1021"/>
      <c r="H22" s="1089"/>
      <c r="I22" s="1136">
        <f>INDEX(TEMPLATE_NUMBER_POINT_FHD,B22,MATCH(TEMPLATE_SPHERE,TEMPLATE_SPHERE_LIST_FOR_NOTE,0))</f>
        <v>0</v>
      </c>
      <c r="J22" s="1136">
        <f>INDEX(TEMPLATE_DATA_POINT_FHD,B22,MATCH(TEMPLATE_SPHERE,TEMPLATE_SPHERE_LIST_FOR_NOTE,0))</f>
        <v>0</v>
      </c>
      <c r="K22" s="1136">
        <f>INDEX(TEMPLATE_NOTE_POINT_FHD,B22,MATCH(TEMPLATE_SPHERE,TEMPLATE_SPHERE_LIST_FOR_NOTE,0))</f>
        <v>0</v>
      </c>
      <c r="L22" s="974" t="str">
        <f>IF(I22=0,"",I22)</f>
        <v/>
      </c>
      <c r="M22" s="974" t="str">
        <f>IF(J22=0,"",J22)</f>
        <v/>
      </c>
      <c r="N22" s="974" t="str">
        <f>IF(K22=0,"",K22)</f>
        <v/>
      </c>
      <c r="O22" s="1088"/>
      <c r="P22" s="1088"/>
      <c r="Q22" s="1088" t="s">
        <v>385</v>
      </c>
      <c r="R22" s="1088"/>
      <c r="S22" s="1088"/>
      <c r="T22" s="1095"/>
      <c r="U22" s="976"/>
      <c r="V22" s="976" t="s">
        <v>2077</v>
      </c>
      <c r="W22" s="976"/>
      <c r="X22" s="973"/>
      <c r="Y22" s="1131"/>
      <c r="Z22" s="976"/>
      <c r="AA22" s="979"/>
      <c r="AB22" s="976"/>
      <c r="AC22" s="976"/>
      <c r="AD22" s="976"/>
    </row>
    <row customHeight="1" ht="27">
      <c r="A23" s="975"/>
      <c r="B23" s="1029">
        <v>6</v>
      </c>
      <c r="C23" s="973">
        <v>4</v>
      </c>
      <c r="D23" s="1098"/>
      <c r="E23" s="973"/>
      <c r="F23" s="973"/>
      <c r="G23" s="1021"/>
      <c r="H23" s="1089"/>
      <c r="I23" s="1136">
        <f>INDEX(TEMPLATE_NUMBER_POINT_FHD,B23,MATCH(TEMPLATE_SPHERE,TEMPLATE_SPHERE_LIST_FOR_NOTE,0))</f>
        <v>0</v>
      </c>
      <c r="J23" s="1136">
        <f>INDEX(TEMPLATE_DATA_POINT_FHD,B23,MATCH(TEMPLATE_SPHERE,TEMPLATE_SPHERE_LIST_FOR_NOTE,0))</f>
        <v>0</v>
      </c>
      <c r="K23" s="1136">
        <f>INDEX(TEMPLATE_NOTE_POINT_FHD,B23,MATCH(TEMPLATE_SPHERE,TEMPLATE_SPHERE_LIST_FOR_NOTE,0))</f>
        <v>0</v>
      </c>
      <c r="L23" s="974" t="str">
        <f>IF(I23=0,"",I23)</f>
        <v/>
      </c>
      <c r="M23" s="974" t="str">
        <f>IF(J23=0,"",J23)</f>
        <v/>
      </c>
      <c r="N23" s="974" t="str">
        <f>IF(K23=0,"",K23)</f>
        <v/>
      </c>
      <c r="O23" s="1088"/>
      <c r="P23" s="1088"/>
      <c r="Q23" s="1088" t="s">
        <v>388</v>
      </c>
      <c r="R23" s="1088"/>
      <c r="S23" s="1088"/>
      <c r="T23" s="1095"/>
      <c r="U23" s="976"/>
      <c r="V23" s="976" t="s">
        <v>2078</v>
      </c>
      <c r="W23" s="976"/>
      <c r="X23" s="973"/>
      <c r="Y23" s="1131"/>
      <c r="Z23" s="976"/>
      <c r="AA23" s="979"/>
      <c r="AB23" s="976"/>
      <c r="AC23" s="976"/>
      <c r="AD23" s="976"/>
    </row>
    <row customHeight="1" ht="36">
      <c r="A24" s="975"/>
      <c r="B24" s="1029">
        <v>7</v>
      </c>
      <c r="C24" s="973">
        <v>5</v>
      </c>
      <c r="D24" s="1098"/>
      <c r="E24" s="973"/>
      <c r="F24" s="973"/>
      <c r="G24" s="1021"/>
      <c r="H24" s="1089"/>
      <c r="I24" s="1136">
        <f>INDEX(TEMPLATE_NUMBER_POINT_FHD,B24,MATCH(TEMPLATE_SPHERE,TEMPLATE_SPHERE_LIST_FOR_NOTE,0))</f>
        <v>0</v>
      </c>
      <c r="J24" s="1136">
        <f>INDEX(TEMPLATE_DATA_POINT_FHD,B24,MATCH(TEMPLATE_SPHERE,TEMPLATE_SPHERE_LIST_FOR_NOTE,0))</f>
        <v>0</v>
      </c>
      <c r="K24" s="1136">
        <f>INDEX(TEMPLATE_NOTE_POINT_FHD,B24,MATCH(TEMPLATE_SPHERE,TEMPLATE_SPHERE_LIST_FOR_NOTE,0))</f>
        <v>0</v>
      </c>
      <c r="L24" s="974" t="str">
        <f>IF(I24=0,"",I24)</f>
        <v/>
      </c>
      <c r="M24" s="974" t="str">
        <f>IF(J24=0,"",J24)</f>
        <v/>
      </c>
      <c r="N24" s="974" t="str">
        <f>IF(K24=0,"",K24)</f>
        <v/>
      </c>
      <c r="O24" s="1088"/>
      <c r="P24" s="1088"/>
      <c r="Q24" s="1088" t="s">
        <v>738</v>
      </c>
      <c r="R24" s="1088"/>
      <c r="S24" s="1088"/>
      <c r="T24" s="1095"/>
      <c r="U24" s="976"/>
      <c r="V24" s="976" t="s">
        <v>2079</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2.3</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2.3</v>
      </c>
      <c r="M25" s="974" t="str">
        <f>IF(J25=0,"",J25)</f>
        <v>Расходы на приобретаемую электрическую энергию (мощность), используемую в технологическом процессе</v>
      </c>
      <c r="N25" s="974" t="str">
        <f>IF(K25=0,"",K25)</f>
        <v/>
      </c>
      <c r="O25" s="1088" t="s">
        <v>388</v>
      </c>
      <c r="P25" s="1088" t="s">
        <v>385</v>
      </c>
      <c r="Q25" s="1088" t="s">
        <v>745</v>
      </c>
      <c r="R25" s="1088" t="s">
        <v>385</v>
      </c>
      <c r="S25" s="1088"/>
      <c r="T25" s="1095" t="s">
        <v>2080</v>
      </c>
      <c r="U25" s="976" t="s">
        <v>2080</v>
      </c>
      <c r="V25" s="976" t="s">
        <v>2080</v>
      </c>
      <c r="W25" s="976" t="s">
        <v>2080</v>
      </c>
      <c r="X25" s="973"/>
      <c r="Y25" s="1131"/>
      <c r="Z25" s="976"/>
      <c r="AA25" s="979"/>
      <c r="AB25" s="976"/>
      <c r="AC25" s="976"/>
      <c r="AD25" s="976"/>
    </row>
    <row customHeight="1" ht="18">
      <c r="A26" s="975"/>
      <c r="B26" s="1029">
        <v>9</v>
      </c>
      <c r="C26" s="973" t="s">
        <v>914</v>
      </c>
      <c r="D26" s="1098"/>
      <c r="E26" s="973"/>
      <c r="F26" s="973"/>
      <c r="G26" s="1021"/>
      <c r="H26" s="1089"/>
      <c r="I26" s="1136" t="str">
        <f>INDEX(TEMPLATE_NUMBER_POINT_FHD,B26,MATCH(TEMPLATE_SPHERE,TEMPLATE_SPHERE_LIST_FOR_NOTE,0))</f>
        <v>2.3.1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2.3.1</v>
      </c>
      <c r="M26" s="974" t="str">
        <f>IF(J26=0,"",J26)</f>
        <v>Средневзвешенная стоимость 1 кВт.ч (с учетом мощности)</v>
      </c>
      <c r="N26" s="974" t="str">
        <f>IF(K26=0,"",K26)</f>
        <v/>
      </c>
      <c r="O26" s="1088" t="s">
        <v>734</v>
      </c>
      <c r="P26" s="1088" t="s">
        <v>728</v>
      </c>
      <c r="Q26" s="1088" t="s">
        <v>2081</v>
      </c>
      <c r="R26" s="1088" t="s">
        <v>728</v>
      </c>
      <c r="S26" s="1088"/>
      <c r="T26" s="1095" t="s">
        <v>2082</v>
      </c>
      <c r="U26" s="1095" t="s">
        <v>2082</v>
      </c>
      <c r="V26" s="1095" t="s">
        <v>2082</v>
      </c>
      <c r="W26" s="1095" t="s">
        <v>2082</v>
      </c>
      <c r="X26" s="973"/>
      <c r="Y26" s="1131"/>
      <c r="Z26" s="976"/>
      <c r="AA26" s="979"/>
      <c r="AB26" s="976"/>
      <c r="AC26" s="976"/>
      <c r="AD26" s="976"/>
    </row>
    <row customHeight="1" ht="18">
      <c r="A27" s="975"/>
      <c r="B27" s="1029">
        <v>10</v>
      </c>
      <c r="C27" s="973" t="s">
        <v>2083</v>
      </c>
      <c r="D27" s="1098"/>
      <c r="E27" s="973"/>
      <c r="F27" s="973"/>
      <c r="G27" s="1021"/>
      <c r="H27" s="1089"/>
      <c r="I27" s="1136" t="str">
        <f>INDEX(TEMPLATE_NUMBER_POINT_FHD,B27,MATCH(TEMPLATE_SPHERE,TEMPLATE_SPHERE_LIST_FOR_NOTE,0))</f>
        <v>2.3.2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2.3.2</v>
      </c>
      <c r="M27" s="974" t="str">
        <f>IF(J27=0,"",J27)</f>
        <v>Объём приобретения электрической энергии</v>
      </c>
      <c r="N27" s="974" t="str">
        <f>IF(K27=0,"",K27)</f>
        <v/>
      </c>
      <c r="O27" s="1088" t="s">
        <v>736</v>
      </c>
      <c r="P27" s="1088" t="s">
        <v>730</v>
      </c>
      <c r="Q27" s="1088" t="s">
        <v>2084</v>
      </c>
      <c r="R27" s="1088" t="s">
        <v>730</v>
      </c>
      <c r="S27" s="1088"/>
      <c r="T27" s="1095" t="s">
        <v>2085</v>
      </c>
      <c r="U27" s="1095" t="s">
        <v>2085</v>
      </c>
      <c r="V27" s="1095" t="s">
        <v>2085</v>
      </c>
      <c r="W27" s="1095" t="s">
        <v>2085</v>
      </c>
      <c r="X27" s="973"/>
      <c r="Y27" s="1131"/>
      <c r="Z27" s="976"/>
      <c r="AA27" s="979"/>
      <c r="AB27" s="976"/>
      <c r="AC27" s="976"/>
      <c r="AD27" s="976"/>
    </row>
    <row customHeight="1" ht="27">
      <c r="A28" s="975"/>
      <c r="B28" s="1029">
        <v>11</v>
      </c>
      <c r="C28" s="973">
        <v>7</v>
      </c>
      <c r="D28" s="1098"/>
      <c r="E28" s="973"/>
      <c r="F28" s="973"/>
      <c r="G28" s="1021"/>
      <c r="H28" s="1089"/>
      <c r="I28" s="1136" t="str">
        <f>INDEX(TEMPLATE_NUMBER_POINT_FHD,B28,MATCH(TEMPLATE_SPHERE,TEMPLATE_SPHERE_LIST_FOR_NOTE,0))</f>
        <v>2.4</v>
      </c>
      <c r="J28" s="1136" t="str">
        <f>INDEX(TEMPLATE_DATA_POINT_FHD,B28,MATCH(TEMPLATE_SPHERE,TEMPLATE_SPHERE_LIST_FOR_NOTE,0))</f>
        <v>Расходы на приобретение холодной воды, используемой в технологическом процессе</v>
      </c>
      <c r="K28" s="1136">
        <f>INDEX(TEMPLATE_NOTE_POINT_FHD,B28,MATCH(TEMPLATE_SPHERE,TEMPLATE_SPHERE_LIST_FOR_NOTE,0))</f>
        <v>0</v>
      </c>
      <c r="L28" s="974" t="str">
        <f>IF(I28=0,"",I28)</f>
        <v>2.4</v>
      </c>
      <c r="M28" s="974" t="str">
        <f>IF(J28=0,"",J28)</f>
        <v>Расходы на приобретение холодной воды, используемой в технологическом процессе</v>
      </c>
      <c r="N28" s="974" t="str">
        <f>IF(K28=0,"",K28)</f>
        <v/>
      </c>
      <c r="O28" s="1088" t="s">
        <v>738</v>
      </c>
      <c r="P28" s="1088"/>
      <c r="Q28" s="1088"/>
      <c r="R28" s="1088"/>
      <c r="S28" s="1088"/>
      <c r="T28" s="1095" t="s">
        <v>2086</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t="str">
        <f>INDEX(TEMPLATE_NUMBER_POINT_FHD,B29,MATCH(TEMPLATE_SPHERE,TEMPLATE_SPHERE_LIST_FOR_NOTE,0))</f>
        <v>2.5</v>
      </c>
      <c r="J29" s="1136" t="str">
        <f>INDEX(TEMPLATE_DATA_POINT_FHD,B29,MATCH(TEMPLATE_SPHERE,TEMPLATE_SPHERE_LIST_FOR_NOTE,0))</f>
        <v>Расходы на химические реагенты, используемые в технологическом процессе</v>
      </c>
      <c r="K29" s="1136">
        <f>INDEX(TEMPLATE_NOTE_POINT_FHD,B29,MATCH(TEMPLATE_SPHERE,TEMPLATE_SPHERE_LIST_FOR_NOTE,0))</f>
        <v>0</v>
      </c>
      <c r="L29" s="974" t="str">
        <f>IF(I29=0,"",I29)</f>
        <v>2.5</v>
      </c>
      <c r="M29" s="974" t="str">
        <f>IF(J29=0,"",J29)</f>
        <v>Расходы на химические реагенты, используемые в технологическом процессе</v>
      </c>
      <c r="N29" s="974" t="str">
        <f>IF(K29=0,"",K29)</f>
        <v/>
      </c>
      <c r="O29" s="1088" t="s">
        <v>745</v>
      </c>
      <c r="P29" s="1088" t="s">
        <v>388</v>
      </c>
      <c r="Q29" s="1088"/>
      <c r="R29" s="1088" t="s">
        <v>388</v>
      </c>
      <c r="S29" s="1088"/>
      <c r="T29" s="1095" t="s">
        <v>2087</v>
      </c>
      <c r="U29" s="976" t="s">
        <v>2087</v>
      </c>
      <c r="V29" s="976"/>
      <c r="W29" s="976" t="s">
        <v>2087</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2.6</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f>INDEX(TEMPLATE_NOTE_POINT_FHD,B30,MATCH(TEMPLATE_SPHERE,TEMPLATE_SPHERE_LIST_FOR_NOTE,0))</f>
        <v>0</v>
      </c>
      <c r="L30" s="974" t="str">
        <f>IF(I30=0,"",I30)</f>
        <v>2.6</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
      </c>
      <c r="O30" s="1088" t="s">
        <v>747</v>
      </c>
      <c r="P30" s="1088" t="s">
        <v>738</v>
      </c>
      <c r="Q30" s="1088" t="s">
        <v>747</v>
      </c>
      <c r="R30" s="1088" t="s">
        <v>738</v>
      </c>
      <c r="S30" s="1088"/>
      <c r="T30" s="1095" t="s">
        <v>2088</v>
      </c>
      <c r="U30" s="976" t="s">
        <v>2088</v>
      </c>
      <c r="V30" s="976" t="s">
        <v>2088</v>
      </c>
      <c r="W30" s="976" t="s">
        <v>2088</v>
      </c>
      <c r="X30" s="973"/>
      <c r="Y30" s="1131"/>
      <c r="Z30" s="976"/>
      <c r="AA30" s="979" t="s">
        <v>2089</v>
      </c>
      <c r="AB30" s="979" t="s">
        <v>2089</v>
      </c>
      <c r="AC30" s="979" t="s">
        <v>2089</v>
      </c>
      <c r="AD30" s="976"/>
    </row>
    <row customHeight="1" ht="18">
      <c r="A31" s="975"/>
      <c r="B31" s="1029">
        <v>14</v>
      </c>
      <c r="C31" s="973" t="s">
        <v>2090</v>
      </c>
      <c r="D31" s="1098"/>
      <c r="E31" s="973"/>
      <c r="F31" s="973"/>
      <c r="G31" s="1021"/>
      <c r="H31" s="1089"/>
      <c r="I31" s="1136" t="str">
        <f>INDEX(TEMPLATE_NUMBER_POINT_FHD,B31,MATCH(TEMPLATE_SPHERE,TEMPLATE_SPHERE_LIST_FOR_NOTE,0))</f>
        <v>2.6.1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2.6.1</v>
      </c>
      <c r="M31" s="974" t="str">
        <f>IF(J31=0,"",J31)</f>
        <v>Расходы на оплату труда основного производственного персонала</v>
      </c>
      <c r="N31" s="974" t="str">
        <f>IF(K31=0,"",K31)</f>
        <v/>
      </c>
      <c r="O31" s="1088" t="s">
        <v>2091</v>
      </c>
      <c r="P31" s="1088" t="s">
        <v>741</v>
      </c>
      <c r="Q31" s="1088" t="s">
        <v>2091</v>
      </c>
      <c r="R31" s="1088" t="s">
        <v>741</v>
      </c>
      <c r="S31" s="1088"/>
      <c r="T31" s="1096" t="s">
        <v>2092</v>
      </c>
      <c r="U31" s="976" t="s">
        <v>2092</v>
      </c>
      <c r="V31" s="976" t="s">
        <v>2092</v>
      </c>
      <c r="W31" s="976" t="s">
        <v>2092</v>
      </c>
      <c r="X31" s="973"/>
      <c r="Y31" s="1131"/>
      <c r="Z31" s="976"/>
      <c r="AA31" s="979"/>
      <c r="AB31" s="979"/>
      <c r="AC31" s="979"/>
      <c r="AD31" s="976"/>
    </row>
    <row customHeight="1" ht="36">
      <c r="A32" s="975"/>
      <c r="B32" s="1029">
        <v>15</v>
      </c>
      <c r="C32" s="973" t="s">
        <v>2093</v>
      </c>
      <c r="D32" s="1098"/>
      <c r="E32" s="973"/>
      <c r="F32" s="973"/>
      <c r="G32" s="1021"/>
      <c r="H32" s="1089"/>
      <c r="I32" s="1136" t="str">
        <f>INDEX(TEMPLATE_NUMBER_POINT_FHD,B32,MATCH(TEMPLATE_SPHERE,TEMPLATE_SPHERE_LIST_FOR_NOTE,0))</f>
        <v>2.6.2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2.6.2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2094</v>
      </c>
      <c r="P32" s="1088" t="s">
        <v>743</v>
      </c>
      <c r="Q32" s="1088" t="s">
        <v>2094</v>
      </c>
      <c r="R32" s="1088" t="s">
        <v>743</v>
      </c>
      <c r="S32" s="1088"/>
      <c r="T32" s="1097" t="s">
        <v>2095</v>
      </c>
      <c r="U32" s="976" t="s">
        <v>2095</v>
      </c>
      <c r="V32" s="976" t="s">
        <v>2095</v>
      </c>
      <c r="W32" s="976" t="s">
        <v>2095</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2.7</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6">
        <f>INDEX(TEMPLATE_NOTE_POINT_FHD,B33,MATCH(TEMPLATE_SPHERE,TEMPLATE_SPHERE_LIST_FOR_NOTE,0))</f>
        <v>0</v>
      </c>
      <c r="L33" s="974" t="str">
        <f>IF(I33=0,"",I33)</f>
        <v>2.7</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4" t="str">
        <f>IF(K33=0,"",K33)</f>
        <v/>
      </c>
      <c r="O33" s="1088" t="s">
        <v>749</v>
      </c>
      <c r="P33" s="1088" t="s">
        <v>745</v>
      </c>
      <c r="Q33" s="1088" t="s">
        <v>749</v>
      </c>
      <c r="R33" s="1088" t="s">
        <v>745</v>
      </c>
      <c r="S33" s="1088"/>
      <c r="T33" s="1096" t="s">
        <v>2096</v>
      </c>
      <c r="U33" s="976" t="s">
        <v>2096</v>
      </c>
      <c r="V33" s="976" t="s">
        <v>2096</v>
      </c>
      <c r="W33" s="976" t="s">
        <v>2097</v>
      </c>
      <c r="X33" s="973"/>
      <c r="Y33" s="1131"/>
      <c r="Z33" s="976"/>
      <c r="AA33" s="979" t="s">
        <v>2098</v>
      </c>
      <c r="AB33" s="979" t="s">
        <v>2098</v>
      </c>
      <c r="AC33" s="979" t="s">
        <v>2098</v>
      </c>
      <c r="AD33" s="976"/>
    </row>
    <row customHeight="1" ht="27">
      <c r="A34" s="975"/>
      <c r="B34" s="1029">
        <v>17</v>
      </c>
      <c r="C34" s="973" t="s">
        <v>2099</v>
      </c>
      <c r="D34" s="1098"/>
      <c r="E34" s="973"/>
      <c r="F34" s="973"/>
      <c r="G34" s="1021"/>
      <c r="H34" s="1089"/>
      <c r="I34" s="1136" t="str">
        <f>INDEX(TEMPLATE_NUMBER_POINT_FHD,B34,MATCH(TEMPLATE_SPHERE,TEMPLATE_SPHERE_LIST_FOR_NOTE,0))</f>
        <v>2.7.1</v>
      </c>
      <c r="J34" s="1136" t="str">
        <f>INDEX(TEMPLATE_DATA_POINT_FHD,B34,MATCH(TEMPLATE_SPHERE,TEMPLATE_SPHERE_LIST_FOR_NOTE,0))</f>
        <v>Расходы на оплату труда административно-управленческого персонала</v>
      </c>
      <c r="K34" s="1136">
        <f>INDEX(TEMPLATE_NOTE_POINT_FHD,B34,MATCH(TEMPLATE_SPHERE,TEMPLATE_SPHERE_LIST_FOR_NOTE,0))</f>
        <v>0</v>
      </c>
      <c r="L34" s="974" t="str">
        <f>IF(I34=0,"",I34)</f>
        <v>2.7.1</v>
      </c>
      <c r="M34" s="974" t="str">
        <f>IF(J34=0,"",J34)</f>
        <v>Расходы на оплату труда административно-управленческого персонала</v>
      </c>
      <c r="N34" s="974" t="str">
        <f>IF(K34=0,"",K34)</f>
        <v/>
      </c>
      <c r="O34" s="1088" t="s">
        <v>2100</v>
      </c>
      <c r="P34" s="1088" t="s">
        <v>2081</v>
      </c>
      <c r="Q34" s="1088" t="s">
        <v>2100</v>
      </c>
      <c r="R34" s="1088" t="s">
        <v>2081</v>
      </c>
      <c r="S34" s="1088"/>
      <c r="T34" s="1097" t="s">
        <v>2101</v>
      </c>
      <c r="U34" s="976" t="s">
        <v>2101</v>
      </c>
      <c r="V34" s="976" t="s">
        <v>2101</v>
      </c>
      <c r="W34" s="976" t="s">
        <v>2102</v>
      </c>
      <c r="X34" s="973"/>
      <c r="Y34" s="1131"/>
      <c r="Z34" s="976"/>
      <c r="AA34" s="979"/>
      <c r="AB34" s="976"/>
      <c r="AC34" s="976"/>
      <c r="AD34" s="976"/>
    </row>
    <row customHeight="1" ht="45">
      <c r="A35" s="975"/>
      <c r="B35" s="1029">
        <v>18</v>
      </c>
      <c r="C35" s="973" t="s">
        <v>2103</v>
      </c>
      <c r="D35" s="1098"/>
      <c r="E35" s="973"/>
      <c r="F35" s="973"/>
      <c r="G35" s="1021"/>
      <c r="H35" s="1089"/>
      <c r="I35" s="1136" t="str">
        <f>INDEX(TEMPLATE_NUMBER_POINT_FHD,B35,MATCH(TEMPLATE_SPHERE,TEMPLATE_SPHERE_LIST_FOR_NOTE,0))</f>
        <v>2.7.2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2.7.2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2104</v>
      </c>
      <c r="P35" s="1088" t="s">
        <v>2084</v>
      </c>
      <c r="Q35" s="1088" t="s">
        <v>2104</v>
      </c>
      <c r="R35" s="1088" t="s">
        <v>2084</v>
      </c>
      <c r="S35" s="1088"/>
      <c r="T35" s="1095" t="s">
        <v>2105</v>
      </c>
      <c r="U35" s="976" t="s">
        <v>2105</v>
      </c>
      <c r="V35" s="976" t="s">
        <v>2105</v>
      </c>
      <c r="W35" s="976" t="s">
        <v>2105</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2.8</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2.8</v>
      </c>
      <c r="M36" s="974" t="str">
        <f>IF(J36=0,"",J36)</f>
        <v>Расходы на амортизацию основных средств и нематериальных активов</v>
      </c>
      <c r="N36" s="974" t="str">
        <f>IF(K36=0,"",K36)</f>
        <v/>
      </c>
      <c r="O36" s="1088" t="s">
        <v>751</v>
      </c>
      <c r="P36" s="1088" t="s">
        <v>747</v>
      </c>
      <c r="Q36" s="1088" t="s">
        <v>751</v>
      </c>
      <c r="R36" s="1088" t="s">
        <v>747</v>
      </c>
      <c r="S36" s="1088"/>
      <c r="T36" s="1095" t="s">
        <v>2106</v>
      </c>
      <c r="U36" s="976" t="s">
        <v>2106</v>
      </c>
      <c r="V36" s="976" t="s">
        <v>2106</v>
      </c>
      <c r="W36" s="976" t="s">
        <v>2106</v>
      </c>
      <c r="X36" s="973"/>
      <c r="Y36" s="1131"/>
      <c r="Z36" s="976"/>
      <c r="AA36" s="979"/>
      <c r="AB36" s="976"/>
      <c r="AC36" s="976"/>
      <c r="AD36" s="976"/>
    </row>
    <row customHeight="1" ht="18">
      <c r="A37" s="975"/>
      <c r="B37" s="1029">
        <v>20</v>
      </c>
      <c r="C37" s="973" t="s">
        <v>2107</v>
      </c>
      <c r="D37" s="1098"/>
      <c r="E37" s="973"/>
      <c r="F37" s="973"/>
      <c r="G37" s="1021"/>
      <c r="H37" s="1089"/>
      <c r="I37" s="1136" t="str">
        <f>INDEX(TEMPLATE_NUMBER_POINT_FHD,B37,MATCH(TEMPLATE_SPHERE,TEMPLATE_SPHERE_LIST_FOR_NOTE,0))</f>
        <v>2.8.1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2.8.1</v>
      </c>
      <c r="M37" s="974" t="str">
        <f>IF(J37=0,"",J37)</f>
        <v>Расходы на амортизацию основных средств</v>
      </c>
      <c r="N37" s="974" t="str">
        <f>IF(K37=0,"",K37)</f>
        <v/>
      </c>
      <c r="O37" s="1088" t="s">
        <v>2108</v>
      </c>
      <c r="P37" s="1088" t="s">
        <v>2091</v>
      </c>
      <c r="Q37" s="1088" t="s">
        <v>2108</v>
      </c>
      <c r="R37" s="1088" t="s">
        <v>2091</v>
      </c>
      <c r="S37" s="1088"/>
      <c r="T37" s="1095" t="s">
        <v>2109</v>
      </c>
      <c r="U37" s="976" t="s">
        <v>2109</v>
      </c>
      <c r="V37" s="976" t="s">
        <v>2109</v>
      </c>
      <c r="W37" s="976" t="s">
        <v>2109</v>
      </c>
      <c r="X37" s="973"/>
      <c r="Y37" s="1131"/>
      <c r="Z37" s="976"/>
      <c r="AA37" s="979"/>
      <c r="AB37" s="976"/>
      <c r="AC37" s="976"/>
      <c r="AD37" s="976"/>
    </row>
    <row customHeight="1" ht="18">
      <c r="A38" s="975"/>
      <c r="B38" s="1029">
        <v>21</v>
      </c>
      <c r="C38" s="973" t="s">
        <v>2110</v>
      </c>
      <c r="D38" s="1098"/>
      <c r="E38" s="973"/>
      <c r="F38" s="973"/>
      <c r="G38" s="1021"/>
      <c r="H38" s="1089"/>
      <c r="I38" s="1136" t="str">
        <f>INDEX(TEMPLATE_NUMBER_POINT_FHD,B38,MATCH(TEMPLATE_SPHERE,TEMPLATE_SPHERE_LIST_FOR_NOTE,0))</f>
        <v>2.8.2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2.8.2</v>
      </c>
      <c r="M38" s="974" t="str">
        <f>IF(J38=0,"",J38)</f>
        <v>Расходы на амортизацию нематериальных активов</v>
      </c>
      <c r="N38" s="974" t="str">
        <f>IF(K38=0,"",K38)</f>
        <v/>
      </c>
      <c r="O38" s="1088" t="s">
        <v>2111</v>
      </c>
      <c r="P38" s="1088" t="s">
        <v>2094</v>
      </c>
      <c r="Q38" s="1088" t="s">
        <v>2111</v>
      </c>
      <c r="R38" s="1088" t="s">
        <v>2094</v>
      </c>
      <c r="S38" s="1088"/>
      <c r="T38" s="1095" t="s">
        <v>2112</v>
      </c>
      <c r="U38" s="976" t="s">
        <v>2112</v>
      </c>
      <c r="V38" s="976" t="s">
        <v>2112</v>
      </c>
      <c r="W38" s="976" t="s">
        <v>2112</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2.9</v>
      </c>
      <c r="J39" s="1136" t="str">
        <f>INDEX(TEMPLATE_DATA_POINT_FHD,B39,MATCH(TEMPLATE_SPHERE,TEMPLATE_SPHERE_LIST_FOR_NOTE,0))</f>
        <v>Расходы на аренду имущества, используемого для осуществления регулируемого вида деятельности</v>
      </c>
      <c r="K39" s="1136">
        <f>INDEX(TEMPLATE_NOTE_POINT_FHD,B39,MATCH(TEMPLATE_SPHERE,TEMPLATE_SPHERE_LIST_FOR_NOTE,0))</f>
        <v>0</v>
      </c>
      <c r="L39" s="974" t="str">
        <f>IF(I39=0,"",I39)</f>
        <v>2.9</v>
      </c>
      <c r="M39" s="974" t="str">
        <f>IF(J39=0,"",J39)</f>
        <v>Расходы на аренду имущества, используемого для осуществления регулируемого вида деятельности</v>
      </c>
      <c r="N39" s="974" t="str">
        <f>IF(K39=0,"",K39)</f>
        <v/>
      </c>
      <c r="O39" s="1088" t="s">
        <v>755</v>
      </c>
      <c r="P39" s="1088" t="s">
        <v>749</v>
      </c>
      <c r="Q39" s="1088" t="s">
        <v>755</v>
      </c>
      <c r="R39" s="1088" t="s">
        <v>749</v>
      </c>
      <c r="S39" s="1088"/>
      <c r="T39" s="1095" t="s">
        <v>2113</v>
      </c>
      <c r="U39" s="976" t="s">
        <v>2114</v>
      </c>
      <c r="V39" s="976" t="s">
        <v>2115</v>
      </c>
      <c r="W39" s="976" t="s">
        <v>2116</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2.10</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2.10</v>
      </c>
      <c r="M40" s="974" t="str">
        <f>IF(J40=0,"",J40)</f>
        <v>Общепроизводственные расходы, в том числе:</v>
      </c>
      <c r="N40" s="974" t="str">
        <f>IF(K40=0,"",K40)</f>
        <v>Указывается общая сумма общепроизводственных расходов.</v>
      </c>
      <c r="O40" s="1088" t="s">
        <v>2117</v>
      </c>
      <c r="P40" s="1088" t="s">
        <v>751</v>
      </c>
      <c r="Q40" s="1088" t="s">
        <v>2117</v>
      </c>
      <c r="R40" s="1088" t="s">
        <v>751</v>
      </c>
      <c r="S40" s="1088"/>
      <c r="T40" s="973" t="s">
        <v>2118</v>
      </c>
      <c r="U40" s="973" t="s">
        <v>2118</v>
      </c>
      <c r="V40" s="973" t="s">
        <v>2118</v>
      </c>
      <c r="W40" s="973" t="s">
        <v>2118</v>
      </c>
      <c r="X40" s="973"/>
      <c r="Y40" s="1131"/>
      <c r="Z40" s="976" t="s">
        <v>2119</v>
      </c>
      <c r="AA40" s="979" t="s">
        <v>2119</v>
      </c>
      <c r="AB40" s="979" t="s">
        <v>2119</v>
      </c>
      <c r="AC40" s="979" t="s">
        <v>2119</v>
      </c>
      <c r="AD40" s="976"/>
    </row>
    <row customHeight="1" ht="27">
      <c r="A41" s="975"/>
      <c r="B41" s="1029">
        <v>24</v>
      </c>
      <c r="C41" s="973" t="s">
        <v>2120</v>
      </c>
      <c r="D41" s="1098"/>
      <c r="E41" s="973"/>
      <c r="F41" s="973"/>
      <c r="G41" s="973"/>
      <c r="H41" s="1021"/>
      <c r="I41" s="1136" t="str">
        <f>INDEX(TEMPLATE_NUMBER_POINT_FHD,B41,MATCH(TEMPLATE_SPHERE,TEMPLATE_SPHERE_LIST_FOR_NOTE,0))</f>
        <v>2.10.1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2.10.1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2121</v>
      </c>
      <c r="P41" s="1088" t="s">
        <v>2108</v>
      </c>
      <c r="Q41" s="1088" t="s">
        <v>2121</v>
      </c>
      <c r="R41" s="1088" t="s">
        <v>2108</v>
      </c>
      <c r="S41" s="1088"/>
      <c r="T41" s="973" t="s">
        <v>2122</v>
      </c>
      <c r="U41" s="973" t="s">
        <v>2122</v>
      </c>
      <c r="V41" s="973" t="s">
        <v>2122</v>
      </c>
      <c r="W41" s="973" t="s">
        <v>2122</v>
      </c>
      <c r="X41" s="973"/>
      <c r="Y41" s="1131"/>
      <c r="Z41" s="976" t="s">
        <v>2123</v>
      </c>
      <c r="AA41" s="976" t="s">
        <v>2123</v>
      </c>
      <c r="AB41" s="976" t="s">
        <v>2123</v>
      </c>
      <c r="AC41" s="976" t="s">
        <v>2123</v>
      </c>
      <c r="AD41" s="976"/>
    </row>
    <row customHeight="1" ht="27">
      <c r="A42" s="975"/>
      <c r="B42" s="1029">
        <v>25</v>
      </c>
      <c r="C42" s="973" t="s">
        <v>2124</v>
      </c>
      <c r="D42" s="1098"/>
      <c r="E42" s="973"/>
      <c r="F42" s="973"/>
      <c r="G42" s="973"/>
      <c r="H42" s="1021"/>
      <c r="I42" s="1136" t="str">
        <f>INDEX(TEMPLATE_NUMBER_POINT_FHD,B42,MATCH(TEMPLATE_SPHERE,TEMPLATE_SPHERE_LIST_FOR_NOTE,0))</f>
        <v>2.10.2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2.10.2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2125</v>
      </c>
      <c r="P42" s="1088" t="s">
        <v>2111</v>
      </c>
      <c r="Q42" s="1088" t="s">
        <v>2125</v>
      </c>
      <c r="R42" s="1088" t="s">
        <v>2111</v>
      </c>
      <c r="S42" s="1088"/>
      <c r="T42" s="973" t="s">
        <v>2126</v>
      </c>
      <c r="U42" s="973" t="s">
        <v>2126</v>
      </c>
      <c r="V42" s="973" t="s">
        <v>2126</v>
      </c>
      <c r="W42" s="973" t="s">
        <v>2126</v>
      </c>
      <c r="X42" s="973"/>
      <c r="Y42" s="1131"/>
      <c r="Z42" s="976" t="s">
        <v>2127</v>
      </c>
      <c r="AA42" s="976" t="s">
        <v>2127</v>
      </c>
      <c r="AB42" s="976" t="s">
        <v>2127</v>
      </c>
      <c r="AC42" s="976" t="s">
        <v>2127</v>
      </c>
      <c r="AD42" s="976"/>
    </row>
    <row customHeight="1" ht="18">
      <c r="A43" s="975"/>
      <c r="B43" s="1029">
        <v>26</v>
      </c>
      <c r="C43" s="973">
        <v>14</v>
      </c>
      <c r="D43" s="1098"/>
      <c r="E43" s="973"/>
      <c r="F43" s="973"/>
      <c r="G43" s="973"/>
      <c r="H43" s="1021"/>
      <c r="I43" s="1136" t="str">
        <f>INDEX(TEMPLATE_NUMBER_POINT_FHD,B43,MATCH(TEMPLATE_SPHERE,TEMPLATE_SPHERE_LIST_FOR_NOTE,0))</f>
        <v>2.11</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2.11</v>
      </c>
      <c r="M43" s="974" t="str">
        <f>IF(J43=0,"",J43)</f>
        <v>Общехозяйственные расходы, в том числе:</v>
      </c>
      <c r="N43" s="974" t="str">
        <f>IF(K43=0,"",K43)</f>
        <v>Указывается общая сумма общехозяйственных расходов.</v>
      </c>
      <c r="O43" s="1088" t="s">
        <v>2128</v>
      </c>
      <c r="P43" s="1088" t="s">
        <v>755</v>
      </c>
      <c r="Q43" s="1088" t="s">
        <v>2128</v>
      </c>
      <c r="R43" s="1088" t="s">
        <v>755</v>
      </c>
      <c r="S43" s="1088"/>
      <c r="T43" s="973" t="s">
        <v>2129</v>
      </c>
      <c r="U43" s="973" t="s">
        <v>2129</v>
      </c>
      <c r="V43" s="973" t="s">
        <v>2129</v>
      </c>
      <c r="W43" s="973" t="s">
        <v>2129</v>
      </c>
      <c r="X43" s="973"/>
      <c r="Y43" s="1131"/>
      <c r="Z43" s="976" t="s">
        <v>2130</v>
      </c>
      <c r="AA43" s="976" t="s">
        <v>2130</v>
      </c>
      <c r="AB43" s="976" t="s">
        <v>2130</v>
      </c>
      <c r="AC43" s="976" t="s">
        <v>2130</v>
      </c>
      <c r="AD43" s="976"/>
    </row>
    <row customHeight="1" ht="27">
      <c r="A44" s="975"/>
      <c r="B44" s="1029">
        <v>27</v>
      </c>
      <c r="C44" s="973" t="s">
        <v>2131</v>
      </c>
      <c r="D44" s="1098"/>
      <c r="E44" s="973"/>
      <c r="F44" s="973"/>
      <c r="G44" s="973"/>
      <c r="H44" s="1021"/>
      <c r="I44" s="1136" t="str">
        <f>INDEX(TEMPLATE_NUMBER_POINT_FHD,B44,MATCH(TEMPLATE_SPHERE,TEMPLATE_SPHERE_LIST_FOR_NOTE,0))</f>
        <v>2.11.1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2.11.1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2132</v>
      </c>
      <c r="P44" s="1088" t="s">
        <v>2133</v>
      </c>
      <c r="Q44" s="1088" t="s">
        <v>2132</v>
      </c>
      <c r="R44" s="1088" t="s">
        <v>2133</v>
      </c>
      <c r="S44" s="1088"/>
      <c r="T44" s="973" t="s">
        <v>2122</v>
      </c>
      <c r="U44" s="973" t="s">
        <v>2122</v>
      </c>
      <c r="V44" s="973" t="s">
        <v>2122</v>
      </c>
      <c r="W44" s="973" t="s">
        <v>2122</v>
      </c>
      <c r="X44" s="973"/>
      <c r="Y44" s="1131"/>
      <c r="Z44" s="976" t="s">
        <v>2134</v>
      </c>
      <c r="AA44" s="976" t="s">
        <v>2134</v>
      </c>
      <c r="AB44" s="976" t="s">
        <v>2134</v>
      </c>
      <c r="AC44" s="976" t="s">
        <v>2134</v>
      </c>
      <c r="AD44" s="976"/>
    </row>
    <row customHeight="1" ht="27">
      <c r="A45" s="975"/>
      <c r="B45" s="1029">
        <v>28</v>
      </c>
      <c r="C45" s="973" t="s">
        <v>2135</v>
      </c>
      <c r="D45" s="1098"/>
      <c r="E45" s="973"/>
      <c r="F45" s="973"/>
      <c r="G45" s="973"/>
      <c r="H45" s="1021"/>
      <c r="I45" s="1136" t="str">
        <f>INDEX(TEMPLATE_NUMBER_POINT_FHD,B45,MATCH(TEMPLATE_SPHERE,TEMPLATE_SPHERE_LIST_FOR_NOTE,0))</f>
        <v>2.11.2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2.11.2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2136</v>
      </c>
      <c r="P45" s="1088" t="s">
        <v>2137</v>
      </c>
      <c r="Q45" s="1088" t="s">
        <v>2136</v>
      </c>
      <c r="R45" s="1088" t="s">
        <v>2137</v>
      </c>
      <c r="S45" s="1088"/>
      <c r="T45" s="973" t="s">
        <v>2126</v>
      </c>
      <c r="U45" s="973" t="s">
        <v>2126</v>
      </c>
      <c r="V45" s="973" t="s">
        <v>2126</v>
      </c>
      <c r="W45" s="973" t="s">
        <v>2126</v>
      </c>
      <c r="X45" s="973"/>
      <c r="Y45" s="1131"/>
      <c r="Z45" s="976" t="s">
        <v>2138</v>
      </c>
      <c r="AA45" s="976" t="s">
        <v>2138</v>
      </c>
      <c r="AB45" s="976" t="s">
        <v>2138</v>
      </c>
      <c r="AC45" s="976" t="s">
        <v>2138</v>
      </c>
      <c r="AD45" s="976"/>
    </row>
    <row customHeight="1" ht="54">
      <c r="A46" s="975"/>
      <c r="B46" s="1029">
        <v>29</v>
      </c>
      <c r="C46" s="973">
        <v>15</v>
      </c>
      <c r="D46" s="1098"/>
      <c r="E46" s="973"/>
      <c r="F46" s="973"/>
      <c r="G46" s="973"/>
      <c r="H46" s="1021"/>
      <c r="I46" s="1136" t="str">
        <f>INDEX(TEMPLATE_NUMBER_POINT_FHD,B46,MATCH(TEMPLATE_SPHERE,TEMPLATE_SPHERE_LIST_FOR_NOTE,0))</f>
        <v>2.12</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2.12</v>
      </c>
      <c r="M46" s="974" t="str">
        <f>IF(J46=0,"",J46)</f>
        <v>Расходы на капитальный и текущий ремонт основных средств</v>
      </c>
      <c r="N46" s="97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2139</v>
      </c>
      <c r="P46" s="1088" t="s">
        <v>2117</v>
      </c>
      <c r="Q46" s="1088" t="s">
        <v>2139</v>
      </c>
      <c r="R46" s="1088" t="s">
        <v>2117</v>
      </c>
      <c r="S46" s="1088"/>
      <c r="T46" s="973" t="s">
        <v>2140</v>
      </c>
      <c r="U46" s="973" t="s">
        <v>2140</v>
      </c>
      <c r="V46" s="973" t="s">
        <v>2140</v>
      </c>
      <c r="W46" s="973" t="s">
        <v>2140</v>
      </c>
      <c r="X46" s="973"/>
      <c r="Y46" s="1131"/>
      <c r="Z46" s="976" t="s">
        <v>2141</v>
      </c>
      <c r="AA46" s="976" t="s">
        <v>2142</v>
      </c>
      <c r="AB46" s="976" t="s">
        <v>2142</v>
      </c>
      <c r="AC46" s="976" t="s">
        <v>2142</v>
      </c>
      <c r="AD46" s="976"/>
    </row>
    <row customHeight="1" ht="54">
      <c r="A47" s="975"/>
      <c r="B47" s="1029">
        <v>30</v>
      </c>
      <c r="C47" s="973" t="s">
        <v>2143</v>
      </c>
      <c r="D47" s="1098"/>
      <c r="E47" s="973"/>
      <c r="F47" s="973"/>
      <c r="G47" s="973"/>
      <c r="H47" s="1021"/>
      <c r="I47" s="1136" t="str">
        <f>INDEX(TEMPLATE_NUMBER_POINT_FHD,B47,MATCH(TEMPLATE_SPHERE,TEMPLATE_SPHERE_LIST_FOR_NOTE,0))</f>
        <v>2.12.1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2.12.1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2144</v>
      </c>
      <c r="P47" s="1088" t="s">
        <v>2121</v>
      </c>
      <c r="Q47" s="1088" t="s">
        <v>2144</v>
      </c>
      <c r="R47" s="1088" t="s">
        <v>2121</v>
      </c>
      <c r="S47" s="1088"/>
      <c r="T47" s="973" t="s">
        <v>2145</v>
      </c>
      <c r="U47" s="973" t="s">
        <v>2145</v>
      </c>
      <c r="V47" s="973" t="s">
        <v>2145</v>
      </c>
      <c r="W47" s="973" t="s">
        <v>2145</v>
      </c>
      <c r="X47" s="973"/>
      <c r="Y47" s="1131"/>
      <c r="Z47" s="976"/>
      <c r="AA47" s="979"/>
      <c r="AB47" s="979"/>
      <c r="AC47" s="979"/>
      <c r="AD47" s="976"/>
    </row>
    <row customHeight="1" ht="54">
      <c r="A48" s="975"/>
      <c r="B48" s="1029">
        <v>31</v>
      </c>
      <c r="C48" s="973">
        <v>16</v>
      </c>
      <c r="D48" s="1098"/>
      <c r="E48" s="973"/>
      <c r="F48" s="973"/>
      <c r="G48" s="973"/>
      <c r="H48" s="1021"/>
      <c r="I48" s="1136">
        <f>INDEX(TEMPLATE_NUMBER_POINT_FHD,B48,MATCH(TEMPLATE_SPHERE,TEMPLATE_SPHERE_LIST_FOR_NOTE,0))</f>
        <v>0</v>
      </c>
      <c r="J48" s="1136">
        <f>INDEX(TEMPLATE_DATA_POINT_FHD,B48,MATCH(TEMPLATE_SPHERE,TEMPLATE_SPHERE_LIST_FOR_NOTE,0))</f>
        <v>0</v>
      </c>
      <c r="K48" s="1136">
        <f>INDEX(TEMPLATE_NOTE_POINT_FHD,B48,MATCH(TEMPLATE_SPHERE,TEMPLATE_SPHERE_LIST_FOR_NOTE,0))</f>
        <v>0</v>
      </c>
      <c r="L48" s="974" t="str">
        <f>IF(I48=0,"",I48)</f>
        <v/>
      </c>
      <c r="M48" s="974" t="str">
        <f>IF(J48=0,"",J48)</f>
        <v/>
      </c>
      <c r="N48" s="974" t="str">
        <f>IF(K48=0,"",K48)</f>
        <v/>
      </c>
      <c r="O48" s="1088"/>
      <c r="P48" s="1088" t="s">
        <v>2128</v>
      </c>
      <c r="Q48" s="1088" t="s">
        <v>2146</v>
      </c>
      <c r="R48" s="1088" t="s">
        <v>2128</v>
      </c>
      <c r="S48" s="1088"/>
      <c r="T48" s="973"/>
      <c r="U48" s="973" t="s">
        <v>2147</v>
      </c>
      <c r="V48" s="973" t="s">
        <v>2148</v>
      </c>
      <c r="W48" s="973" t="s">
        <v>2148</v>
      </c>
      <c r="X48" s="973"/>
      <c r="Y48" s="1131"/>
      <c r="Z48" s="976"/>
      <c r="AA48" s="979" t="s">
        <v>2142</v>
      </c>
      <c r="AB48" s="979" t="s">
        <v>2142</v>
      </c>
      <c r="AC48" s="979" t="s">
        <v>2142</v>
      </c>
      <c r="AD48" s="976"/>
    </row>
    <row customHeight="1" ht="54">
      <c r="A49" s="975"/>
      <c r="B49" s="1029">
        <v>32</v>
      </c>
      <c r="C49" s="973" t="s">
        <v>2149</v>
      </c>
      <c r="D49" s="1098"/>
      <c r="E49" s="973"/>
      <c r="F49" s="973"/>
      <c r="G49" s="973"/>
      <c r="H49" s="1021"/>
      <c r="I49" s="1136">
        <f>INDEX(TEMPLATE_NUMBER_POINT_FHD,B49,MATCH(TEMPLATE_SPHERE,TEMPLATE_SPHERE_LIST_FOR_NOTE,0))</f>
        <v>0</v>
      </c>
      <c r="J49" s="1136">
        <f>INDEX(TEMPLATE_DATA_POINT_FHD,B49,MATCH(TEMPLATE_SPHERE,TEMPLATE_SPHERE_LIST_FOR_NOTE,0))</f>
        <v>0</v>
      </c>
      <c r="K49" s="1136">
        <f>INDEX(TEMPLATE_NOTE_POINT_FHD,B49,MATCH(TEMPLATE_SPHERE,TEMPLATE_SPHERE_LIST_FOR_NOTE,0))</f>
        <v>0</v>
      </c>
      <c r="L49" s="974" t="str">
        <f>IF(I49=0,"",I49)</f>
        <v/>
      </c>
      <c r="M49" s="974" t="str">
        <f>IF(J49=0,"",J49)</f>
        <v/>
      </c>
      <c r="N49" s="974" t="str">
        <f>IF(K49=0,"",K49)</f>
        <v/>
      </c>
      <c r="O49" s="1088"/>
      <c r="P49" s="1088" t="s">
        <v>2132</v>
      </c>
      <c r="Q49" s="1088" t="s">
        <v>2150</v>
      </c>
      <c r="R49" s="1088" t="s">
        <v>2132</v>
      </c>
      <c r="S49" s="1088"/>
      <c r="T49" s="973"/>
      <c r="U49" s="973" t="s">
        <v>2145</v>
      </c>
      <c r="V49" s="973" t="s">
        <v>2145</v>
      </c>
      <c r="W49" s="973" t="s">
        <v>2145</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2.13</v>
      </c>
      <c r="J50" s="113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74" t="str">
        <f>IF(I50=0,"",I50)</f>
        <v>2.13</v>
      </c>
      <c r="M50" s="97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7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88" t="s">
        <v>2146</v>
      </c>
      <c r="P50" s="1088" t="s">
        <v>2139</v>
      </c>
      <c r="Q50" s="1088" t="s">
        <v>2151</v>
      </c>
      <c r="R50" s="1088" t="s">
        <v>2139</v>
      </c>
      <c r="S50" s="1088"/>
      <c r="T50" s="973" t="s">
        <v>2152</v>
      </c>
      <c r="U50" s="973" t="s">
        <v>2153</v>
      </c>
      <c r="V50" s="973" t="s">
        <v>2154</v>
      </c>
      <c r="W50" s="973" t="s">
        <v>2155</v>
      </c>
      <c r="X50" s="973"/>
      <c r="Y50" s="1131"/>
      <c r="Z50" s="976" t="s">
        <v>2156</v>
      </c>
      <c r="AA50" s="979" t="s">
        <v>2157</v>
      </c>
      <c r="AB50" s="979" t="s">
        <v>2157</v>
      </c>
      <c r="AC50" s="979" t="s">
        <v>2157</v>
      </c>
      <c r="AD50" s="976"/>
    </row>
    <row customHeight="1" ht="27">
      <c r="A51" s="975"/>
      <c r="B51" s="1029">
        <v>34</v>
      </c>
      <c r="C51" s="973" t="s">
        <v>2158</v>
      </c>
      <c r="D51" s="1098"/>
      <c r="E51" s="973"/>
      <c r="F51" s="973"/>
      <c r="G51" s="973"/>
      <c r="H51" s="1021"/>
      <c r="I51" s="1136" t="str">
        <f>INDEX(TEMPLATE_NUMBER_POINT_FHD,B51,MATCH(TEMPLATE_SPHERE,TEMPLATE_SPHERE_LIST_FOR_NOTE,0))</f>
        <v>3</v>
      </c>
      <c r="J51" s="113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36">
        <f>INDEX(TEMPLATE_NOTE_POINT_FHD,B51,MATCH(TEMPLATE_SPHERE,TEMPLATE_SPHERE_LIST_FOR_NOTE,0))</f>
        <v>0</v>
      </c>
      <c r="L51" s="974" t="str">
        <f>IF(I51=0,"",I51)</f>
        <v>3</v>
      </c>
      <c r="M51" s="974" t="str">
        <f>IF(J51=0,"",J51)</f>
        <v>Валовая прибыль (убытки) от реализации товаров и оказания услуг по регулируемому виду деятельности</v>
      </c>
      <c r="N51" s="974" t="str">
        <f>IF(K51=0,"",K51)</f>
        <v/>
      </c>
      <c r="O51" s="1088" t="s">
        <v>87</v>
      </c>
      <c r="P51" s="1088"/>
      <c r="Q51" s="1088"/>
      <c r="R51" s="1088"/>
      <c r="S51" s="1088"/>
      <c r="T51" s="973" t="s">
        <v>2159</v>
      </c>
      <c r="U51" s="973"/>
      <c r="V51" s="973"/>
      <c r="W51" s="973"/>
      <c r="X51" s="973"/>
      <c r="Y51" s="1131"/>
      <c r="Z51" s="976"/>
      <c r="AA51" s="979"/>
      <c r="AB51" s="979"/>
      <c r="AC51" s="979"/>
      <c r="AD51" s="976"/>
    </row>
    <row customHeight="1" ht="36">
      <c r="A52" s="975"/>
      <c r="B52" s="1029">
        <v>35</v>
      </c>
      <c r="C52" s="973" t="s">
        <v>2051</v>
      </c>
      <c r="D52" s="1098" t="s">
        <v>2051</v>
      </c>
      <c r="E52" s="973" t="s">
        <v>2051</v>
      </c>
      <c r="F52" s="973" t="s">
        <v>2051</v>
      </c>
      <c r="G52" s="973"/>
      <c r="H52" s="1021"/>
      <c r="I52" s="1136" t="str">
        <f>INDEX(TEMPLATE_NUMBER_POINT_FHD,B52,MATCH(TEMPLATE_SPHERE,TEMPLATE_SPHERE_LIST_FOR_NOTE,0))</f>
        <v>4</v>
      </c>
      <c r="J52" s="1136" t="str">
        <f>INDEX(TEMPLATE_DATA_POINT_FHD,B52,MATCH(TEMPLATE_SPHERE,TEMPLATE_SPHERE_LIST_FOR_NOTE,0))</f>
        <v>Чистая прибыль, полученная от регулируемого вида деятельности,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4</v>
      </c>
      <c r="M52" s="974" t="str">
        <f>IF(J52=0,"",J52)</f>
        <v>Чистая прибыль, полученная от регулируемого вида деятельности, в том числе:</v>
      </c>
      <c r="N52" s="974" t="str">
        <f>IF(K52=0,"",K52)</f>
        <v>Указывается общая сумма чистой прибыли, полученной от регулируемого вида деятельности.</v>
      </c>
      <c r="O52" s="1088" t="s">
        <v>88</v>
      </c>
      <c r="P52" s="1088" t="s">
        <v>87</v>
      </c>
      <c r="Q52" s="1088" t="s">
        <v>87</v>
      </c>
      <c r="R52" s="1088" t="s">
        <v>87</v>
      </c>
      <c r="S52" s="1088"/>
      <c r="T52" s="973" t="s">
        <v>2160</v>
      </c>
      <c r="U52" s="973" t="s">
        <v>2161</v>
      </c>
      <c r="V52" s="973" t="s">
        <v>2162</v>
      </c>
      <c r="W52" s="973" t="s">
        <v>2163</v>
      </c>
      <c r="X52" s="973"/>
      <c r="Y52" s="1131"/>
      <c r="Z52" s="976" t="s">
        <v>759</v>
      </c>
      <c r="AA52" s="979" t="s">
        <v>759</v>
      </c>
      <c r="AB52" s="979" t="s">
        <v>759</v>
      </c>
      <c r="AC52" s="979" t="s">
        <v>759</v>
      </c>
      <c r="AD52" s="976"/>
    </row>
    <row customHeight="1" ht="36">
      <c r="A53" s="975"/>
      <c r="B53" s="1029">
        <v>36</v>
      </c>
      <c r="C53" s="973">
        <v>1</v>
      </c>
      <c r="D53" s="1098"/>
      <c r="E53" s="973"/>
      <c r="F53" s="973"/>
      <c r="G53" s="973"/>
      <c r="H53" s="1021"/>
      <c r="I53" s="1136" t="str">
        <f>INDEX(TEMPLATE_NUMBER_POINT_FHD,B53,MATCH(TEMPLATE_SPHERE,TEMPLATE_SPHERE_LIST_FOR_NOTE,0))</f>
        <v>4.1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4.1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763</v>
      </c>
      <c r="P53" s="1088" t="s">
        <v>404</v>
      </c>
      <c r="Q53" s="1088" t="s">
        <v>404</v>
      </c>
      <c r="R53" s="1088" t="s">
        <v>404</v>
      </c>
      <c r="S53" s="1088"/>
      <c r="T53" s="973" t="s">
        <v>2164</v>
      </c>
      <c r="U53" s="973" t="s">
        <v>2164</v>
      </c>
      <c r="V53" s="973" t="s">
        <v>2164</v>
      </c>
      <c r="W53" s="973" t="s">
        <v>2164</v>
      </c>
      <c r="X53" s="973"/>
      <c r="Y53" s="1131"/>
      <c r="Z53" s="976"/>
      <c r="AA53" s="979"/>
      <c r="AB53" s="976"/>
      <c r="AC53" s="976"/>
      <c r="AD53" s="976"/>
    </row>
    <row customHeight="1" ht="18">
      <c r="A54" s="975"/>
      <c r="B54" s="1029">
        <v>37</v>
      </c>
      <c r="C54" s="973" t="s">
        <v>2057</v>
      </c>
      <c r="D54" s="1098" t="s">
        <v>2057</v>
      </c>
      <c r="E54" s="973" t="s">
        <v>2057</v>
      </c>
      <c r="F54" s="973" t="s">
        <v>2057</v>
      </c>
      <c r="G54" s="973"/>
      <c r="H54" s="1021"/>
      <c r="I54" s="1136" t="str">
        <f>INDEX(TEMPLATE_NUMBER_POINT_FHD,B54,MATCH(TEMPLATE_SPHERE,TEMPLATE_SPHERE_LIST_FOR_NOTE,0))</f>
        <v>5</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5</v>
      </c>
      <c r="M54" s="974" t="str">
        <f>IF(J54=0,"",J54)</f>
        <v>Изменение стоимости основных фондов, в том числе:</v>
      </c>
      <c r="N54" s="974" t="str">
        <f>IF(K54=0,"",K54)</f>
        <v>Указывается общее изменение стоимости основных фондов.</v>
      </c>
      <c r="O54" s="1088" t="s">
        <v>119</v>
      </c>
      <c r="P54" s="1088" t="s">
        <v>88</v>
      </c>
      <c r="Q54" s="1088" t="s">
        <v>88</v>
      </c>
      <c r="R54" s="1088" t="s">
        <v>88</v>
      </c>
      <c r="S54" s="1088"/>
      <c r="T54" s="973" t="s">
        <v>761</v>
      </c>
      <c r="U54" s="973" t="s">
        <v>761</v>
      </c>
      <c r="V54" s="973" t="s">
        <v>761</v>
      </c>
      <c r="W54" s="973" t="s">
        <v>761</v>
      </c>
      <c r="X54" s="973"/>
      <c r="Y54" s="1131"/>
      <c r="Z54" s="976" t="s">
        <v>762</v>
      </c>
      <c r="AA54" s="976" t="s">
        <v>762</v>
      </c>
      <c r="AB54" s="976" t="s">
        <v>762</v>
      </c>
      <c r="AC54" s="976" t="s">
        <v>762</v>
      </c>
      <c r="AD54" s="976"/>
    </row>
    <row customHeight="1" ht="36">
      <c r="A55" s="975"/>
      <c r="B55" s="1029">
        <v>38</v>
      </c>
      <c r="C55" s="973">
        <v>1</v>
      </c>
      <c r="D55" s="1098"/>
      <c r="E55" s="973"/>
      <c r="F55" s="973"/>
      <c r="G55" s="973"/>
      <c r="H55" s="1021"/>
      <c r="I55" s="1136" t="str">
        <f>INDEX(TEMPLATE_NUMBER_POINT_FHD,B55,MATCH(TEMPLATE_SPHERE,TEMPLATE_SPHERE_LIST_FOR_NOTE,0))</f>
        <v>5.1</v>
      </c>
      <c r="J55" s="1136" t="str">
        <f>INDEX(TEMPLATE_DATA_POINT_FHD,B55,MATCH(TEMPLATE_SPHERE,TEMPLATE_SPHERE_LIST_FOR_NOTE,0))</f>
        <v>Изменение стоимости основных фондов за счет:</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5.1</v>
      </c>
      <c r="M55" s="974" t="str">
        <f>IF(J55=0,"",J55)</f>
        <v>Изменение стоимости основных фондов за счет:</v>
      </c>
      <c r="N55" s="974" t="str">
        <f>IF(K55=0,"",K55)</f>
        <v>Указываются общее изменение стоимости основных фондов за счет их ввода в эксплуатацию и вывода из эксплуатации.</v>
      </c>
      <c r="O55" s="1088" t="s">
        <v>393</v>
      </c>
      <c r="P55" s="1088" t="s">
        <v>763</v>
      </c>
      <c r="Q55" s="1088" t="s">
        <v>763</v>
      </c>
      <c r="R55" s="1088" t="s">
        <v>763</v>
      </c>
      <c r="S55" s="1088"/>
      <c r="T55" s="973" t="s">
        <v>2165</v>
      </c>
      <c r="U55" s="973" t="s">
        <v>2166</v>
      </c>
      <c r="V55" s="973" t="s">
        <v>2166</v>
      </c>
      <c r="W55" s="973" t="s">
        <v>2166</v>
      </c>
      <c r="X55" s="973"/>
      <c r="Y55" s="1131"/>
      <c r="Z55" s="976" t="s">
        <v>2167</v>
      </c>
      <c r="AA55" s="976" t="s">
        <v>2167</v>
      </c>
      <c r="AB55" s="976" t="s">
        <v>2167</v>
      </c>
      <c r="AC55" s="976" t="s">
        <v>2167</v>
      </c>
      <c r="AD55" s="976"/>
    </row>
    <row customHeight="1" ht="27">
      <c r="A56" s="975"/>
      <c r="B56" s="1029">
        <v>39</v>
      </c>
      <c r="C56" s="973" t="s">
        <v>1042</v>
      </c>
      <c r="D56" s="1098"/>
      <c r="E56" s="973"/>
      <c r="F56" s="973"/>
      <c r="G56" s="973"/>
      <c r="H56" s="1021"/>
      <c r="I56" s="1136" t="str">
        <f>INDEX(TEMPLATE_NUMBER_POINT_FHD,B56,MATCH(TEMPLATE_SPHERE,TEMPLATE_SPHERE_LIST_FOR_NOTE,0))</f>
        <v>5.1.1</v>
      </c>
      <c r="J56" s="1136" t="str">
        <f>INDEX(TEMPLATE_DATA_POINT_FHD,B56,MATCH(TEMPLATE_SPHERE,TEMPLATE_SPHERE_LIST_FOR_NOTE,0))</f>
        <v>Изменения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5.1.1</v>
      </c>
      <c r="M56" s="974" t="str">
        <f>IF(J56=0,"",J56)</f>
        <v>Изменения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1162</v>
      </c>
      <c r="P56" s="1088" t="s">
        <v>766</v>
      </c>
      <c r="Q56" s="1088" t="s">
        <v>766</v>
      </c>
      <c r="R56" s="1088" t="s">
        <v>766</v>
      </c>
      <c r="S56" s="1088"/>
      <c r="T56" s="973" t="s">
        <v>2168</v>
      </c>
      <c r="U56" s="973" t="s">
        <v>2169</v>
      </c>
      <c r="V56" s="973" t="s">
        <v>2169</v>
      </c>
      <c r="W56" s="973" t="s">
        <v>2169</v>
      </c>
      <c r="X56" s="973"/>
      <c r="Y56" s="1131"/>
      <c r="Z56" s="976" t="s">
        <v>768</v>
      </c>
      <c r="AA56" s="976" t="s">
        <v>768</v>
      </c>
      <c r="AB56" s="976" t="s">
        <v>768</v>
      </c>
      <c r="AC56" s="976" t="s">
        <v>768</v>
      </c>
      <c r="AD56" s="976"/>
    </row>
    <row customHeight="1" ht="27">
      <c r="A57" s="975"/>
      <c r="B57" s="1029">
        <v>40</v>
      </c>
      <c r="C57" s="973" t="s">
        <v>1044</v>
      </c>
      <c r="D57" s="1098"/>
      <c r="E57" s="973"/>
      <c r="F57" s="973"/>
      <c r="G57" s="973"/>
      <c r="H57" s="1021"/>
      <c r="I57" s="1136" t="str">
        <f>INDEX(TEMPLATE_NUMBER_POINT_FHD,B57,MATCH(TEMPLATE_SPHERE,TEMPLATE_SPHERE_LIST_FOR_NOTE,0))</f>
        <v>5.1.2</v>
      </c>
      <c r="J57" s="1136" t="str">
        <f>INDEX(TEMPLATE_DATA_POINT_FHD,B57,MATCH(TEMPLATE_SPHERE,TEMPLATE_SPHERE_LIST_FOR_NOTE,0))</f>
        <v>Изменения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5.1.2</v>
      </c>
      <c r="M57" s="974" t="str">
        <f>IF(J57=0,"",J57)</f>
        <v>Изменения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2170</v>
      </c>
      <c r="P57" s="1088" t="s">
        <v>769</v>
      </c>
      <c r="Q57" s="1088" t="s">
        <v>769</v>
      </c>
      <c r="R57" s="1088" t="s">
        <v>769</v>
      </c>
      <c r="S57" s="1088"/>
      <c r="T57" s="973" t="s">
        <v>2171</v>
      </c>
      <c r="U57" s="973" t="s">
        <v>2172</v>
      </c>
      <c r="V57" s="973" t="s">
        <v>2172</v>
      </c>
      <c r="W57" s="973" t="s">
        <v>2172</v>
      </c>
      <c r="X57" s="973"/>
      <c r="Y57" s="1131"/>
      <c r="Z57" s="976" t="s">
        <v>771</v>
      </c>
      <c r="AA57" s="976" t="s">
        <v>771</v>
      </c>
      <c r="AB57" s="976" t="s">
        <v>771</v>
      </c>
      <c r="AC57" s="976" t="s">
        <v>771</v>
      </c>
      <c r="AD57" s="976"/>
    </row>
    <row customHeight="1" ht="18">
      <c r="A58" s="975"/>
      <c r="B58" s="1029">
        <v>41</v>
      </c>
      <c r="C58" s="973">
        <v>2</v>
      </c>
      <c r="D58" s="1098"/>
      <c r="E58" s="973"/>
      <c r="F58" s="973"/>
      <c r="G58" s="973"/>
      <c r="H58" s="1021"/>
      <c r="I58" s="1136" t="str">
        <f>INDEX(TEMPLATE_NUMBER_POINT_FHD,B58,MATCH(TEMPLATE_SPHERE,TEMPLATE_SPHERE_LIST_FOR_NOTE,0))</f>
        <v>5.2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5.2</v>
      </c>
      <c r="M58" s="974" t="str">
        <f>IF(J58=0,"",J58)</f>
        <v>Изменение стоимости основных фондов за счет их переоценки</v>
      </c>
      <c r="N58" s="974" t="str">
        <f>IF(K58=0,"",K58)</f>
        <v/>
      </c>
      <c r="O58" s="1088" t="s">
        <v>395</v>
      </c>
      <c r="P58" s="1088" t="s">
        <v>806</v>
      </c>
      <c r="Q58" s="1088" t="s">
        <v>806</v>
      </c>
      <c r="R58" s="1088" t="s">
        <v>806</v>
      </c>
      <c r="S58" s="1088"/>
      <c r="T58" s="973" t="s">
        <v>2173</v>
      </c>
      <c r="U58" s="973" t="s">
        <v>2173</v>
      </c>
      <c r="V58" s="973" t="s">
        <v>2173</v>
      </c>
      <c r="W58" s="973" t="s">
        <v>2173</v>
      </c>
      <c r="X58" s="973"/>
      <c r="Y58" s="1131"/>
      <c r="Z58" s="976"/>
      <c r="AA58" s="979"/>
      <c r="AB58" s="976"/>
      <c r="AC58" s="976"/>
      <c r="AD58" s="976"/>
    </row>
    <row customHeight="1" ht="36">
      <c r="A59" s="975"/>
      <c r="B59" s="1029">
        <v>42</v>
      </c>
      <c r="C59" s="973">
        <v>3</v>
      </c>
      <c r="D59" s="1098" t="s">
        <v>2158</v>
      </c>
      <c r="E59" s="973" t="s">
        <v>2158</v>
      </c>
      <c r="F59" s="973" t="s">
        <v>2158</v>
      </c>
      <c r="G59" s="973"/>
      <c r="H59" s="1021"/>
      <c r="I59" s="1136">
        <f>INDEX(TEMPLATE_NUMBER_POINT_FHD,B59,MATCH(TEMPLATE_SPHERE,TEMPLATE_SPHERE_LIST_FOR_NOTE,0))</f>
        <v>0</v>
      </c>
      <c r="J59" s="1136">
        <f>INDEX(TEMPLATE_DATA_POINT_FHD,B59,MATCH(TEMPLATE_SPHERE,TEMPLATE_SPHERE_LIST_FOR_NOTE,0))</f>
        <v>0</v>
      </c>
      <c r="K59" s="1136">
        <f>INDEX(TEMPLATE_NOTE_POINT_FHD,B59,MATCH(TEMPLATE_SPHERE,TEMPLATE_SPHERE_LIST_FOR_NOTE,0))</f>
        <v>0</v>
      </c>
      <c r="L59" s="974" t="str">
        <f>IF(I59=0,"",I59)</f>
        <v/>
      </c>
      <c r="M59" s="974" t="str">
        <f>IF(J59=0,"",J59)</f>
        <v/>
      </c>
      <c r="N59" s="974" t="str">
        <f>IF(K59=0,"",K59)</f>
        <v/>
      </c>
      <c r="O59" s="1088"/>
      <c r="P59" s="1088" t="s">
        <v>119</v>
      </c>
      <c r="Q59" s="1088" t="s">
        <v>119</v>
      </c>
      <c r="R59" s="1088" t="s">
        <v>119</v>
      </c>
      <c r="S59" s="1088"/>
      <c r="T59" s="973"/>
      <c r="U59" s="973" t="s">
        <v>2174</v>
      </c>
      <c r="V59" s="973" t="s">
        <v>2175</v>
      </c>
      <c r="W59" s="973" t="s">
        <v>2176</v>
      </c>
      <c r="X59" s="973"/>
      <c r="Y59" s="1131"/>
      <c r="Z59" s="976"/>
      <c r="AA59" s="979"/>
      <c r="AB59" s="976"/>
      <c r="AC59" s="976"/>
      <c r="AD59" s="976"/>
    </row>
    <row customHeight="1" ht="81">
      <c r="A60" s="975"/>
      <c r="B60" s="1029">
        <v>43</v>
      </c>
      <c r="C60" s="973" t="s">
        <v>2177</v>
      </c>
      <c r="D60" s="1098" t="s">
        <v>2177</v>
      </c>
      <c r="E60" s="973" t="s">
        <v>2177</v>
      </c>
      <c r="F60" s="973" t="s">
        <v>2177</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88" t="s">
        <v>89</v>
      </c>
      <c r="P60" s="1088" t="s">
        <v>89</v>
      </c>
      <c r="Q60" s="1088" t="s">
        <v>89</v>
      </c>
      <c r="R60" s="1088" t="s">
        <v>89</v>
      </c>
      <c r="S60" s="1088"/>
      <c r="T60" s="973" t="s">
        <v>775</v>
      </c>
      <c r="U60" s="973" t="s">
        <v>775</v>
      </c>
      <c r="V60" s="973" t="s">
        <v>775</v>
      </c>
      <c r="W60" s="973" t="s">
        <v>775</v>
      </c>
      <c r="X60" s="973"/>
      <c r="Y60" s="1131"/>
      <c r="Z60" s="976" t="s">
        <v>2178</v>
      </c>
      <c r="AA60" s="979" t="s">
        <v>2179</v>
      </c>
      <c r="AB60" s="976" t="s">
        <v>2180</v>
      </c>
      <c r="AC60" s="976" t="s">
        <v>2179</v>
      </c>
      <c r="AD60" s="976"/>
    </row>
    <row customHeight="1" ht="9">
      <c r="A61" s="975"/>
      <c r="B61" s="1029">
        <v>44</v>
      </c>
      <c r="C61" s="973"/>
      <c r="D61" s="1098" t="s">
        <v>2181</v>
      </c>
      <c r="E61" s="973"/>
      <c r="F61" s="973"/>
      <c r="G61" s="973"/>
      <c r="H61" s="1021"/>
      <c r="I61" s="1136">
        <f>INDEX(TEMPLATE_NUMBER_POINT_FHD,B61,MATCH(TEMPLATE_SPHERE,TEMPLATE_SPHERE_LIST_FOR_NOTE,0))</f>
        <v>0</v>
      </c>
      <c r="J61" s="1136">
        <f>INDEX(TEMPLATE_DATA_POINT_FHD,B61,MATCH(TEMPLATE_SPHERE,TEMPLATE_SPHERE_LIST_FOR_NOTE,0))</f>
        <v>0</v>
      </c>
      <c r="K61" s="1136">
        <f>INDEX(TEMPLATE_NOTE_POINT_FHD,B61,MATCH(TEMPLATE_SPHERE,TEMPLATE_SPHERE_LIST_FOR_NOTE,0))</f>
        <v>0</v>
      </c>
      <c r="L61" s="974" t="str">
        <f>IF(I61=0,"",I61)</f>
        <v/>
      </c>
      <c r="M61" s="974" t="str">
        <f>IF(J61=0,"",J61)</f>
        <v/>
      </c>
      <c r="N61" s="974" t="str">
        <f>IF(K61=0,"",K61)</f>
        <v/>
      </c>
      <c r="O61" s="1088"/>
      <c r="P61" s="1088" t="s">
        <v>90</v>
      </c>
      <c r="Q61" s="1088"/>
      <c r="R61" s="1088"/>
      <c r="S61" s="1088"/>
      <c r="T61" s="973"/>
      <c r="U61" s="973" t="s">
        <v>2182</v>
      </c>
      <c r="V61" s="973"/>
      <c r="W61" s="973"/>
      <c r="X61" s="973"/>
      <c r="Y61" s="1131"/>
      <c r="Z61" s="976"/>
      <c r="AA61" s="979"/>
      <c r="AB61" s="976"/>
      <c r="AC61" s="976"/>
      <c r="AD61" s="976"/>
    </row>
    <row customHeight="1" ht="9">
      <c r="A62" s="975"/>
      <c r="B62" s="1029">
        <v>45</v>
      </c>
      <c r="C62" s="973"/>
      <c r="D62" s="1098" t="s">
        <v>2183</v>
      </c>
      <c r="E62" s="973"/>
      <c r="F62" s="973"/>
      <c r="G62" s="973"/>
      <c r="H62" s="1021"/>
      <c r="I62" s="1136">
        <f>INDEX(TEMPLATE_NUMBER_POINT_FHD,B62,MATCH(TEMPLATE_SPHERE,TEMPLATE_SPHERE_LIST_FOR_NOTE,0))</f>
        <v>0</v>
      </c>
      <c r="J62" s="1136">
        <f>INDEX(TEMPLATE_DATA_POINT_FHD,B62,MATCH(TEMPLATE_SPHERE,TEMPLATE_SPHERE_LIST_FOR_NOTE,0))</f>
        <v>0</v>
      </c>
      <c r="K62" s="1136">
        <f>INDEX(TEMPLATE_NOTE_POINT_FHD,B62,MATCH(TEMPLATE_SPHERE,TEMPLATE_SPHERE_LIST_FOR_NOTE,0))</f>
        <v>0</v>
      </c>
      <c r="L62" s="974" t="str">
        <f>IF(I62=0,"",I62)</f>
        <v/>
      </c>
      <c r="M62" s="974" t="str">
        <f>IF(J62=0,"",J62)</f>
        <v/>
      </c>
      <c r="N62" s="974" t="str">
        <f>IF(K62=0,"",K62)</f>
        <v/>
      </c>
      <c r="O62" s="1088"/>
      <c r="P62" s="1088" t="s">
        <v>140</v>
      </c>
      <c r="Q62" s="1088"/>
      <c r="R62" s="1088"/>
      <c r="S62" s="1088"/>
      <c r="T62" s="973"/>
      <c r="U62" s="973" t="s">
        <v>2184</v>
      </c>
      <c r="V62" s="973"/>
      <c r="W62" s="973"/>
      <c r="X62" s="973"/>
      <c r="Y62" s="1131"/>
      <c r="Z62" s="976"/>
      <c r="AA62" s="979"/>
      <c r="AB62" s="976"/>
      <c r="AC62" s="976"/>
      <c r="AD62" s="976"/>
    </row>
    <row customHeight="1" ht="18">
      <c r="A63" s="975"/>
      <c r="B63" s="1029">
        <v>46</v>
      </c>
      <c r="C63" s="973"/>
      <c r="D63" s="1098" t="s">
        <v>2185</v>
      </c>
      <c r="E63" s="973"/>
      <c r="F63" s="973"/>
      <c r="G63" s="973"/>
      <c r="H63" s="1021"/>
      <c r="I63" s="1136">
        <f>INDEX(TEMPLATE_NUMBER_POINT_FHD,B63,MATCH(TEMPLATE_SPHERE,TEMPLATE_SPHERE_LIST_FOR_NOTE,0))</f>
        <v>0</v>
      </c>
      <c r="J63" s="1136">
        <f>INDEX(TEMPLATE_DATA_POINT_FHD,B63,MATCH(TEMPLATE_SPHERE,TEMPLATE_SPHERE_LIST_FOR_NOTE,0))</f>
        <v>0</v>
      </c>
      <c r="K63" s="1136">
        <f>INDEX(TEMPLATE_NOTE_POINT_FHD,B63,MATCH(TEMPLATE_SPHERE,TEMPLATE_SPHERE_LIST_FOR_NOTE,0))</f>
        <v>0</v>
      </c>
      <c r="L63" s="974" t="str">
        <f>IF(I63=0,"",I63)</f>
        <v/>
      </c>
      <c r="M63" s="974" t="str">
        <f>IF(J63=0,"",J63)</f>
        <v/>
      </c>
      <c r="N63" s="974" t="str">
        <f>IF(K63=0,"",K63)</f>
        <v/>
      </c>
      <c r="O63" s="1088"/>
      <c r="P63" s="1088" t="s">
        <v>151</v>
      </c>
      <c r="Q63" s="1088"/>
      <c r="R63" s="1088"/>
      <c r="S63" s="1088"/>
      <c r="T63" s="973"/>
      <c r="U63" s="973" t="s">
        <v>2186</v>
      </c>
      <c r="V63" s="973"/>
      <c r="W63" s="973"/>
      <c r="X63" s="973"/>
      <c r="Y63" s="1131"/>
      <c r="Z63" s="976"/>
      <c r="AA63" s="979"/>
      <c r="AB63" s="976"/>
      <c r="AC63" s="976"/>
      <c r="AD63" s="976"/>
    </row>
    <row customHeight="1" ht="18">
      <c r="A64" s="975"/>
      <c r="B64" s="1029">
        <v>47</v>
      </c>
      <c r="C64" s="973"/>
      <c r="D64" s="1098" t="s">
        <v>2187</v>
      </c>
      <c r="E64" s="973"/>
      <c r="F64" s="973"/>
      <c r="G64" s="973"/>
      <c r="H64" s="1021"/>
      <c r="I64" s="1136">
        <f>INDEX(TEMPLATE_NUMBER_POINT_FHD,B64,MATCH(TEMPLATE_SPHERE,TEMPLATE_SPHERE_LIST_FOR_NOTE,0))</f>
        <v>0</v>
      </c>
      <c r="J64" s="1136">
        <f>INDEX(TEMPLATE_DATA_POINT_FHD,B64,MATCH(TEMPLATE_SPHERE,TEMPLATE_SPHERE_LIST_FOR_NOTE,0))</f>
        <v>0</v>
      </c>
      <c r="K64" s="1136">
        <f>INDEX(TEMPLATE_NOTE_POINT_FHD,B64,MATCH(TEMPLATE_SPHERE,TEMPLATE_SPHERE_LIST_FOR_NOTE,0))</f>
        <v>0</v>
      </c>
      <c r="L64" s="974" t="str">
        <f>IF(I64=0,"",I64)</f>
        <v/>
      </c>
      <c r="M64" s="974" t="str">
        <f>IF(J64=0,"",J64)</f>
        <v/>
      </c>
      <c r="N64" s="974" t="str">
        <f>IF(K64=0,"",K64)</f>
        <v/>
      </c>
      <c r="O64" s="1088"/>
      <c r="P64" s="1088" t="s">
        <v>229</v>
      </c>
      <c r="Q64" s="1088"/>
      <c r="R64" s="1088"/>
      <c r="S64" s="1088"/>
      <c r="T64" s="973"/>
      <c r="U64" s="973" t="s">
        <v>2188</v>
      </c>
      <c r="V64" s="973"/>
      <c r="W64" s="973"/>
      <c r="X64" s="973"/>
      <c r="Y64" s="1131"/>
      <c r="Z64" s="976"/>
      <c r="AA64" s="979" t="s">
        <v>2189</v>
      </c>
      <c r="AB64" s="976"/>
      <c r="AC64" s="976"/>
      <c r="AD64" s="976"/>
    </row>
    <row customHeight="1" ht="18">
      <c r="A65" s="975"/>
      <c r="B65" s="1029">
        <v>48</v>
      </c>
      <c r="C65" s="973"/>
      <c r="D65" s="1098"/>
      <c r="E65" s="973"/>
      <c r="F65" s="973"/>
      <c r="G65" s="973"/>
      <c r="H65" s="1021"/>
      <c r="I65" s="1136">
        <f>INDEX(TEMPLATE_NUMBER_POINT_FHD,B65,MATCH(TEMPLATE_SPHERE,TEMPLATE_SPHERE_LIST_FOR_NOTE,0))</f>
        <v>0</v>
      </c>
      <c r="J65" s="1136">
        <f>INDEX(TEMPLATE_DATA_POINT_FHD,B65,MATCH(TEMPLATE_SPHERE,TEMPLATE_SPHERE_LIST_FOR_NOTE,0))</f>
        <v>0</v>
      </c>
      <c r="K65" s="1136">
        <f>INDEX(TEMPLATE_NOTE_POINT_FHD,B65,MATCH(TEMPLATE_SPHERE,TEMPLATE_SPHERE_LIST_FOR_NOTE,0))</f>
        <v>0</v>
      </c>
      <c r="L65" s="974" t="str">
        <f>IF(I65=0,"",I65)</f>
        <v/>
      </c>
      <c r="M65" s="974" t="str">
        <f>IF(J65=0,"",J65)</f>
        <v/>
      </c>
      <c r="N65" s="974" t="str">
        <f>IF(K65=0,"",K65)</f>
        <v/>
      </c>
      <c r="O65" s="1088"/>
      <c r="P65" s="1088" t="s">
        <v>2099</v>
      </c>
      <c r="Q65" s="1088"/>
      <c r="R65" s="1088"/>
      <c r="S65" s="1088"/>
      <c r="T65" s="973"/>
      <c r="U65" s="973" t="s">
        <v>2190</v>
      </c>
      <c r="V65" s="973"/>
      <c r="W65" s="973"/>
      <c r="X65" s="973"/>
      <c r="Y65" s="1131"/>
      <c r="Z65" s="976"/>
      <c r="AA65" s="979"/>
      <c r="AB65" s="976"/>
      <c r="AC65" s="976"/>
      <c r="AD65" s="976"/>
    </row>
    <row customHeight="1" ht="18">
      <c r="A66" s="975"/>
      <c r="B66" s="1029">
        <v>49</v>
      </c>
      <c r="C66" s="973"/>
      <c r="D66" s="1098"/>
      <c r="E66" s="973"/>
      <c r="F66" s="973"/>
      <c r="G66" s="973"/>
      <c r="H66" s="1021"/>
      <c r="I66" s="1136">
        <f>INDEX(TEMPLATE_NUMBER_POINT_FHD,B66,MATCH(TEMPLATE_SPHERE,TEMPLATE_SPHERE_LIST_FOR_NOTE,0))</f>
        <v>0</v>
      </c>
      <c r="J66" s="1136">
        <f>INDEX(TEMPLATE_DATA_POINT_FHD,B66,MATCH(TEMPLATE_SPHERE,TEMPLATE_SPHERE_LIST_FOR_NOTE,0))</f>
        <v>0</v>
      </c>
      <c r="K66" s="1136">
        <f>INDEX(TEMPLATE_NOTE_POINT_FHD,B66,MATCH(TEMPLATE_SPHERE,TEMPLATE_SPHERE_LIST_FOR_NOTE,0))</f>
        <v>0</v>
      </c>
      <c r="L66" s="974" t="str">
        <f>IF(I66=0,"",I66)</f>
        <v/>
      </c>
      <c r="M66" s="974" t="str">
        <f>IF(J66=0,"",J66)</f>
        <v/>
      </c>
      <c r="N66" s="974" t="str">
        <f>IF(K66=0,"",K66)</f>
        <v/>
      </c>
      <c r="O66" s="1088"/>
      <c r="P66" s="1088" t="s">
        <v>2103</v>
      </c>
      <c r="Q66" s="1088"/>
      <c r="R66" s="1088"/>
      <c r="S66" s="1088"/>
      <c r="T66" s="973"/>
      <c r="U66" s="973" t="s">
        <v>2191</v>
      </c>
      <c r="V66" s="973"/>
      <c r="W66" s="973"/>
      <c r="X66" s="973"/>
      <c r="Y66" s="1131"/>
      <c r="Z66" s="976"/>
      <c r="AA66" s="979"/>
      <c r="AB66" s="976"/>
      <c r="AC66" s="976"/>
      <c r="AD66" s="976"/>
    </row>
    <row customHeight="1" ht="27">
      <c r="A67" s="975"/>
      <c r="B67" s="1029">
        <v>50</v>
      </c>
      <c r="C67" s="973"/>
      <c r="D67" s="1098"/>
      <c r="E67" s="973"/>
      <c r="F67" s="973"/>
      <c r="G67" s="973"/>
      <c r="H67" s="1021"/>
      <c r="I67" s="1136">
        <f>INDEX(TEMPLATE_NUMBER_POINT_FHD,B67,MATCH(TEMPLATE_SPHERE,TEMPLATE_SPHERE_LIST_FOR_NOTE,0))</f>
        <v>0</v>
      </c>
      <c r="J67" s="1136">
        <f>INDEX(TEMPLATE_DATA_POINT_FHD,B67,MATCH(TEMPLATE_SPHERE,TEMPLATE_SPHERE_LIST_FOR_NOTE,0))</f>
        <v>0</v>
      </c>
      <c r="K67" s="1136">
        <f>INDEX(TEMPLATE_NOTE_POINT_FHD,B67,MATCH(TEMPLATE_SPHERE,TEMPLATE_SPHERE_LIST_FOR_NOTE,0))</f>
        <v>0</v>
      </c>
      <c r="L67" s="974" t="str">
        <f>IF(I67=0,"",I67)</f>
        <v/>
      </c>
      <c r="M67" s="974" t="str">
        <f>IF(J67=0,"",J67)</f>
        <v/>
      </c>
      <c r="N67" s="974" t="str">
        <f>IF(K67=0,"",K67)</f>
        <v/>
      </c>
      <c r="O67" s="1088"/>
      <c r="P67" s="1088" t="s">
        <v>2192</v>
      </c>
      <c r="Q67" s="1088"/>
      <c r="R67" s="1088"/>
      <c r="S67" s="1088"/>
      <c r="T67" s="973"/>
      <c r="U67" s="973" t="s">
        <v>2193</v>
      </c>
      <c r="V67" s="973"/>
      <c r="W67" s="973"/>
      <c r="X67" s="973"/>
      <c r="Y67" s="1131"/>
      <c r="Z67" s="976"/>
      <c r="AA67" s="979"/>
      <c r="AB67" s="976"/>
      <c r="AC67" s="976"/>
      <c r="AD67" s="976"/>
    </row>
    <row customHeight="1" ht="27">
      <c r="A68" s="975"/>
      <c r="B68" s="1029">
        <v>51</v>
      </c>
      <c r="C68" s="973"/>
      <c r="D68" s="1098"/>
      <c r="E68" s="973"/>
      <c r="F68" s="973"/>
      <c r="G68" s="973"/>
      <c r="H68" s="1021"/>
      <c r="I68" s="1136">
        <f>INDEX(TEMPLATE_NUMBER_POINT_FHD,B68,MATCH(TEMPLATE_SPHERE,TEMPLATE_SPHERE_LIST_FOR_NOTE,0))</f>
        <v>0</v>
      </c>
      <c r="J68" s="1136">
        <f>INDEX(TEMPLATE_DATA_POINT_FHD,B68,MATCH(TEMPLATE_SPHERE,TEMPLATE_SPHERE_LIST_FOR_NOTE,0))</f>
        <v>0</v>
      </c>
      <c r="K68" s="1136">
        <f>INDEX(TEMPLATE_NOTE_POINT_FHD,B68,MATCH(TEMPLATE_SPHERE,TEMPLATE_SPHERE_LIST_FOR_NOTE,0))</f>
        <v>0</v>
      </c>
      <c r="L68" s="974" t="str">
        <f>IF(I68=0,"",I68)</f>
        <v/>
      </c>
      <c r="M68" s="974" t="str">
        <f>IF(J68=0,"",J68)</f>
        <v/>
      </c>
      <c r="N68" s="974" t="str">
        <f>IF(K68=0,"",K68)</f>
        <v/>
      </c>
      <c r="O68" s="1088"/>
      <c r="P68" s="1088" t="s">
        <v>2194</v>
      </c>
      <c r="Q68" s="1088"/>
      <c r="R68" s="1088"/>
      <c r="S68" s="1088"/>
      <c r="T68" s="973"/>
      <c r="U68" s="973" t="s">
        <v>2195</v>
      </c>
      <c r="V68" s="973"/>
      <c r="W68" s="973"/>
      <c r="X68" s="973"/>
      <c r="Y68" s="1131"/>
      <c r="Z68" s="976"/>
      <c r="AA68" s="979"/>
      <c r="AB68" s="976"/>
      <c r="AC68" s="976"/>
      <c r="AD68" s="976"/>
    </row>
    <row customHeight="1" ht="9">
      <c r="A69" s="975"/>
      <c r="B69" s="1029">
        <v>52</v>
      </c>
      <c r="C69" s="973"/>
      <c r="D69" s="1098" t="s">
        <v>2196</v>
      </c>
      <c r="E69" s="973"/>
      <c r="F69" s="973"/>
      <c r="G69" s="973"/>
      <c r="H69" s="1021"/>
      <c r="I69" s="1136">
        <f>INDEX(TEMPLATE_NUMBER_POINT_FHD,B69,MATCH(TEMPLATE_SPHERE,TEMPLATE_SPHERE_LIST_FOR_NOTE,0))</f>
        <v>0</v>
      </c>
      <c r="J69" s="1136">
        <f>INDEX(TEMPLATE_DATA_POINT_FHD,B69,MATCH(TEMPLATE_SPHERE,TEMPLATE_SPHERE_LIST_FOR_NOTE,0))</f>
        <v>0</v>
      </c>
      <c r="K69" s="1136">
        <f>INDEX(TEMPLATE_NOTE_POINT_FHD,B69,MATCH(TEMPLATE_SPHERE,TEMPLATE_SPHERE_LIST_FOR_NOTE,0))</f>
        <v>0</v>
      </c>
      <c r="L69" s="974" t="str">
        <f>IF(I69=0,"",I69)</f>
        <v/>
      </c>
      <c r="M69" s="974" t="str">
        <f>IF(J69=0,"",J69)</f>
        <v/>
      </c>
      <c r="N69" s="974" t="str">
        <f>IF(K69=0,"",K69)</f>
        <v/>
      </c>
      <c r="O69" s="1088"/>
      <c r="P69" s="1088" t="s">
        <v>230</v>
      </c>
      <c r="Q69" s="1088"/>
      <c r="R69" s="1088"/>
      <c r="S69" s="1088"/>
      <c r="T69" s="973"/>
      <c r="U69" s="973" t="s">
        <v>2197</v>
      </c>
      <c r="V69" s="973"/>
      <c r="W69" s="973"/>
      <c r="X69" s="973"/>
      <c r="Y69" s="1131"/>
      <c r="Z69" s="976"/>
      <c r="AA69" s="979"/>
      <c r="AB69" s="976"/>
      <c r="AC69" s="976"/>
      <c r="AD69" s="976"/>
    </row>
    <row customHeight="1" ht="27">
      <c r="A70" s="975"/>
      <c r="B70" s="1029">
        <v>53</v>
      </c>
      <c r="C70" s="973"/>
      <c r="D70" s="1098"/>
      <c r="E70" s="973" t="s">
        <v>2181</v>
      </c>
      <c r="F70" s="973"/>
      <c r="G70" s="973"/>
      <c r="H70" s="1021"/>
      <c r="I70" s="1136">
        <f>INDEX(TEMPLATE_NUMBER_POINT_FHD,B70,MATCH(TEMPLATE_SPHERE,TEMPLATE_SPHERE_LIST_FOR_NOTE,0))</f>
        <v>0</v>
      </c>
      <c r="J70" s="1136">
        <f>INDEX(TEMPLATE_DATA_POINT_FHD,B70,MATCH(TEMPLATE_SPHERE,TEMPLATE_SPHERE_LIST_FOR_NOTE,0))</f>
        <v>0</v>
      </c>
      <c r="K70" s="1136">
        <f>INDEX(TEMPLATE_NOTE_POINT_FHD,B70,MATCH(TEMPLATE_SPHERE,TEMPLATE_SPHERE_LIST_FOR_NOTE,0))</f>
        <v>0</v>
      </c>
      <c r="L70" s="974" t="str">
        <f>IF(I70=0,"",I70)</f>
        <v/>
      </c>
      <c r="M70" s="974" t="str">
        <f>IF(J70=0,"",J70)</f>
        <v/>
      </c>
      <c r="N70" s="974" t="str">
        <f>IF(K70=0,"",K70)</f>
        <v/>
      </c>
      <c r="O70" s="1088"/>
      <c r="P70" s="1088"/>
      <c r="Q70" s="1088" t="s">
        <v>90</v>
      </c>
      <c r="R70" s="1088"/>
      <c r="S70" s="1088"/>
      <c r="T70" s="973"/>
      <c r="U70" s="973"/>
      <c r="V70" s="973" t="s">
        <v>2198</v>
      </c>
      <c r="W70" s="973"/>
      <c r="X70" s="973"/>
      <c r="Y70" s="1131"/>
      <c r="Z70" s="976"/>
      <c r="AA70" s="979"/>
      <c r="AB70" s="976"/>
      <c r="AC70" s="976"/>
      <c r="AD70" s="976"/>
    </row>
    <row customHeight="1" ht="36">
      <c r="A71" s="975"/>
      <c r="B71" s="1029">
        <v>54</v>
      </c>
      <c r="C71" s="973"/>
      <c r="D71" s="1098"/>
      <c r="E71" s="973" t="s">
        <v>2183</v>
      </c>
      <c r="F71" s="973"/>
      <c r="G71" s="973"/>
      <c r="H71" s="1021"/>
      <c r="I71" s="1136">
        <f>INDEX(TEMPLATE_NUMBER_POINT_FHD,B71,MATCH(TEMPLATE_SPHERE,TEMPLATE_SPHERE_LIST_FOR_NOTE,0))</f>
        <v>0</v>
      </c>
      <c r="J71" s="1136">
        <f>INDEX(TEMPLATE_DATA_POINT_FHD,B71,MATCH(TEMPLATE_SPHERE,TEMPLATE_SPHERE_LIST_FOR_NOTE,0))</f>
        <v>0</v>
      </c>
      <c r="K71" s="1136">
        <f>INDEX(TEMPLATE_NOTE_POINT_FHD,B71,MATCH(TEMPLATE_SPHERE,TEMPLATE_SPHERE_LIST_FOR_NOTE,0))</f>
        <v>0</v>
      </c>
      <c r="L71" s="974" t="str">
        <f>IF(I71=0,"",I71)</f>
        <v/>
      </c>
      <c r="M71" s="974" t="str">
        <f>IF(J71=0,"",J71)</f>
        <v/>
      </c>
      <c r="N71" s="974" t="str">
        <f>IF(K71=0,"",K71)</f>
        <v/>
      </c>
      <c r="O71" s="1088"/>
      <c r="P71" s="1088"/>
      <c r="Q71" s="1088" t="s">
        <v>140</v>
      </c>
      <c r="R71" s="1088"/>
      <c r="S71" s="1088"/>
      <c r="T71" s="973"/>
      <c r="U71" s="973"/>
      <c r="V71" s="973" t="s">
        <v>2199</v>
      </c>
      <c r="W71" s="973"/>
      <c r="X71" s="973"/>
      <c r="Y71" s="1131"/>
      <c r="Z71" s="976"/>
      <c r="AA71" s="979"/>
      <c r="AB71" s="976"/>
      <c r="AC71" s="976"/>
      <c r="AD71" s="976"/>
    </row>
    <row customHeight="1" ht="27">
      <c r="A72" s="975"/>
      <c r="B72" s="1029">
        <v>55</v>
      </c>
      <c r="C72" s="973"/>
      <c r="D72" s="1098"/>
      <c r="E72" s="973" t="s">
        <v>2185</v>
      </c>
      <c r="F72" s="973"/>
      <c r="G72" s="973"/>
      <c r="H72" s="1021"/>
      <c r="I72" s="1136">
        <f>INDEX(TEMPLATE_NUMBER_POINT_FHD,B72,MATCH(TEMPLATE_SPHERE,TEMPLATE_SPHERE_LIST_FOR_NOTE,0))</f>
        <v>0</v>
      </c>
      <c r="J72" s="1136">
        <f>INDEX(TEMPLATE_DATA_POINT_FHD,B72,MATCH(TEMPLATE_SPHERE,TEMPLATE_SPHERE_LIST_FOR_NOTE,0))</f>
        <v>0</v>
      </c>
      <c r="K72" s="1136">
        <f>INDEX(TEMPLATE_NOTE_POINT_FHD,B72,MATCH(TEMPLATE_SPHERE,TEMPLATE_SPHERE_LIST_FOR_NOTE,0))</f>
        <v>0</v>
      </c>
      <c r="L72" s="974" t="str">
        <f>IF(I72=0,"",I72)</f>
        <v/>
      </c>
      <c r="M72" s="974" t="str">
        <f>IF(J72=0,"",J72)</f>
        <v/>
      </c>
      <c r="N72" s="974" t="str">
        <f>IF(K72=0,"",K72)</f>
        <v/>
      </c>
      <c r="O72" s="1088"/>
      <c r="P72" s="1088"/>
      <c r="Q72" s="1088" t="s">
        <v>151</v>
      </c>
      <c r="R72" s="1088"/>
      <c r="S72" s="1088"/>
      <c r="T72" s="973"/>
      <c r="U72" s="973"/>
      <c r="V72" s="973" t="s">
        <v>2200</v>
      </c>
      <c r="W72" s="973"/>
      <c r="X72" s="973"/>
      <c r="Y72" s="1131"/>
      <c r="Z72" s="976"/>
      <c r="AA72" s="979"/>
      <c r="AB72" s="976"/>
      <c r="AC72" s="976"/>
      <c r="AD72" s="976"/>
    </row>
    <row customHeight="1" ht="36">
      <c r="A73" s="975"/>
      <c r="B73" s="1029">
        <v>56</v>
      </c>
      <c r="C73" s="973"/>
      <c r="D73" s="1098"/>
      <c r="E73" s="973" t="s">
        <v>2187</v>
      </c>
      <c r="F73" s="973"/>
      <c r="G73" s="973"/>
      <c r="H73" s="1021"/>
      <c r="I73" s="1136">
        <f>INDEX(TEMPLATE_NUMBER_POINT_FHD,B73,MATCH(TEMPLATE_SPHERE,TEMPLATE_SPHERE_LIST_FOR_NOTE,0))</f>
        <v>0</v>
      </c>
      <c r="J73" s="1136">
        <f>INDEX(TEMPLATE_DATA_POINT_FHD,B73,MATCH(TEMPLATE_SPHERE,TEMPLATE_SPHERE_LIST_FOR_NOTE,0))</f>
        <v>0</v>
      </c>
      <c r="K73" s="1136">
        <f>INDEX(TEMPLATE_NOTE_POINT_FHD,B73,MATCH(TEMPLATE_SPHERE,TEMPLATE_SPHERE_LIST_FOR_NOTE,0))</f>
        <v>0</v>
      </c>
      <c r="L73" s="974" t="str">
        <f>IF(I73=0,"",I73)</f>
        <v/>
      </c>
      <c r="M73" s="974" t="str">
        <f>IF(J73=0,"",J73)</f>
        <v/>
      </c>
      <c r="N73" s="974" t="str">
        <f>IF(K73=0,"",K73)</f>
        <v/>
      </c>
      <c r="O73" s="1088"/>
      <c r="P73" s="1088"/>
      <c r="Q73" s="1088" t="s">
        <v>229</v>
      </c>
      <c r="R73" s="1088"/>
      <c r="S73" s="1088"/>
      <c r="T73" s="973"/>
      <c r="U73" s="973"/>
      <c r="V73" s="973" t="s">
        <v>2201</v>
      </c>
      <c r="W73" s="973"/>
      <c r="X73" s="973"/>
      <c r="Y73" s="1131"/>
      <c r="Z73" s="976"/>
      <c r="AA73" s="979"/>
      <c r="AB73" s="976"/>
      <c r="AC73" s="976"/>
      <c r="AD73" s="976"/>
    </row>
    <row customHeight="1" ht="18">
      <c r="A74" s="975"/>
      <c r="B74" s="1029">
        <v>57</v>
      </c>
      <c r="C74" s="973"/>
      <c r="D74" s="1098"/>
      <c r="E74" s="973" t="s">
        <v>2196</v>
      </c>
      <c r="F74" s="973"/>
      <c r="G74" s="973"/>
      <c r="H74" s="1021"/>
      <c r="I74" s="1136">
        <f>INDEX(TEMPLATE_NUMBER_POINT_FHD,B74,MATCH(TEMPLATE_SPHERE,TEMPLATE_SPHERE_LIST_FOR_NOTE,0))</f>
        <v>0</v>
      </c>
      <c r="J74" s="1136">
        <f>INDEX(TEMPLATE_DATA_POINT_FHD,B74,MATCH(TEMPLATE_SPHERE,TEMPLATE_SPHERE_LIST_FOR_NOTE,0))</f>
        <v>0</v>
      </c>
      <c r="K74" s="1136">
        <f>INDEX(TEMPLATE_NOTE_POINT_FHD,B74,MATCH(TEMPLATE_SPHERE,TEMPLATE_SPHERE_LIST_FOR_NOTE,0))</f>
        <v>0</v>
      </c>
      <c r="L74" s="974" t="str">
        <f>IF(I74=0,"",I74)</f>
        <v/>
      </c>
      <c r="M74" s="974" t="str">
        <f>IF(J74=0,"",J74)</f>
        <v/>
      </c>
      <c r="N74" s="974" t="str">
        <f>IF(K74=0,"",K74)</f>
        <v/>
      </c>
      <c r="O74" s="1088"/>
      <c r="P74" s="1088"/>
      <c r="Q74" s="1088" t="s">
        <v>230</v>
      </c>
      <c r="R74" s="1088"/>
      <c r="S74" s="1088"/>
      <c r="T74" s="973"/>
      <c r="U74" s="973"/>
      <c r="V74" s="973" t="s">
        <v>2202</v>
      </c>
      <c r="W74" s="973"/>
      <c r="X74" s="973"/>
      <c r="Y74" s="1131"/>
      <c r="Z74" s="976"/>
      <c r="AA74" s="979"/>
      <c r="AB74" s="976"/>
      <c r="AC74" s="976"/>
      <c r="AD74" s="976"/>
    </row>
    <row customHeight="1" ht="18">
      <c r="A75" s="975"/>
      <c r="B75" s="1029">
        <v>58</v>
      </c>
      <c r="C75" s="973"/>
      <c r="D75" s="1098"/>
      <c r="E75" s="973"/>
      <c r="F75" s="973" t="s">
        <v>2181</v>
      </c>
      <c r="G75" s="973"/>
      <c r="H75" s="1021"/>
      <c r="I75" s="1136">
        <f>INDEX(TEMPLATE_NUMBER_POINT_FHD,B75,MATCH(TEMPLATE_SPHERE,TEMPLATE_SPHERE_LIST_FOR_NOTE,0))</f>
        <v>0</v>
      </c>
      <c r="J75" s="1136">
        <f>INDEX(TEMPLATE_DATA_POINT_FHD,B75,MATCH(TEMPLATE_SPHERE,TEMPLATE_SPHERE_LIST_FOR_NOTE,0))</f>
        <v>0</v>
      </c>
      <c r="K75" s="1136">
        <f>INDEX(TEMPLATE_NOTE_POINT_FHD,B75,MATCH(TEMPLATE_SPHERE,TEMPLATE_SPHERE_LIST_FOR_NOTE,0))</f>
        <v>0</v>
      </c>
      <c r="L75" s="974" t="str">
        <f>IF(I75=0,"",I75)</f>
        <v/>
      </c>
      <c r="M75" s="974" t="str">
        <f>IF(J75=0,"",J75)</f>
        <v/>
      </c>
      <c r="N75" s="974" t="str">
        <f>IF(K75=0,"",K75)</f>
        <v/>
      </c>
      <c r="O75" s="1088"/>
      <c r="P75" s="1088"/>
      <c r="Q75" s="1088"/>
      <c r="R75" s="1088" t="s">
        <v>90</v>
      </c>
      <c r="S75" s="1088"/>
      <c r="T75" s="973"/>
      <c r="U75" s="973"/>
      <c r="V75" s="973"/>
      <c r="W75" s="973" t="s">
        <v>2203</v>
      </c>
      <c r="X75" s="973"/>
      <c r="Y75" s="1131"/>
      <c r="Z75" s="976"/>
      <c r="AA75" s="979"/>
      <c r="AB75" s="976"/>
      <c r="AC75" s="976"/>
      <c r="AD75" s="976"/>
    </row>
    <row customHeight="1" ht="36">
      <c r="A76" s="975"/>
      <c r="B76" s="1029">
        <v>59</v>
      </c>
      <c r="C76" s="973"/>
      <c r="D76" s="1098"/>
      <c r="E76" s="973"/>
      <c r="F76" s="973" t="s">
        <v>2183</v>
      </c>
      <c r="G76" s="973"/>
      <c r="H76" s="1021"/>
      <c r="I76" s="1136">
        <f>INDEX(TEMPLATE_NUMBER_POINT_FHD,B76,MATCH(TEMPLATE_SPHERE,TEMPLATE_SPHERE_LIST_FOR_NOTE,0))</f>
        <v>0</v>
      </c>
      <c r="J76" s="1136">
        <f>INDEX(TEMPLATE_DATA_POINT_FHD,B76,MATCH(TEMPLATE_SPHERE,TEMPLATE_SPHERE_LIST_FOR_NOTE,0))</f>
        <v>0</v>
      </c>
      <c r="K76" s="1136">
        <f>INDEX(TEMPLATE_NOTE_POINT_FHD,B76,MATCH(TEMPLATE_SPHERE,TEMPLATE_SPHERE_LIST_FOR_NOTE,0))</f>
        <v>0</v>
      </c>
      <c r="L76" s="974" t="str">
        <f>IF(I76=0,"",I76)</f>
        <v/>
      </c>
      <c r="M76" s="974" t="str">
        <f>IF(J76=0,"",J76)</f>
        <v/>
      </c>
      <c r="N76" s="974" t="str">
        <f>IF(K76=0,"",K76)</f>
        <v/>
      </c>
      <c r="O76" s="1088"/>
      <c r="P76" s="1088"/>
      <c r="Q76" s="1088"/>
      <c r="R76" s="1088" t="s">
        <v>140</v>
      </c>
      <c r="S76" s="1088"/>
      <c r="T76" s="973"/>
      <c r="U76" s="973"/>
      <c r="V76" s="973"/>
      <c r="W76" s="973" t="s">
        <v>2204</v>
      </c>
      <c r="X76" s="973"/>
      <c r="Y76" s="1131"/>
      <c r="Z76" s="976"/>
      <c r="AA76" s="979"/>
      <c r="AB76" s="976"/>
      <c r="AC76" s="976"/>
      <c r="AD76" s="976"/>
    </row>
    <row customHeight="1" ht="18">
      <c r="A77" s="975"/>
      <c r="B77" s="1029">
        <v>60</v>
      </c>
      <c r="C77" s="973"/>
      <c r="D77" s="1098"/>
      <c r="E77" s="973"/>
      <c r="F77" s="973" t="s">
        <v>2185</v>
      </c>
      <c r="G77" s="973"/>
      <c r="H77" s="1021"/>
      <c r="I77" s="1136">
        <f>INDEX(TEMPLATE_NUMBER_POINT_FHD,B77,MATCH(TEMPLATE_SPHERE,TEMPLATE_SPHERE_LIST_FOR_NOTE,0))</f>
        <v>0</v>
      </c>
      <c r="J77" s="1136">
        <f>INDEX(TEMPLATE_DATA_POINT_FHD,B77,MATCH(TEMPLATE_SPHERE,TEMPLATE_SPHERE_LIST_FOR_NOTE,0))</f>
        <v>0</v>
      </c>
      <c r="K77" s="1136">
        <f>INDEX(TEMPLATE_NOTE_POINT_FHD,B77,MATCH(TEMPLATE_SPHERE,TEMPLATE_SPHERE_LIST_FOR_NOTE,0))</f>
        <v>0</v>
      </c>
      <c r="L77" s="974" t="str">
        <f>IF(I77=0,"",I77)</f>
        <v/>
      </c>
      <c r="M77" s="974" t="str">
        <f>IF(J77=0,"",J77)</f>
        <v/>
      </c>
      <c r="N77" s="974" t="str">
        <f>IF(K77=0,"",K77)</f>
        <v/>
      </c>
      <c r="O77" s="1088"/>
      <c r="P77" s="1088"/>
      <c r="Q77" s="1088"/>
      <c r="R77" s="1088" t="s">
        <v>151</v>
      </c>
      <c r="S77" s="1088"/>
      <c r="T77" s="973"/>
      <c r="U77" s="973"/>
      <c r="V77" s="973"/>
      <c r="W77" s="973" t="s">
        <v>2205</v>
      </c>
      <c r="X77" s="973"/>
      <c r="Y77" s="1131"/>
      <c r="Z77" s="976"/>
      <c r="AA77" s="979"/>
      <c r="AB77" s="976"/>
      <c r="AC77" s="976"/>
      <c r="AD77" s="976"/>
    </row>
    <row customHeight="1" ht="72">
      <c r="A78" s="975"/>
      <c r="B78" s="1029">
        <v>61</v>
      </c>
      <c r="C78" s="973" t="s">
        <v>2181</v>
      </c>
      <c r="D78" s="1098"/>
      <c r="E78" s="973"/>
      <c r="F78" s="973"/>
      <c r="G78" s="973"/>
      <c r="H78" s="1021"/>
      <c r="I78" s="1136" t="str">
        <f>INDEX(TEMPLATE_NUMBER_POINT_FHD,B78,MATCH(TEMPLATE_SPHERE,TEMPLATE_SPHERE_LIST_FOR_NOTE,0))</f>
        <v>7</v>
      </c>
      <c r="J78" s="113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3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74" t="str">
        <f>IF(I78=0,"",I78)</f>
        <v>7</v>
      </c>
      <c r="M78" s="97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7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88" t="s">
        <v>90</v>
      </c>
      <c r="P78" s="1088"/>
      <c r="Q78" s="1088"/>
      <c r="R78" s="1088"/>
      <c r="S78" s="1088"/>
      <c r="T78" s="973" t="s">
        <v>2206</v>
      </c>
      <c r="U78" s="973"/>
      <c r="V78" s="973"/>
      <c r="W78" s="973"/>
      <c r="X78" s="973"/>
      <c r="Y78" s="1131"/>
      <c r="Z78" s="976" t="s">
        <v>2207</v>
      </c>
      <c r="AA78" s="979"/>
      <c r="AB78" s="976"/>
      <c r="AC78" s="976"/>
      <c r="AD78" s="976"/>
    </row>
    <row customHeight="1" ht="36">
      <c r="A79" s="975"/>
      <c r="B79" s="1029">
        <v>62</v>
      </c>
      <c r="C79" s="973" t="s">
        <v>2183</v>
      </c>
      <c r="D79" s="1098"/>
      <c r="E79" s="973"/>
      <c r="F79" s="973"/>
      <c r="G79" s="973"/>
      <c r="H79" s="1021"/>
      <c r="I79" s="1136" t="str">
        <f>INDEX(TEMPLATE_NUMBER_POINT_FHD,B79,MATCH(TEMPLATE_SPHERE,TEMPLATE_SPHERE_LIST_FOR_NOTE,0))</f>
        <v>8</v>
      </c>
      <c r="J79" s="113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3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74" t="str">
        <f>IF(I79=0,"",I79)</f>
        <v>8</v>
      </c>
      <c r="M79" s="974" t="str">
        <f>IF(J79=0,"",J79)</f>
        <v>Тепловая нагрузка по договорам, заключенным в рамках осуществления регулируемых видов деятельности</v>
      </c>
      <c r="N79" s="97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88" t="s">
        <v>140</v>
      </c>
      <c r="P79" s="1088"/>
      <c r="Q79" s="1088"/>
      <c r="R79" s="1088"/>
      <c r="S79" s="1088"/>
      <c r="T79" s="973" t="s">
        <v>2208</v>
      </c>
      <c r="U79" s="973"/>
      <c r="V79" s="973"/>
      <c r="W79" s="973"/>
      <c r="X79" s="973"/>
      <c r="Y79" s="1131"/>
      <c r="Z79" s="976" t="s">
        <v>2209</v>
      </c>
      <c r="AA79" s="979"/>
      <c r="AB79" s="976"/>
      <c r="AC79" s="976"/>
      <c r="AD79" s="976"/>
    </row>
    <row customHeight="1" ht="45">
      <c r="A80" s="975"/>
      <c r="B80" s="1029">
        <v>63</v>
      </c>
      <c r="C80" s="973" t="s">
        <v>2185</v>
      </c>
      <c r="D80" s="1098"/>
      <c r="E80" s="973"/>
      <c r="F80" s="973"/>
      <c r="G80" s="973"/>
      <c r="H80" s="1021"/>
      <c r="I80" s="1136" t="str">
        <f>INDEX(TEMPLATE_NUMBER_POINT_FHD,B80,MATCH(TEMPLATE_SPHERE,TEMPLATE_SPHERE_LIST_FOR_NOTE,0))</f>
        <v>9</v>
      </c>
      <c r="J80" s="113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3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74" t="str">
        <f>IF(I80=0,"",I80)</f>
        <v>9</v>
      </c>
      <c r="M80" s="974" t="str">
        <f>IF(J80=0,"",J80)</f>
        <v>Объем вырабатываемой регулируемой организацией тепловой энергии в рамках осуществления регулируемых видов деятельности</v>
      </c>
      <c r="N80" s="97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88" t="s">
        <v>151</v>
      </c>
      <c r="P80" s="1088"/>
      <c r="Q80" s="1088"/>
      <c r="R80" s="1088"/>
      <c r="S80" s="1088"/>
      <c r="T80" s="973" t="s">
        <v>2210</v>
      </c>
      <c r="U80" s="973"/>
      <c r="V80" s="973"/>
      <c r="W80" s="973"/>
      <c r="X80" s="973"/>
      <c r="Y80" s="1131"/>
      <c r="Z80" s="976" t="s">
        <v>2211</v>
      </c>
      <c r="AA80" s="979"/>
      <c r="AB80" s="976"/>
      <c r="AC80" s="976"/>
      <c r="AD80" s="976"/>
    </row>
    <row customHeight="1" ht="36">
      <c r="A81" s="975"/>
      <c r="B81" s="1029">
        <v>64</v>
      </c>
      <c r="C81" s="973" t="s">
        <v>2187</v>
      </c>
      <c r="D81" s="1098"/>
      <c r="E81" s="973"/>
      <c r="F81" s="973"/>
      <c r="G81" s="973"/>
      <c r="H81" s="1021"/>
      <c r="I81" s="1136" t="str">
        <f>INDEX(TEMPLATE_NUMBER_POINT_FHD,B81,MATCH(TEMPLATE_SPHERE,TEMPLATE_SPHERE_LIST_FOR_NOTE,0))</f>
        <v>9.1</v>
      </c>
      <c r="J81" s="113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36" t="str">
        <f>INDEX(TEMPLATE_NOTE_POINT_FHD,B81,MATCH(TEMPLATE_SPHERE,TEMPLATE_SPHERE_LIST_FOR_NOTE,0))</f>
        <v>Информация указывается только едиными теплоснабжающими организациями.</v>
      </c>
      <c r="L81" s="974" t="str">
        <f>IF(I81=0,"",I81)</f>
        <v>9.1</v>
      </c>
      <c r="M81" s="974" t="str">
        <f>IF(J81=0,"",J81)</f>
        <v>Объем приобретаемой регулируемой организацией тепловой энергии в рамках осуществления регулируемых видов деятельности</v>
      </c>
      <c r="N81" s="974" t="str">
        <f>IF(K81=0,"",K81)</f>
        <v>Информация указывается только едиными теплоснабжающими организациями.</v>
      </c>
      <c r="O81" s="1088" t="s">
        <v>2090</v>
      </c>
      <c r="P81" s="1088"/>
      <c r="Q81" s="1088"/>
      <c r="R81" s="1088"/>
      <c r="S81" s="1088"/>
      <c r="T81" s="973" t="s">
        <v>2212</v>
      </c>
      <c r="U81" s="973"/>
      <c r="V81" s="973"/>
      <c r="W81" s="973"/>
      <c r="X81" s="973"/>
      <c r="Y81" s="1131"/>
      <c r="Z81" s="976" t="s">
        <v>2213</v>
      </c>
      <c r="AA81" s="979"/>
      <c r="AB81" s="976"/>
      <c r="AC81" s="976"/>
      <c r="AD81" s="976"/>
    </row>
    <row customHeight="1" ht="90">
      <c r="A82" s="975"/>
      <c r="B82" s="1029">
        <v>65</v>
      </c>
      <c r="C82" s="973" t="s">
        <v>2196</v>
      </c>
      <c r="D82" s="1098"/>
      <c r="E82" s="973"/>
      <c r="F82" s="973"/>
      <c r="G82" s="973"/>
      <c r="H82" s="1021"/>
      <c r="I82" s="1136" t="str">
        <f>INDEX(TEMPLATE_NUMBER_POINT_FHD,B82,MATCH(TEMPLATE_SPHERE,TEMPLATE_SPHERE_LIST_FOR_NOTE,0))</f>
        <v>10</v>
      </c>
      <c r="J82" s="113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3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74" t="str">
        <f>IF(I82=0,"",I82)</f>
        <v>10</v>
      </c>
      <c r="M82" s="97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7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88" t="s">
        <v>229</v>
      </c>
      <c r="P82" s="1088"/>
      <c r="Q82" s="1088"/>
      <c r="R82" s="1088"/>
      <c r="S82" s="1088"/>
      <c r="T82" s="973" t="s">
        <v>2214</v>
      </c>
      <c r="U82" s="973"/>
      <c r="V82" s="973"/>
      <c r="W82" s="973"/>
      <c r="X82" s="973"/>
      <c r="Y82" s="1131"/>
      <c r="Z82" s="976" t="s">
        <v>2215</v>
      </c>
      <c r="AA82" s="979"/>
      <c r="AB82" s="976"/>
      <c r="AC82" s="976"/>
      <c r="AD82" s="976"/>
    </row>
    <row customHeight="1" ht="9">
      <c r="A83" s="975"/>
      <c r="B83" s="1029">
        <v>66</v>
      </c>
      <c r="C83" s="973"/>
      <c r="D83" s="1098"/>
      <c r="E83" s="973"/>
      <c r="F83" s="973"/>
      <c r="G83" s="973"/>
      <c r="H83" s="1021"/>
      <c r="I83" s="1136" t="str">
        <f>INDEX(TEMPLATE_NUMBER_POINT_FHD,B83,MATCH(TEMPLATE_SPHERE,TEMPLATE_SPHERE_LIST_FOR_NOTE,0))</f>
        <v>10.1</v>
      </c>
      <c r="J83" s="1136" t="str">
        <f>INDEX(TEMPLATE_DATA_POINT_FHD,B83,MATCH(TEMPLATE_SPHERE,TEMPLATE_SPHERE_LIST_FOR_NOTE,0))</f>
        <v>По приборам учёта </v>
      </c>
      <c r="K83" s="1136">
        <f>INDEX(TEMPLATE_NOTE_POINT_FHD,B83,MATCH(TEMPLATE_SPHERE,TEMPLATE_SPHERE_LIST_FOR_NOTE,0))</f>
        <v>0</v>
      </c>
      <c r="L83" s="974" t="str">
        <f>IF(I83=0,"",I83)</f>
        <v>10.1</v>
      </c>
      <c r="M83" s="974" t="str">
        <f>IF(J83=0,"",J83)</f>
        <v>По приборам учёта </v>
      </c>
      <c r="N83" s="974" t="str">
        <f>IF(K83=0,"",K83)</f>
        <v/>
      </c>
      <c r="O83" s="1088" t="s">
        <v>2099</v>
      </c>
      <c r="P83" s="1088"/>
      <c r="Q83" s="1088"/>
      <c r="R83" s="1088"/>
      <c r="S83" s="1088"/>
      <c r="T83" s="973" t="s">
        <v>2216</v>
      </c>
      <c r="U83" s="973"/>
      <c r="V83" s="973"/>
      <c r="W83" s="973"/>
      <c r="X83" s="973"/>
      <c r="Y83" s="1131"/>
      <c r="Z83" s="976"/>
      <c r="AA83" s="979"/>
      <c r="AB83" s="976"/>
      <c r="AC83" s="976"/>
      <c r="AD83" s="976"/>
    </row>
    <row customHeight="1" ht="54">
      <c r="A84" s="975"/>
      <c r="B84" s="1029">
        <v>67</v>
      </c>
      <c r="C84" s="973"/>
      <c r="D84" s="1098"/>
      <c r="E84" s="973"/>
      <c r="F84" s="973"/>
      <c r="G84" s="973"/>
      <c r="H84" s="1021"/>
      <c r="I84" s="1136" t="str">
        <f>INDEX(TEMPLATE_NUMBER_POINT_FHD,B84,MATCH(TEMPLATE_SPHERE,TEMPLATE_SPHERE_LIST_FOR_NOTE,0))</f>
        <v>10.1.1</v>
      </c>
      <c r="J84" s="113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36">
        <f>INDEX(TEMPLATE_NOTE_POINT_FHD,B84,MATCH(TEMPLATE_SPHERE,TEMPLATE_SPHERE_LIST_FOR_NOTE,0))</f>
        <v>0</v>
      </c>
      <c r="L84" s="974" t="str">
        <f>IF(I84=0,"",I84)</f>
        <v>10.1.1</v>
      </c>
      <c r="M84" s="97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74" t="str">
        <f>IF(K84=0,"",K84)</f>
        <v/>
      </c>
      <c r="O84" s="1088" t="s">
        <v>2217</v>
      </c>
      <c r="P84" s="1088"/>
      <c r="Q84" s="1088"/>
      <c r="R84" s="1088"/>
      <c r="S84" s="1088"/>
      <c r="T84" s="973" t="s">
        <v>2218</v>
      </c>
      <c r="U84" s="973"/>
      <c r="V84" s="973"/>
      <c r="W84" s="973"/>
      <c r="X84" s="973"/>
      <c r="Y84" s="1131"/>
      <c r="Z84" s="976"/>
      <c r="AA84" s="979"/>
      <c r="AB84" s="976"/>
      <c r="AC84" s="976"/>
      <c r="AD84" s="976"/>
    </row>
    <row customHeight="1" ht="9">
      <c r="A85" s="975"/>
      <c r="B85" s="1029">
        <v>68</v>
      </c>
      <c r="C85" s="973"/>
      <c r="D85" s="1098"/>
      <c r="E85" s="973"/>
      <c r="F85" s="973"/>
      <c r="G85" s="973"/>
      <c r="H85" s="1021"/>
      <c r="I85" s="1136" t="str">
        <f>INDEX(TEMPLATE_NUMBER_POINT_FHD,B85,MATCH(TEMPLATE_SPHERE,TEMPLATE_SPHERE_LIST_FOR_NOTE,0))</f>
        <v>10.2</v>
      </c>
      <c r="J85" s="1136" t="str">
        <f>INDEX(TEMPLATE_DATA_POINT_FHD,B85,MATCH(TEMPLATE_SPHERE,TEMPLATE_SPHERE_LIST_FOR_NOTE,0))</f>
        <v>Расчётным путём</v>
      </c>
      <c r="K85" s="1136">
        <f>INDEX(TEMPLATE_NOTE_POINT_FHD,B85,MATCH(TEMPLATE_SPHERE,TEMPLATE_SPHERE_LIST_FOR_NOTE,0))</f>
        <v>0</v>
      </c>
      <c r="L85" s="974" t="str">
        <f>IF(I85=0,"",I85)</f>
        <v>10.2</v>
      </c>
      <c r="M85" s="974" t="str">
        <f>IF(J85=0,"",J85)</f>
        <v>Расчётным путём</v>
      </c>
      <c r="N85" s="974" t="str">
        <f>IF(K85=0,"",K85)</f>
        <v/>
      </c>
      <c r="O85" s="1088" t="s">
        <v>2103</v>
      </c>
      <c r="P85" s="1088"/>
      <c r="Q85" s="1088"/>
      <c r="R85" s="1088"/>
      <c r="S85" s="1088"/>
      <c r="T85" s="973" t="s">
        <v>2219</v>
      </c>
      <c r="U85" s="973"/>
      <c r="V85" s="973"/>
      <c r="W85" s="973"/>
      <c r="X85" s="973"/>
      <c r="Y85" s="1131"/>
      <c r="Z85" s="976"/>
      <c r="AA85" s="979"/>
      <c r="AB85" s="976"/>
      <c r="AC85" s="976"/>
      <c r="AD85" s="976"/>
    </row>
    <row customHeight="1" ht="27">
      <c r="A86" s="975"/>
      <c r="B86" s="1029">
        <v>69</v>
      </c>
      <c r="C86" s="973"/>
      <c r="D86" s="1098"/>
      <c r="E86" s="973"/>
      <c r="F86" s="973"/>
      <c r="G86" s="973"/>
      <c r="H86" s="1021"/>
      <c r="I86" s="1136" t="str">
        <f>INDEX(TEMPLATE_NUMBER_POINT_FHD,B86,MATCH(TEMPLATE_SPHERE,TEMPLATE_SPHERE_LIST_FOR_NOTE,0))</f>
        <v>10.3</v>
      </c>
      <c r="J86" s="1136" t="str">
        <f>INDEX(TEMPLATE_DATA_POINT_FHD,B86,MATCH(TEMPLATE_SPHERE,TEMPLATE_SPHERE_LIST_FOR_NOTE,0))</f>
        <v>По нормативам потребления коммунальных услуг и нормативам потребления коммунальных ресурсов</v>
      </c>
      <c r="K86" s="1136">
        <f>INDEX(TEMPLATE_NOTE_POINT_FHD,B86,MATCH(TEMPLATE_SPHERE,TEMPLATE_SPHERE_LIST_FOR_NOTE,0))</f>
        <v>0</v>
      </c>
      <c r="L86" s="974" t="str">
        <f>IF(I86=0,"",I86)</f>
        <v>10.3</v>
      </c>
      <c r="M86" s="974" t="str">
        <f>IF(J86=0,"",J86)</f>
        <v>По нормативам потребления коммунальных услуг и нормативам потребления коммунальных ресурсов</v>
      </c>
      <c r="N86" s="974" t="str">
        <f>IF(K86=0,"",K86)</f>
        <v/>
      </c>
      <c r="O86" s="1088" t="s">
        <v>2220</v>
      </c>
      <c r="P86" s="1088"/>
      <c r="Q86" s="1088"/>
      <c r="R86" s="1088"/>
      <c r="S86" s="1088"/>
      <c r="T86" s="973" t="s">
        <v>2221</v>
      </c>
      <c r="U86" s="973"/>
      <c r="V86" s="973"/>
      <c r="W86" s="973"/>
      <c r="X86" s="973"/>
      <c r="Y86" s="1131"/>
      <c r="Z86" s="976"/>
      <c r="AA86" s="979"/>
      <c r="AB86" s="976"/>
      <c r="AC86" s="976"/>
      <c r="AD86" s="976"/>
    </row>
    <row customHeight="1" ht="36">
      <c r="A87" s="975"/>
      <c r="B87" s="1029">
        <v>70</v>
      </c>
      <c r="C87" s="973" t="s">
        <v>2222</v>
      </c>
      <c r="D87" s="1098"/>
      <c r="E87" s="973"/>
      <c r="F87" s="973"/>
      <c r="G87" s="973"/>
      <c r="H87" s="1021"/>
      <c r="I87" s="1136" t="str">
        <f>INDEX(TEMPLATE_NUMBER_POINT_FHD,B87,MATCH(TEMPLATE_SPHERE,TEMPLATE_SPHERE_LIST_FOR_NOTE,0))</f>
        <v>11</v>
      </c>
      <c r="J87" s="113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36">
        <f>INDEX(TEMPLATE_NOTE_POINT_FHD,B87,MATCH(TEMPLATE_SPHERE,TEMPLATE_SPHERE_LIST_FOR_NOTE,0))</f>
        <v>0</v>
      </c>
      <c r="L87" s="974" t="str">
        <f>IF(I87=0,"",I87)</f>
        <v>11</v>
      </c>
      <c r="M87" s="97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74" t="str">
        <f>IF(K87=0,"",K87)</f>
        <v/>
      </c>
      <c r="O87" s="1088" t="s">
        <v>230</v>
      </c>
      <c r="P87" s="1088"/>
      <c r="Q87" s="1088"/>
      <c r="R87" s="1088"/>
      <c r="S87" s="1088"/>
      <c r="T87" s="973" t="s">
        <v>2223</v>
      </c>
      <c r="U87" s="973"/>
      <c r="V87" s="973"/>
      <c r="W87" s="973"/>
      <c r="X87" s="973"/>
      <c r="Y87" s="1131"/>
      <c r="Z87" s="976"/>
      <c r="AA87" s="979"/>
      <c r="AB87" s="976"/>
      <c r="AC87" s="976"/>
      <c r="AD87" s="976"/>
    </row>
    <row customHeight="1" ht="18">
      <c r="A88" s="975"/>
      <c r="B88" s="1029">
        <v>71</v>
      </c>
      <c r="C88" s="973" t="s">
        <v>2224</v>
      </c>
      <c r="D88" s="1098"/>
      <c r="E88" s="973"/>
      <c r="F88" s="973"/>
      <c r="G88" s="973"/>
      <c r="H88" s="1021"/>
      <c r="I88" s="1136" t="str">
        <f>INDEX(TEMPLATE_NUMBER_POINT_FHD,B88,MATCH(TEMPLATE_SPHERE,TEMPLATE_SPHERE_LIST_FOR_NOTE,0))</f>
        <v>12</v>
      </c>
      <c r="J88" s="1136" t="str">
        <f>INDEX(TEMPLATE_DATA_POINT_FHD,B88,MATCH(TEMPLATE_SPHERE,TEMPLATE_SPHERE_LIST_FOR_NOTE,0))</f>
        <v>Фактический объем потерь при передаче тепловой энергии</v>
      </c>
      <c r="K88" s="1136">
        <f>INDEX(TEMPLATE_NOTE_POINT_FHD,B88,MATCH(TEMPLATE_SPHERE,TEMPLATE_SPHERE_LIST_FOR_NOTE,0))</f>
        <v>0</v>
      </c>
      <c r="L88" s="974" t="str">
        <f>IF(I88=0,"",I88)</f>
        <v>12</v>
      </c>
      <c r="M88" s="974" t="str">
        <f>IF(J88=0,"",J88)</f>
        <v>Фактический объем потерь при передаче тепловой энергии</v>
      </c>
      <c r="N88" s="974" t="str">
        <f>IF(K88=0,"",K88)</f>
        <v/>
      </c>
      <c r="O88" s="1088" t="s">
        <v>231</v>
      </c>
      <c r="P88" s="1088"/>
      <c r="Q88" s="1088"/>
      <c r="R88" s="1088"/>
      <c r="S88" s="1088"/>
      <c r="T88" s="973" t="s">
        <v>2225</v>
      </c>
      <c r="U88" s="973"/>
      <c r="V88" s="973"/>
      <c r="W88" s="973"/>
      <c r="X88" s="973"/>
      <c r="Y88" s="1131"/>
      <c r="Z88" s="976"/>
      <c r="AA88" s="979"/>
      <c r="AB88" s="976"/>
      <c r="AC88" s="976"/>
      <c r="AD88" s="976"/>
    </row>
    <row customHeight="1" ht="18">
      <c r="A89" s="975"/>
      <c r="B89" s="1029">
        <v>72</v>
      </c>
      <c r="C89" s="973" t="s">
        <v>2226</v>
      </c>
      <c r="D89" s="1098" t="s">
        <v>2222</v>
      </c>
      <c r="E89" s="973" t="s">
        <v>2222</v>
      </c>
      <c r="F89" s="973" t="s">
        <v>2187</v>
      </c>
      <c r="G89" s="973"/>
      <c r="H89" s="1021"/>
      <c r="I89" s="1136" t="str">
        <f>INDEX(TEMPLATE_NUMBER_POINT_FHD,B89,MATCH(TEMPLATE_SPHERE,TEMPLATE_SPHERE_LIST_FOR_NOTE,0))</f>
        <v>13</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13</v>
      </c>
      <c r="M89" s="974" t="str">
        <f>IF(J89=0,"",J89)</f>
        <v>Среднесписочная численность основного производственного персонала</v>
      </c>
      <c r="N89" s="974" t="str">
        <f>IF(K89=0,"",K89)</f>
        <v/>
      </c>
      <c r="O89" s="1088" t="s">
        <v>232</v>
      </c>
      <c r="P89" s="1088" t="s">
        <v>231</v>
      </c>
      <c r="Q89" s="1088" t="s">
        <v>231</v>
      </c>
      <c r="R89" s="1088" t="s">
        <v>229</v>
      </c>
      <c r="S89" s="1088"/>
      <c r="T89" s="973" t="s">
        <v>2227</v>
      </c>
      <c r="U89" s="973" t="s">
        <v>2227</v>
      </c>
      <c r="V89" s="973" t="s">
        <v>2227</v>
      </c>
      <c r="W89" s="973" t="s">
        <v>2227</v>
      </c>
      <c r="X89" s="973"/>
      <c r="Y89" s="1131"/>
      <c r="Z89" s="976"/>
      <c r="AA89" s="979"/>
      <c r="AB89" s="976"/>
      <c r="AC89" s="976"/>
      <c r="AD89" s="976"/>
    </row>
    <row customHeight="1" ht="27">
      <c r="A90" s="975"/>
      <c r="B90" s="1029">
        <v>73</v>
      </c>
      <c r="C90" s="973" t="s">
        <v>2228</v>
      </c>
      <c r="D90" s="1098"/>
      <c r="E90" s="973"/>
      <c r="F90" s="973"/>
      <c r="G90" s="973"/>
      <c r="H90" s="1021"/>
      <c r="I90" s="1136" t="str">
        <f>INDEX(TEMPLATE_NUMBER_POINT_FHD,B90,MATCH(TEMPLATE_SPHERE,TEMPLATE_SPHERE_LIST_FOR_NOTE,0))</f>
        <v>14</v>
      </c>
      <c r="J90" s="1136" t="str">
        <f>INDEX(TEMPLATE_DATA_POINT_FHD,B90,MATCH(TEMPLATE_SPHERE,TEMPLATE_SPHERE_LIST_FOR_NOTE,0))</f>
        <v>Среднесписочная численность административно-управленческого персонала</v>
      </c>
      <c r="K90" s="1136">
        <f>INDEX(TEMPLATE_NOTE_POINT_FHD,B90,MATCH(TEMPLATE_SPHERE,TEMPLATE_SPHERE_LIST_FOR_NOTE,0))</f>
        <v>0</v>
      </c>
      <c r="L90" s="974" t="str">
        <f>IF(I90=0,"",I90)</f>
        <v>14</v>
      </c>
      <c r="M90" s="974" t="str">
        <f>IF(J90=0,"",J90)</f>
        <v>Среднесписочная численность административно-управленческого персонала</v>
      </c>
      <c r="N90" s="974" t="str">
        <f>IF(K90=0,"",K90)</f>
        <v/>
      </c>
      <c r="O90" s="1088" t="s">
        <v>233</v>
      </c>
      <c r="P90" s="1088"/>
      <c r="Q90" s="1088"/>
      <c r="R90" s="1088"/>
      <c r="S90" s="1088"/>
      <c r="T90" s="973" t="s">
        <v>2229</v>
      </c>
      <c r="U90" s="973"/>
      <c r="V90" s="973"/>
      <c r="W90" s="973"/>
      <c r="X90" s="973"/>
      <c r="Y90" s="1131"/>
      <c r="Z90" s="976"/>
      <c r="AA90" s="979"/>
      <c r="AB90" s="976"/>
      <c r="AC90" s="976"/>
      <c r="AD90" s="976"/>
    </row>
    <row customHeight="1" ht="18">
      <c r="A91" s="975"/>
      <c r="B91" s="1029">
        <v>74</v>
      </c>
      <c r="C91" s="973"/>
      <c r="D91" s="1098" t="s">
        <v>2224</v>
      </c>
      <c r="E91" s="973" t="s">
        <v>2224</v>
      </c>
      <c r="F91" s="973"/>
      <c r="G91" s="973"/>
      <c r="H91" s="1021"/>
      <c r="I91" s="1136">
        <f>INDEX(TEMPLATE_NUMBER_POINT_FHD,B91,MATCH(TEMPLATE_SPHERE,TEMPLATE_SPHERE_LIST_FOR_NOTE,0))</f>
        <v>0</v>
      </c>
      <c r="J91" s="1136">
        <f>INDEX(TEMPLATE_DATA_POINT_FHD,B91,MATCH(TEMPLATE_SPHERE,TEMPLATE_SPHERE_LIST_FOR_NOTE,0))</f>
        <v>0</v>
      </c>
      <c r="K91" s="1136">
        <f>INDEX(TEMPLATE_NOTE_POINT_FHD,B91,MATCH(TEMPLATE_SPHERE,TEMPLATE_SPHERE_LIST_FOR_NOTE,0))</f>
        <v>0</v>
      </c>
      <c r="L91" s="974" t="str">
        <f>IF(I91=0,"",I91)</f>
        <v/>
      </c>
      <c r="M91" s="974" t="str">
        <f>IF(J91=0,"",J91)</f>
        <v/>
      </c>
      <c r="N91" s="974" t="str">
        <f>IF(K91=0,"",K91)</f>
        <v/>
      </c>
      <c r="O91" s="1088"/>
      <c r="P91" s="1088" t="s">
        <v>232</v>
      </c>
      <c r="Q91" s="1088" t="s">
        <v>232</v>
      </c>
      <c r="R91" s="1088"/>
      <c r="S91" s="1088"/>
      <c r="T91" s="973"/>
      <c r="U91" s="973" t="s">
        <v>2230</v>
      </c>
      <c r="V91" s="973" t="s">
        <v>2230</v>
      </c>
      <c r="W91" s="973"/>
      <c r="X91" s="973"/>
      <c r="Y91" s="1131"/>
      <c r="Z91" s="976"/>
      <c r="AA91" s="979"/>
      <c r="AB91" s="976"/>
      <c r="AC91" s="976"/>
      <c r="AD91" s="976"/>
    </row>
    <row customHeight="1" ht="27">
      <c r="A92" s="975"/>
      <c r="B92" s="1029">
        <v>75</v>
      </c>
      <c r="C92" s="973"/>
      <c r="D92" s="1098" t="s">
        <v>2226</v>
      </c>
      <c r="E92" s="973"/>
      <c r="F92" s="973"/>
      <c r="G92" s="973"/>
      <c r="H92" s="1021"/>
      <c r="I92" s="1136">
        <f>INDEX(TEMPLATE_NUMBER_POINT_FHD,B92,MATCH(TEMPLATE_SPHERE,TEMPLATE_SPHERE_LIST_FOR_NOTE,0))</f>
        <v>0</v>
      </c>
      <c r="J92" s="1136">
        <f>INDEX(TEMPLATE_DATA_POINT_FHD,B92,MATCH(TEMPLATE_SPHERE,TEMPLATE_SPHERE_LIST_FOR_NOTE,0))</f>
        <v>0</v>
      </c>
      <c r="K92" s="1136">
        <f>INDEX(TEMPLATE_NOTE_POINT_FHD,B92,MATCH(TEMPLATE_SPHERE,TEMPLATE_SPHERE_LIST_FOR_NOTE,0))</f>
        <v>0</v>
      </c>
      <c r="L92" s="974" t="str">
        <f>IF(I92=0,"",I92)</f>
        <v/>
      </c>
      <c r="M92" s="974" t="str">
        <f>IF(J92=0,"",J92)</f>
        <v/>
      </c>
      <c r="N92" s="974" t="str">
        <f>IF(K92=0,"",K92)</f>
        <v/>
      </c>
      <c r="O92" s="1088"/>
      <c r="P92" s="1088" t="s">
        <v>233</v>
      </c>
      <c r="Q92" s="1088"/>
      <c r="R92" s="1088"/>
      <c r="S92" s="1088"/>
      <c r="T92" s="973"/>
      <c r="U92" s="973" t="s">
        <v>2231</v>
      </c>
      <c r="V92" s="973"/>
      <c r="W92" s="973"/>
      <c r="X92" s="973"/>
      <c r="Y92" s="1131"/>
      <c r="Z92" s="976"/>
      <c r="AA92" s="979" t="s">
        <v>2232</v>
      </c>
      <c r="AB92" s="976"/>
      <c r="AC92" s="976"/>
      <c r="AD92" s="976"/>
    </row>
    <row customHeight="1" ht="27">
      <c r="A93" s="975"/>
      <c r="B93" s="1029">
        <v>76</v>
      </c>
      <c r="C93" s="973"/>
      <c r="D93" s="1098"/>
      <c r="E93" s="973"/>
      <c r="F93" s="973"/>
      <c r="G93" s="973"/>
      <c r="H93" s="1021"/>
      <c r="I93" s="1136">
        <f>INDEX(TEMPLATE_NUMBER_POINT_FHD,B93,MATCH(TEMPLATE_SPHERE,TEMPLATE_SPHERE_LIST_FOR_NOTE,0))</f>
        <v>0</v>
      </c>
      <c r="J93" s="1136">
        <f>INDEX(TEMPLATE_DATA_POINT_FHD,B93,MATCH(TEMPLATE_SPHERE,TEMPLATE_SPHERE_LIST_FOR_NOTE,0))</f>
        <v>0</v>
      </c>
      <c r="K93" s="1136">
        <f>INDEX(TEMPLATE_NOTE_POINT_FHD,B93,MATCH(TEMPLATE_SPHERE,TEMPLATE_SPHERE_LIST_FOR_NOTE,0))</f>
        <v>0</v>
      </c>
      <c r="L93" s="974" t="str">
        <f>IF(I93=0,"",I93)</f>
        <v/>
      </c>
      <c r="M93" s="974" t="str">
        <f>IF(J93=0,"",J93)</f>
        <v/>
      </c>
      <c r="N93" s="974" t="str">
        <f>IF(K93=0,"",K93)</f>
        <v/>
      </c>
      <c r="O93" s="1088"/>
      <c r="P93" s="1088" t="s">
        <v>2131</v>
      </c>
      <c r="Q93" s="1088"/>
      <c r="R93" s="1088"/>
      <c r="S93" s="1088"/>
      <c r="T93" s="973"/>
      <c r="U93" s="973" t="s">
        <v>2233</v>
      </c>
      <c r="V93" s="973"/>
      <c r="W93" s="973"/>
      <c r="X93" s="973"/>
      <c r="Y93" s="1131"/>
      <c r="Z93" s="976"/>
      <c r="AA93" s="979" t="s">
        <v>2234</v>
      </c>
      <c r="AB93" s="976"/>
      <c r="AC93" s="976"/>
      <c r="AD93" s="976"/>
    </row>
    <row customHeight="1" ht="45">
      <c r="A94" s="975"/>
      <c r="B94" s="1029">
        <v>77</v>
      </c>
      <c r="C94" s="973"/>
      <c r="D94" s="1098" t="s">
        <v>2228</v>
      </c>
      <c r="E94" s="973"/>
      <c r="F94" s="973"/>
      <c r="G94" s="973"/>
      <c r="H94" s="1021"/>
      <c r="I94" s="1136">
        <f>INDEX(TEMPLATE_NUMBER_POINT_FHD,B94,MATCH(TEMPLATE_SPHERE,TEMPLATE_SPHERE_LIST_FOR_NOTE,0))</f>
        <v>0</v>
      </c>
      <c r="J94" s="1136">
        <f>INDEX(TEMPLATE_DATA_POINT_FHD,B94,MATCH(TEMPLATE_SPHERE,TEMPLATE_SPHERE_LIST_FOR_NOTE,0))</f>
        <v>0</v>
      </c>
      <c r="K94" s="1136">
        <f>INDEX(TEMPLATE_NOTE_POINT_FHD,B94,MATCH(TEMPLATE_SPHERE,TEMPLATE_SPHERE_LIST_FOR_NOTE,0))</f>
        <v>0</v>
      </c>
      <c r="L94" s="974" t="str">
        <f>IF(I94=0,"",I94)</f>
        <v/>
      </c>
      <c r="M94" s="974" t="str">
        <f>IF(J94=0,"",J94)</f>
        <v/>
      </c>
      <c r="N94" s="974" t="str">
        <f>IF(K94=0,"",K94)</f>
        <v/>
      </c>
      <c r="O94" s="1088"/>
      <c r="P94" s="1088" t="s">
        <v>1483</v>
      </c>
      <c r="Q94" s="1088"/>
      <c r="R94" s="1088"/>
      <c r="S94" s="1088"/>
      <c r="T94" s="973"/>
      <c r="U94" s="973" t="s">
        <v>2235</v>
      </c>
      <c r="V94" s="973"/>
      <c r="W94" s="973"/>
      <c r="X94" s="973"/>
      <c r="Y94" s="1131"/>
      <c r="Z94" s="976"/>
      <c r="AA94" s="979" t="s">
        <v>2236</v>
      </c>
      <c r="AB94" s="976"/>
      <c r="AC94" s="976"/>
      <c r="AD94" s="976"/>
    </row>
    <row customHeight="1" ht="99">
      <c r="A95" s="975"/>
      <c r="B95" s="1029">
        <v>78</v>
      </c>
      <c r="C95" s="973" t="s">
        <v>2237</v>
      </c>
      <c r="D95" s="1098"/>
      <c r="E95" s="973"/>
      <c r="F95" s="973"/>
      <c r="G95" s="973"/>
      <c r="H95" s="1021"/>
      <c r="I95" s="1136" t="str">
        <f>INDEX(TEMPLATE_NUMBER_POINT_FHD,B95,MATCH(TEMPLATE_SPHERE,TEMPLATE_SPHERE_LIST_FOR_NOTE,0))</f>
        <v>15</v>
      </c>
      <c r="J95" s="113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36">
        <f>INDEX(TEMPLATE_NOTE_POINT_FHD,B95,MATCH(TEMPLATE_SPHERE,TEMPLATE_SPHERE_LIST_FOR_NOTE,0))</f>
        <v>0</v>
      </c>
      <c r="L95" s="974" t="str">
        <f>IF(I95=0,"",I95)</f>
        <v>15</v>
      </c>
      <c r="M95" s="97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74" t="str">
        <f>IF(K95=0,"",K95)</f>
        <v/>
      </c>
      <c r="O95" s="1088" t="s">
        <v>1483</v>
      </c>
      <c r="P95" s="1088"/>
      <c r="Q95" s="1088"/>
      <c r="R95" s="1088"/>
      <c r="S95" s="1088"/>
      <c r="T95" s="973" t="s">
        <v>2238</v>
      </c>
      <c r="U95" s="973"/>
      <c r="V95" s="973"/>
      <c r="W95" s="973"/>
      <c r="X95" s="973"/>
      <c r="Y95" s="1131"/>
      <c r="Z95" s="976"/>
      <c r="AA95" s="979"/>
      <c r="AB95" s="976"/>
      <c r="AC95" s="976"/>
      <c r="AD95" s="976"/>
    </row>
    <row customHeight="1" ht="99">
      <c r="A96" s="975"/>
      <c r="B96" s="1029">
        <v>79</v>
      </c>
      <c r="C96" s="973" t="s">
        <v>1171</v>
      </c>
      <c r="D96" s="1098"/>
      <c r="E96" s="973"/>
      <c r="F96" s="973"/>
      <c r="G96" s="973"/>
      <c r="H96" s="1021"/>
      <c r="I96" s="1136" t="str">
        <f>INDEX(TEMPLATE_NUMBER_POINT_FHD,B96,MATCH(TEMPLATE_SPHERE,TEMPLATE_SPHERE_LIST_FOR_NOTE,0))</f>
        <v>16</v>
      </c>
      <c r="J96" s="113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3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74" t="str">
        <f>IF(I96=0,"",I96)</f>
        <v>16</v>
      </c>
      <c r="M96" s="97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7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88" t="s">
        <v>1489</v>
      </c>
      <c r="P96" s="1088"/>
      <c r="Q96" s="1088"/>
      <c r="R96" s="1088"/>
      <c r="S96" s="1088"/>
      <c r="T96" s="973" t="s">
        <v>2239</v>
      </c>
      <c r="U96" s="973"/>
      <c r="V96" s="973"/>
      <c r="W96" s="973"/>
      <c r="X96" s="973"/>
      <c r="Y96" s="1131"/>
      <c r="Z96" s="976" t="s">
        <v>2240</v>
      </c>
      <c r="AA96" s="979"/>
      <c r="AB96" s="976"/>
      <c r="AC96" s="976"/>
      <c r="AD96" s="976"/>
    </row>
    <row customHeight="1" ht="63">
      <c r="A97" s="975"/>
      <c r="B97" s="1029">
        <v>80</v>
      </c>
      <c r="C97" s="973" t="s">
        <v>2241</v>
      </c>
      <c r="D97" s="1098"/>
      <c r="E97" s="973"/>
      <c r="F97" s="973"/>
      <c r="G97" s="973"/>
      <c r="H97" s="1021"/>
      <c r="I97" s="1136" t="str">
        <f>INDEX(TEMPLATE_NUMBER_POINT_FHD,B97,MATCH(TEMPLATE_SPHERE,TEMPLATE_SPHERE_LIST_FOR_NOTE,0))</f>
        <v>17</v>
      </c>
      <c r="J97" s="113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3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74" t="str">
        <f>IF(I97=0,"",I97)</f>
        <v>17</v>
      </c>
      <c r="M97" s="97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74" t="str">
        <f>IF(K97=0,"",K97)</f>
        <v>Регулируемыми организациями указывается информация с по договорам, заключенным в рамках осуществления регулируемой деятельности.</v>
      </c>
      <c r="O97" s="1088" t="s">
        <v>1500</v>
      </c>
      <c r="P97" s="1088"/>
      <c r="Q97" s="1088"/>
      <c r="R97" s="1088"/>
      <c r="S97" s="1088"/>
      <c r="T97" s="973" t="s">
        <v>2242</v>
      </c>
      <c r="U97" s="973"/>
      <c r="V97" s="973"/>
      <c r="W97" s="973"/>
      <c r="X97" s="973"/>
      <c r="Y97" s="1131"/>
      <c r="Z97" s="976" t="s">
        <v>2243</v>
      </c>
      <c r="AA97" s="979"/>
      <c r="AB97" s="976"/>
      <c r="AC97" s="976"/>
      <c r="AD97" s="976"/>
    </row>
    <row customHeight="1" ht="63">
      <c r="A98" s="975"/>
      <c r="B98" s="1029">
        <v>81</v>
      </c>
      <c r="C98" s="973" t="s">
        <v>2244</v>
      </c>
      <c r="D98" s="1098"/>
      <c r="E98" s="973"/>
      <c r="F98" s="973"/>
      <c r="G98" s="973"/>
      <c r="H98" s="1021"/>
      <c r="I98" s="1136" t="str">
        <f>INDEX(TEMPLATE_NUMBER_POINT_FHD,B98,MATCH(TEMPLATE_SPHERE,TEMPLATE_SPHERE_LIST_FOR_NOTE,0))</f>
        <v>18</v>
      </c>
      <c r="J98" s="113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3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74" t="str">
        <f>IF(I98=0,"",I98)</f>
        <v>18</v>
      </c>
      <c r="M98" s="97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74" t="str">
        <f>IF(K98=0,"",K98)</f>
        <v>Регулируемыми организациями указывается информация с по договорам, заключенным в рамках осуществления регулируемой деятельности.</v>
      </c>
      <c r="O98" s="1088" t="s">
        <v>1514</v>
      </c>
      <c r="P98" s="1088"/>
      <c r="Q98" s="1088"/>
      <c r="R98" s="1088"/>
      <c r="S98" s="1088"/>
      <c r="T98" s="973" t="s">
        <v>2245</v>
      </c>
      <c r="U98" s="973"/>
      <c r="V98" s="973"/>
      <c r="W98" s="973"/>
      <c r="X98" s="973"/>
      <c r="Y98" s="1131"/>
      <c r="Z98" s="976" t="s">
        <v>2243</v>
      </c>
      <c r="AA98" s="979"/>
      <c r="AB98" s="976"/>
      <c r="AC98" s="976"/>
      <c r="AD98" s="976"/>
    </row>
    <row customHeight="1" ht="90">
      <c r="A99" s="975"/>
      <c r="B99" s="1029">
        <v>82</v>
      </c>
      <c r="C99" s="973" t="s">
        <v>2246</v>
      </c>
      <c r="D99" s="1098"/>
      <c r="E99" s="973"/>
      <c r="F99" s="973"/>
      <c r="G99" s="973"/>
      <c r="H99" s="1021"/>
      <c r="I99" s="1136" t="str">
        <f>INDEX(TEMPLATE_NUMBER_POINT_FHD,B99,MATCH(TEMPLATE_SPHERE,TEMPLATE_SPHERE_LIST_FOR_NOTE,0))</f>
        <v>19</v>
      </c>
      <c r="J99" s="113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36" t="str">
        <f>INDEX(TEMPLATE_NOTE_POINT_FHD,B99,MATCH(TEMPLATE_SPHERE,TEMPLATE_SPHERE_LIST_FOR_NOTE,0))</f>
        <v>Указывается ссылка на документ, предварительно загруженный в хранилище файлов ФГИС ЕИАС.</v>
      </c>
      <c r="L99" s="974" t="str">
        <f>IF(I99=0,"",I99)</f>
        <v>19</v>
      </c>
      <c r="M99" s="97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74" t="str">
        <f>IF(K99=0,"",K99)</f>
        <v>Указывается ссылка на документ, предварительно загруженный в хранилище файлов ФГИС ЕИАС.</v>
      </c>
      <c r="O99" s="1088" t="s">
        <v>1526</v>
      </c>
      <c r="P99" s="1088"/>
      <c r="Q99" s="1088"/>
      <c r="R99" s="1088"/>
      <c r="S99" s="1088"/>
      <c r="T99" s="973" t="s">
        <v>2247</v>
      </c>
      <c r="U99" s="973"/>
      <c r="V99" s="973"/>
      <c r="W99" s="973"/>
      <c r="X99" s="973"/>
      <c r="Y99" s="1131"/>
      <c r="Z99" s="976" t="s">
        <v>899</v>
      </c>
      <c r="AA99" s="979"/>
      <c r="AB99" s="976"/>
      <c r="AC99" s="976"/>
      <c r="AD99" s="976"/>
    </row>
    <row customHeight="1" ht="27">
      <c r="A100" s="975"/>
      <c r="B100" s="1029">
        <v>83</v>
      </c>
      <c r="C100" s="973"/>
      <c r="D100" s="1098"/>
      <c r="E100" s="973"/>
      <c r="F100" s="973"/>
      <c r="G100" s="973"/>
      <c r="H100" s="1021"/>
      <c r="I100" s="1136" t="str">
        <f>INDEX(TEMPLATE_NUMBER_POINT_FHD,B100,MATCH(TEMPLATE_SPHERE,TEMPLATE_SPHERE_LIST_FOR_NOTE,0))</f>
        <v>19.1</v>
      </c>
      <c r="J100" s="1136" t="str">
        <f>INDEX(TEMPLATE_DATA_POINT_FHD,B100,MATCH(TEMPLATE_SPHERE,TEMPLATE_SPHERE_LIST_FOR_NOTE,0))</f>
        <v>Информация о показателях физического износа объектов теплоснабжения</v>
      </c>
      <c r="K100" s="1136" t="str">
        <f>INDEX(TEMPLATE_NOTE_POINT_FHD,B100,MATCH(TEMPLATE_SPHERE,TEMPLATE_SPHERE_LIST_FOR_NOTE,0))</f>
        <v>Указывается ссылка на документ, предварительно загруженный в хранилище файлов ФГИС ЕИАС.</v>
      </c>
      <c r="L100" s="974" t="str">
        <f>IF(I100=0,"",I100)</f>
        <v>19.1</v>
      </c>
      <c r="M100" s="974" t="str">
        <f>IF(J100=0,"",J100)</f>
        <v>Информация о показателях физического износа объектов теплоснабжения</v>
      </c>
      <c r="N100" s="974" t="str">
        <f>IF(K100=0,"",K100)</f>
        <v>Указывается ссылка на документ, предварительно загруженный в хранилище файлов ФГИС ЕИАС.</v>
      </c>
      <c r="O100" s="1088" t="s">
        <v>2248</v>
      </c>
      <c r="P100" s="1088"/>
      <c r="Q100" s="1088"/>
      <c r="R100" s="1088"/>
      <c r="S100" s="1088"/>
      <c r="T100" s="973" t="s">
        <v>2249</v>
      </c>
      <c r="U100" s="973"/>
      <c r="V100" s="973"/>
      <c r="W100" s="973"/>
      <c r="X100" s="973"/>
      <c r="Y100" s="1131"/>
      <c r="Z100" s="976" t="s">
        <v>899</v>
      </c>
      <c r="AA100" s="979"/>
      <c r="AB100" s="976"/>
      <c r="AC100" s="976"/>
      <c r="AD100" s="976"/>
    </row>
    <row customHeight="1" ht="27">
      <c r="A101" s="975"/>
      <c r="B101" s="1029">
        <v>84</v>
      </c>
      <c r="C101" s="973"/>
      <c r="D101" s="1098"/>
      <c r="E101" s="973"/>
      <c r="F101" s="973"/>
      <c r="G101" s="973"/>
      <c r="H101" s="1021"/>
      <c r="I101" s="1136" t="str">
        <f>INDEX(TEMPLATE_NUMBER_POINT_FHD,B101,MATCH(TEMPLATE_SPHERE,TEMPLATE_SPHERE_LIST_FOR_NOTE,0))</f>
        <v>19.2</v>
      </c>
      <c r="J101" s="1136" t="str">
        <f>INDEX(TEMPLATE_DATA_POINT_FHD,B101,MATCH(TEMPLATE_SPHERE,TEMPLATE_SPHERE_LIST_FOR_NOTE,0))</f>
        <v>Информация о показателях энергетической эффективности объектов теплоснабжения</v>
      </c>
      <c r="K101" s="1136" t="str">
        <f>INDEX(TEMPLATE_NOTE_POINT_FHD,B101,MATCH(TEMPLATE_SPHERE,TEMPLATE_SPHERE_LIST_FOR_NOTE,0))</f>
        <v>Указывается ссылка на документ, предварительно загруженный в хранилище файлов ФГИС ЕИАС.</v>
      </c>
      <c r="L101" s="974" t="str">
        <f>IF(I101=0,"",I101)</f>
        <v>19.2</v>
      </c>
      <c r="M101" s="974" t="str">
        <f>IF(J101=0,"",J101)</f>
        <v>Информация о показателях энергетической эффективности объектов теплоснабжения</v>
      </c>
      <c r="N101" s="974" t="str">
        <f>IF(K101=0,"",K101)</f>
        <v>Указывается ссылка на документ, предварительно загруженный в хранилище файлов ФГИС ЕИАС.</v>
      </c>
      <c r="O101" s="1088" t="s">
        <v>2250</v>
      </c>
      <c r="P101" s="1088"/>
      <c r="Q101" s="1088"/>
      <c r="R101" s="1088"/>
      <c r="S101" s="1088"/>
      <c r="T101" s="973" t="s">
        <v>2251</v>
      </c>
      <c r="U101" s="973"/>
      <c r="V101" s="973"/>
      <c r="W101" s="973"/>
      <c r="X101" s="973"/>
      <c r="Y101" s="1131"/>
      <c r="Z101" s="976" t="s">
        <v>899</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1679</v>
      </c>
      <c r="B148" s="975"/>
      <c r="C148" s="973" t="s">
        <v>2252</v>
      </c>
      <c r="D148" s="973" t="s">
        <v>1582</v>
      </c>
      <c r="E148" s="973" t="s">
        <v>1681</v>
      </c>
      <c r="F148" s="973" t="s">
        <v>2253</v>
      </c>
      <c r="G148" s="973"/>
      <c r="H148" s="973"/>
      <c r="I148" s="1094"/>
      <c r="J148" s="1094"/>
      <c r="K148" s="1094"/>
      <c r="L148" s="1094"/>
      <c r="M148" s="10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8"/>
      <c r="O148" s="973"/>
      <c r="P148" s="974"/>
      <c r="Q148" s="974"/>
      <c r="R148" s="974"/>
      <c r="S148" s="973"/>
      <c r="T148" s="973" t="s">
        <v>2254</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74"/>
      <c r="W148" s="974"/>
      <c r="X148" s="973" t="s">
        <v>2255</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1683</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1686</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1691</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A1812-BCF7-3A3B-E953-D5F6AC0C0F6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2.28125" hidden="1" customWidth="1"/>
    <col min="6" max="8" style="11730" width="12.28125" hidden="1" customWidth="1"/>
    <col min="9" max="9" style="13607" width="3.7109375" customWidth="1"/>
    <col min="10" max="11" style="11732" width="3.7109375" customWidth="1"/>
    <col min="12" max="12" style="11733" width="12.7109375" customWidth="1"/>
    <col min="13" max="13" style="11734" width="32.00390625" customWidth="1"/>
    <col min="14" max="14" style="11734" width="1.7109375" customWidth="1"/>
    <col min="15" max="18" style="11734" width="24.7109375" customWidth="1"/>
    <col min="19" max="19" style="11734" width="11.7109375" customWidth="1"/>
    <col min="20" max="20" style="11734" width="3.7109375" customWidth="1"/>
    <col min="21" max="21" style="11734" width="11.7109375" customWidth="1"/>
    <col min="22" max="22" style="11734" width="8.57421875" customWidth="1"/>
    <col min="23" max="23" style="11734" width="4.7109375" customWidth="1"/>
    <col min="24" max="24" style="11734" width="115.7109375" customWidth="1"/>
    <col min="25" max="26" style="11721" width="10.57421875"/>
    <col min="27" max="27" style="11721" width="11.140625" customWidth="1"/>
    <col min="28" max="29" style="11721"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2256</v>
      </c>
      <c r="M5" s="2623"/>
      <c r="N5" s="2623"/>
      <c r="O5" s="2623"/>
      <c r="P5" s="2623"/>
      <c r="Q5" s="2623"/>
      <c r="R5" s="2623"/>
      <c r="S5" s="2623"/>
      <c r="T5" s="2623"/>
      <c r="U5" s="2623"/>
      <c r="V5" s="1379"/>
    </row>
    <row customHeight="1" ht="14.25">
      <c r="J6" s="506"/>
      <c r="K6" s="506"/>
      <c r="L6" s="2624" t="str">
        <f>IF(org=0,"Не определено",org)</f>
        <v>АО "ДГК"</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662"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662" customFormat="1" customHeight="1" ht="22.5">
      <c r="A9" s="1505"/>
      <c r="B9" s="1505"/>
      <c r="C9" s="1505"/>
      <c r="D9" s="1505"/>
      <c r="E9" s="1505"/>
      <c r="F9" s="1505"/>
      <c r="G9" s="1505"/>
      <c r="H9" s="1505"/>
      <c r="L9" s="1413"/>
      <c r="M9" s="425" t="s">
        <v>503</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662" customFormat="1" customHeight="1" ht="22.5">
      <c r="A10" s="1505"/>
      <c r="B10" s="1505"/>
      <c r="C10" s="1505"/>
      <c r="D10" s="1505"/>
      <c r="E10" s="1505"/>
      <c r="F10" s="1505"/>
      <c r="G10" s="1505"/>
      <c r="H10" s="1505"/>
      <c r="L10" s="1386"/>
      <c r="M10" s="425" t="s">
        <v>504</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662"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662"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507</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378</v>
      </c>
      <c r="M14" s="2167"/>
      <c r="N14" s="2167"/>
      <c r="O14" s="2167"/>
      <c r="P14" s="2167"/>
      <c r="Q14" s="2167"/>
      <c r="R14" s="2167"/>
      <c r="S14" s="2167"/>
      <c r="T14" s="2167"/>
      <c r="U14" s="2167"/>
      <c r="V14" s="2167"/>
      <c r="W14" s="2167"/>
      <c r="X14" s="2167" t="s">
        <v>379</v>
      </c>
    </row>
    <row customHeight="1" ht="14.25">
      <c r="J15" s="506"/>
      <c r="K15" s="506"/>
      <c r="L15" s="2312" t="s">
        <v>85</v>
      </c>
      <c r="M15" s="2248" t="s">
        <v>508</v>
      </c>
      <c r="N15" s="431"/>
      <c r="O15" s="2313" t="s">
        <v>2257</v>
      </c>
      <c r="P15" s="2314"/>
      <c r="Q15" s="2314"/>
      <c r="R15" s="2314"/>
      <c r="S15" s="2314"/>
      <c r="T15" s="2314"/>
      <c r="U15" s="2315"/>
      <c r="V15" s="2316" t="s">
        <v>510</v>
      </c>
      <c r="W15" s="2319" t="s">
        <v>1168</v>
      </c>
      <c r="X15" s="2167"/>
    </row>
    <row customHeight="1" ht="33.75">
      <c r="J16" s="506"/>
      <c r="K16" s="506"/>
      <c r="L16" s="2312"/>
      <c r="M16" s="2248"/>
      <c r="N16" s="1162"/>
      <c r="O16" s="2299" t="s">
        <v>513</v>
      </c>
      <c r="P16" s="2299" t="s">
        <v>514</v>
      </c>
      <c r="Q16" s="2301" t="s">
        <v>515</v>
      </c>
      <c r="R16" s="2302"/>
      <c r="S16" s="2301" t="s">
        <v>529</v>
      </c>
      <c r="T16" s="2308"/>
      <c r="U16" s="2302"/>
      <c r="V16" s="2317"/>
      <c r="W16" s="2320"/>
      <c r="X16" s="2167"/>
    </row>
    <row customHeight="1" ht="33.75">
      <c r="A17" s="1507" t="s">
        <v>215</v>
      </c>
      <c r="B17" s="1507" t="s">
        <v>216</v>
      </c>
      <c r="C17" s="1507" t="s">
        <v>217</v>
      </c>
      <c r="D17" s="1507" t="s">
        <v>218</v>
      </c>
      <c r="E17" s="1507"/>
      <c r="J17" s="506"/>
      <c r="K17" s="506"/>
      <c r="L17" s="2312"/>
      <c r="M17" s="2248"/>
      <c r="N17" s="432"/>
      <c r="O17" s="2300"/>
      <c r="P17" s="2300"/>
      <c r="Q17" s="1358" t="s">
        <v>524</v>
      </c>
      <c r="R17" s="1358" t="s">
        <v>525</v>
      </c>
      <c r="S17" s="1429" t="s">
        <v>526</v>
      </c>
      <c r="T17" s="2309" t="s">
        <v>527</v>
      </c>
      <c r="U17" s="2310"/>
      <c r="V17" s="2318"/>
      <c r="W17" s="2321"/>
      <c r="X17" s="2167"/>
    </row>
    <row s="11482" customFormat="1" customHeight="1" ht="11.25">
      <c r="A18" s="1507"/>
      <c r="B18" s="1507"/>
      <c r="C18" s="1507"/>
      <c r="D18" s="1507"/>
      <c r="E18" s="1507"/>
      <c r="F18" s="1499"/>
      <c r="G18" s="1499"/>
      <c r="H18" s="1499"/>
      <c r="I18" s="1382"/>
      <c r="J18" s="1383"/>
      <c r="K18" s="1390">
        <v>1</v>
      </c>
      <c r="L18" s="1414" t="s">
        <v>165</v>
      </c>
      <c r="M18" s="1391" t="s">
        <v>100</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248</v>
      </c>
      <c r="B19" s="1500" t="s">
        <v>249</v>
      </c>
      <c r="C19" s="1500" t="s">
        <v>250</v>
      </c>
      <c r="D19" s="1500" t="s">
        <v>251</v>
      </c>
      <c r="E19" s="1500"/>
      <c r="F19" s="1502"/>
      <c r="G19" s="1502"/>
      <c r="H19" s="1502"/>
      <c r="I19" s="491"/>
      <c r="J19" s="490"/>
      <c r="K19" s="485"/>
      <c r="L19" s="1430">
        <f>INDEX(PT_DIFFERENTIATION_NUM_NTAR,MATCH(A19,PT_DIFFERENTIATION_NTAR_ID,0))</f>
        <v>0</v>
      </c>
      <c r="M19" s="428" t="s">
        <v>204</v>
      </c>
      <c r="N19" s="430"/>
      <c r="O19" s="2626" t="str">
        <f>INDEX(PT_DIFFERENTIATION_NTAR,MATCH(A19,PT_DIFFERENTIATION_NTAR_ID,0))</f>
        <v/>
      </c>
      <c r="P19" s="2626"/>
      <c r="Q19" s="2626"/>
      <c r="R19" s="2626"/>
      <c r="S19" s="2626"/>
      <c r="T19" s="2626"/>
      <c r="U19" s="2626"/>
      <c r="V19" s="2626"/>
      <c r="W19" s="2626"/>
      <c r="X19" s="1394" t="s">
        <v>476</v>
      </c>
      <c r="Z19" s="630"/>
      <c r="AA19" s="630" t="str">
        <f>IF(M19="","",M19)</f>
        <v>Наименование тарифа</v>
      </c>
      <c r="AB19" s="630"/>
      <c r="AC19" s="630"/>
    </row>
    <row customHeight="1" ht="21">
      <c r="A20" s="1500" t="s">
        <v>248</v>
      </c>
      <c r="B20" s="1500" t="s">
        <v>249</v>
      </c>
      <c r="C20" s="1500" t="s">
        <v>250</v>
      </c>
      <c r="D20" s="1500" t="s">
        <v>251</v>
      </c>
      <c r="E20" s="1500"/>
      <c r="F20" s="1502"/>
      <c r="G20" s="1502"/>
      <c r="H20" s="1502"/>
      <c r="I20" s="1427"/>
      <c r="J20" s="482"/>
      <c r="K20" s="483"/>
      <c r="L20" s="1430" t="str">
        <f>INDEX(PT_DIFFERENTIATION_NUM_TER,MATCH(B19,PT_DIFFERENTIATION_TER_ID,0))</f>
        <v>.</v>
      </c>
      <c r="M20" s="438" t="s">
        <v>477</v>
      </c>
      <c r="N20" s="430"/>
      <c r="O20" s="2626" t="str">
        <f>INDEX(PT_DIFFERENTIATION_TER,MATCH(B19,PT_DIFFERENTIATION_TER_ID,0))</f>
        <v/>
      </c>
      <c r="P20" s="2626"/>
      <c r="Q20" s="2626"/>
      <c r="R20" s="2626"/>
      <c r="S20" s="2626"/>
      <c r="T20" s="2626"/>
      <c r="U20" s="2626"/>
      <c r="V20" s="2626"/>
      <c r="W20" s="2626"/>
      <c r="X20" s="1394" t="s">
        <v>478</v>
      </c>
      <c r="Z20" s="630"/>
      <c r="AA20" s="630" t="str">
        <f>IF(M20="","",M20)</f>
        <v>Территория действия тарифа</v>
      </c>
      <c r="AB20" s="630"/>
      <c r="AC20" s="630"/>
    </row>
    <row customHeight="1" ht="22.5">
      <c r="A21" s="1500" t="s">
        <v>248</v>
      </c>
      <c r="B21" s="1500" t="s">
        <v>249</v>
      </c>
      <c r="C21" s="1500" t="s">
        <v>250</v>
      </c>
      <c r="D21" s="1500" t="s">
        <v>251</v>
      </c>
      <c r="E21" s="1500"/>
      <c r="F21" s="1502"/>
      <c r="G21" s="1502"/>
      <c r="H21" s="1502"/>
      <c r="I21" s="484"/>
      <c r="J21" s="482"/>
      <c r="K21" s="483"/>
      <c r="L21" s="1430" t="str">
        <f>INDEX(PT_DIFFERENTIATION_NUM_CS,MATCH(C19,PT_DIFFERENTIATION_CS_ID,0))</f>
        <v>..</v>
      </c>
      <c r="M21" s="439" t="s">
        <v>479</v>
      </c>
      <c r="N21" s="430"/>
      <c r="O21" s="2626" t="str">
        <f>INDEX(PT_DIFFERENTIATION_CS,MATCH(C19,PT_DIFFERENTIATION_CS_ID,0))</f>
        <v/>
      </c>
      <c r="P21" s="2626"/>
      <c r="Q21" s="2626"/>
      <c r="R21" s="2626"/>
      <c r="S21" s="2626"/>
      <c r="T21" s="2626"/>
      <c r="U21" s="2626"/>
      <c r="V21" s="2626"/>
      <c r="W21" s="2626"/>
      <c r="X21" s="1394" t="s">
        <v>480</v>
      </c>
      <c r="Z21" s="630"/>
      <c r="AA21" s="630" t="str">
        <f>IF(M21="","",M21)</f>
        <v>Наименование системы теплоснабжения </v>
      </c>
      <c r="AB21" s="630"/>
      <c r="AC21" s="630"/>
    </row>
    <row customHeight="1" ht="21">
      <c r="A22" s="1500" t="s">
        <v>248</v>
      </c>
      <c r="B22" s="1500" t="s">
        <v>249</v>
      </c>
      <c r="C22" s="1500" t="s">
        <v>250</v>
      </c>
      <c r="D22" s="1500" t="s">
        <v>251</v>
      </c>
      <c r="E22" s="1500"/>
      <c r="F22" s="1502"/>
      <c r="G22" s="1502"/>
      <c r="H22" s="1502"/>
      <c r="I22" s="484"/>
      <c r="J22" s="482"/>
      <c r="K22" s="483"/>
      <c r="L22" s="1430" t="str">
        <f>INDEX(PT_DIFFERENTIATION_NUM_IST_TE,MATCH(D19,PT_DIFFERENTIATION_IST_TE_ID,0))</f>
        <v>...</v>
      </c>
      <c r="M22" s="440" t="s">
        <v>481</v>
      </c>
      <c r="N22" s="430"/>
      <c r="O22" s="2626" t="str">
        <f>INDEX(PT_DIFFERENTIATION_IST_TE,MATCH(D19,PT_DIFFERENTIATION_IST_TE_ID,0))</f>
        <v/>
      </c>
      <c r="P22" s="2626"/>
      <c r="Q22" s="2626"/>
      <c r="R22" s="2626"/>
      <c r="S22" s="2626"/>
      <c r="T22" s="2626"/>
      <c r="U22" s="2626"/>
      <c r="V22" s="2626"/>
      <c r="W22" s="2626"/>
      <c r="X22" s="1394" t="s">
        <v>482</v>
      </c>
      <c r="Z22" s="630"/>
      <c r="AA22" s="630" t="str">
        <f>IF(M22="","",M22)</f>
        <v>Источник тепловой энергии  </v>
      </c>
      <c r="AB22" s="630"/>
      <c r="AC22" s="630"/>
    </row>
    <row customHeight="1" ht="94.5">
      <c r="A23" s="1500" t="s">
        <v>248</v>
      </c>
      <c r="B23" s="1500" t="s">
        <v>249</v>
      </c>
      <c r="C23" s="1500" t="s">
        <v>250</v>
      </c>
      <c r="D23" s="1500" t="s">
        <v>251</v>
      </c>
      <c r="E23" s="1500"/>
      <c r="F23" s="2627" t="str">
        <f>L22&amp;".1"</f>
        <v>....1</v>
      </c>
      <c r="I23" s="2296">
        <v>1</v>
      </c>
      <c r="J23" s="1428"/>
      <c r="K23" s="486"/>
      <c r="L23" s="1430" t="str">
        <f>$F$23</f>
        <v>....1</v>
      </c>
      <c r="M23" s="415" t="s">
        <v>484</v>
      </c>
      <c r="N23" s="430"/>
      <c r="O23" s="2628"/>
      <c r="P23" s="2628"/>
      <c r="Q23" s="2628"/>
      <c r="R23" s="2628"/>
      <c r="S23" s="2628"/>
      <c r="T23" s="2628"/>
      <c r="U23" s="2628"/>
      <c r="V23" s="2628"/>
      <c r="W23" s="2628"/>
      <c r="X23" s="1394" t="s">
        <v>485</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248</v>
      </c>
      <c r="B24" s="1500" t="s">
        <v>249</v>
      </c>
      <c r="C24" s="1500" t="s">
        <v>250</v>
      </c>
      <c r="D24" s="1500" t="s">
        <v>251</v>
      </c>
      <c r="E24" s="1500"/>
      <c r="F24" s="2627"/>
      <c r="G24" s="2256" t="str">
        <f>F23&amp;".1"</f>
        <v>....1.1</v>
      </c>
      <c r="I24" s="2296"/>
      <c r="J24" s="2296">
        <v>1</v>
      </c>
      <c r="K24" s="487"/>
      <c r="L24" s="1430" t="str">
        <f>$G$24</f>
        <v>....1.1</v>
      </c>
      <c r="M24" s="416" t="s">
        <v>487</v>
      </c>
      <c r="N24" s="430"/>
      <c r="O24" s="2629"/>
      <c r="P24" s="2630"/>
      <c r="Q24" s="2630"/>
      <c r="R24" s="2630"/>
      <c r="S24" s="2630"/>
      <c r="T24" s="2630"/>
      <c r="U24" s="2630"/>
      <c r="V24" s="2630"/>
      <c r="W24" s="2631"/>
      <c r="X24" s="1394" t="s">
        <v>488</v>
      </c>
      <c r="Z24" s="630"/>
      <c r="AA24" s="630" t="str">
        <f>IF(M24="","",M24)</f>
        <v>Группа потребителей</v>
      </c>
      <c r="AB24" s="630"/>
      <c r="AC24" s="630"/>
    </row>
    <row customHeight="1" ht="11.25">
      <c r="A25" s="1500" t="s">
        <v>248</v>
      </c>
      <c r="B25" s="1500" t="s">
        <v>249</v>
      </c>
      <c r="C25" s="1500" t="s">
        <v>250</v>
      </c>
      <c r="D25" s="1500" t="s">
        <v>251</v>
      </c>
      <c r="E25" s="1500"/>
      <c r="F25" s="2627"/>
      <c r="G25" s="2256"/>
      <c r="H25" s="2256" t="str">
        <f>G24&amp;".1"</f>
        <v>....1.1.1</v>
      </c>
      <c r="I25" s="2296"/>
      <c r="J25" s="2296"/>
      <c r="K25" s="487">
        <v>1</v>
      </c>
      <c r="L25" s="1430" t="str">
        <f>$H$25</f>
        <v>....1.1.1</v>
      </c>
      <c r="M25" s="1395"/>
      <c r="N25" s="430"/>
      <c r="O25" s="881"/>
      <c r="P25" s="455"/>
      <c r="Q25" s="881"/>
      <c r="R25" s="1393"/>
      <c r="S25" s="2622"/>
      <c r="T25" s="2147" t="s">
        <v>64</v>
      </c>
      <c r="U25" s="2622"/>
      <c r="V25" s="2147" t="s">
        <v>54</v>
      </c>
      <c r="W25" s="455"/>
      <c r="X25" s="2292" t="s">
        <v>490</v>
      </c>
      <c r="Y25" s="641">
        <f>STRCHECKDATE(O26:W26)</f>
      </c>
      <c r="Z25" s="630"/>
      <c r="AA25" s="630" t="str">
        <f>IF(M25="","",M25)</f>
        <v/>
      </c>
      <c r="AB25" s="630"/>
      <c r="AC25" s="630"/>
    </row>
    <row customHeight="1" ht="11.25">
      <c r="A26" s="1500" t="s">
        <v>248</v>
      </c>
      <c r="B26" s="1500" t="s">
        <v>249</v>
      </c>
      <c r="C26" s="1500" t="s">
        <v>250</v>
      </c>
      <c r="D26" s="1500" t="s">
        <v>251</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248</v>
      </c>
      <c r="B27" s="1500" t="s">
        <v>249</v>
      </c>
      <c r="C27" s="1500" t="s">
        <v>250</v>
      </c>
      <c r="D27" s="1500" t="s">
        <v>251</v>
      </c>
      <c r="E27" s="1500"/>
      <c r="F27" s="2627"/>
      <c r="G27" s="2256"/>
      <c r="I27" s="2296"/>
      <c r="J27" s="2296"/>
      <c r="K27" s="486"/>
      <c r="L27" s="1415"/>
      <c r="M27" s="418" t="s">
        <v>491</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248</v>
      </c>
      <c r="B28" s="1500" t="s">
        <v>249</v>
      </c>
      <c r="C28" s="1500" t="s">
        <v>250</v>
      </c>
      <c r="D28" s="1500" t="s">
        <v>251</v>
      </c>
      <c r="E28" s="1500"/>
      <c r="F28" s="2627"/>
      <c r="I28" s="2296"/>
      <c r="J28" s="1428"/>
      <c r="K28" s="486"/>
      <c r="L28" s="1415"/>
      <c r="M28" s="417" t="s">
        <v>492</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248</v>
      </c>
      <c r="B29" s="1500" t="s">
        <v>249</v>
      </c>
      <c r="C29" s="1500" t="s">
        <v>250</v>
      </c>
      <c r="D29" s="1500" t="s">
        <v>251</v>
      </c>
      <c r="E29" s="1500"/>
      <c r="F29" s="1502"/>
      <c r="G29" s="1502"/>
      <c r="H29" s="667"/>
      <c r="I29" s="490"/>
      <c r="J29" s="505"/>
      <c r="K29" s="485"/>
      <c r="L29" s="1415"/>
      <c r="M29" s="495" t="s">
        <v>493</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248</v>
      </c>
      <c r="B30" s="1500" t="s">
        <v>249</v>
      </c>
      <c r="C30" s="1500" t="s">
        <v>250</v>
      </c>
      <c r="D30" s="1500"/>
      <c r="E30" s="1500" t="s">
        <v>669</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248</v>
      </c>
      <c r="B31" s="1500" t="s">
        <v>249</v>
      </c>
      <c r="C31" s="1500"/>
      <c r="D31" s="1500"/>
      <c r="E31" s="1500" t="s">
        <v>2258</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2259</v>
      </c>
      <c r="B32" s="1500"/>
      <c r="C32" s="1500"/>
      <c r="D32" s="1500"/>
      <c r="E32" s="1500" t="s">
        <v>160</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3600" customFormat="1" customHeight="1" ht="11.25">
      <c r="A33" s="1500"/>
      <c r="B33" s="1500"/>
      <c r="C33" s="1500"/>
      <c r="D33" s="1500"/>
      <c r="E33" s="1500" t="s">
        <v>528</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814</v>
      </c>
      <c r="M35" s="2324" t="s">
        <v>2260</v>
      </c>
      <c r="N35" s="2324"/>
      <c r="O35" s="2324"/>
      <c r="P35" s="2324"/>
      <c r="Q35" s="2324"/>
      <c r="R35" s="2324"/>
      <c r="S35" s="2324"/>
      <c r="T35" s="2324"/>
      <c r="U35" s="2324"/>
      <c r="V35" s="2324"/>
      <c r="W35" s="2324"/>
      <c r="X35" s="2324"/>
    </row>
    <row customHeight="1" ht="104.25">
      <c r="H36" s="667"/>
      <c r="I36" s="1440"/>
      <c r="M36" s="2324" t="s">
        <v>2261</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D8F02-AF22-D289-4361-A58C74174D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3C791-DBAB-473F-8F08-C287C6C505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BAF67-8EE2-B3EC-BA66-3E028D461E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432B9-A75C-2137-CAF7-3CF7C70595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D7102-3052-9E54-04A2-712BEBC08F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E40C2-71CA-58CE-6585-5AE413F0AB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3E512-2D96-6AAC-FE4B-C73974E89C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3393E-9C34-59B2-E42D-9A7734F9CA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12F51-3C59-AD24-EAFE-664FE9BFF7B9}" mc:Ignorable="x14ac xr xr2 xr3">
  <dimension ref="A1:E8"/>
  <sheetViews>
    <sheetView topLeftCell="A1" showGridLines="0" workbookViewId="0">
      <selection activeCell="A1" sqref="A1"/>
    </sheetView>
  </sheetViews>
  <sheetFormatPr customHeight="1" defaultRowHeight="11.25"/>
  <cols>
    <col min="1" max="1" style="13624" width="10.57421875" customWidth="1"/>
    <col min="2" max="2" style="13624" width="8.7109375" customWidth="1"/>
    <col min="3" max="3" style="13624" width="18.140625" customWidth="1"/>
    <col min="4" max="4" style="13624" width="12.57421875" customWidth="1"/>
  </cols>
  <sheetData>
    <row customHeight="1" ht="11.25">
      <c r="A1" s="883" t="s">
        <v>2262</v>
      </c>
      <c r="B1" s="894" t="s">
        <v>2263</v>
      </c>
      <c r="C1" s="2632" t="s">
        <v>2264</v>
      </c>
      <c r="D1" s="2633"/>
      <c r="E1" s="966" t="s">
        <v>2265</v>
      </c>
    </row>
    <row customHeight="1" ht="11.25">
      <c r="A2" s="887"/>
      <c r="B2" s="895" t="s">
        <v>23</v>
      </c>
      <c r="C2" s="883"/>
      <c r="D2" s="894"/>
      <c r="E2" s="966"/>
    </row>
    <row customHeight="1" ht="11.25">
      <c r="A3" s="898"/>
      <c r="B3" s="896" t="s">
        <v>29</v>
      </c>
      <c r="C3" s="883"/>
      <c r="D3" s="894"/>
      <c r="E3" s="966"/>
    </row>
    <row customHeight="1" ht="11.25">
      <c r="A4" s="899"/>
      <c r="B4" s="896" t="s">
        <v>1679</v>
      </c>
      <c r="C4" s="883"/>
      <c r="D4" s="894"/>
      <c r="E4" s="966"/>
    </row>
    <row customHeight="1" ht="11.25">
      <c r="A5" s="911"/>
      <c r="B5" s="896" t="s">
        <v>1673</v>
      </c>
      <c r="C5" s="886" t="s">
        <v>2021</v>
      </c>
      <c r="D5" s="1010" t="s">
        <v>2266</v>
      </c>
      <c r="E5" s="966"/>
    </row>
    <row s="13600" customFormat="1" customHeight="1" ht="11.25">
      <c r="A6" s="897"/>
      <c r="B6" s="896" t="s">
        <v>1683</v>
      </c>
      <c r="C6" s="883"/>
      <c r="D6" s="894"/>
      <c r="E6" s="966"/>
    </row>
    <row customHeight="1" ht="11.25">
      <c r="A7" s="885"/>
      <c r="B7" s="896" t="s">
        <v>1691</v>
      </c>
      <c r="C7" s="883"/>
      <c r="D7" s="894"/>
      <c r="E7" s="966"/>
    </row>
    <row customHeight="1" ht="11.25">
      <c r="A8" s="886"/>
      <c r="B8" s="896" t="s">
        <v>1686</v>
      </c>
      <c r="C8" s="883"/>
      <c r="D8" s="894"/>
      <c r="E8" s="96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0A4F7-6913-431E-DBAC-157F6A41F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2FBC4-A98B-8BCF-EC47-5B5375E4A4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BDD89-009C-B74C-CD32-8731A577A777}" mc:Ignorable="x14ac xr xr2 xr3">
  <sheetPr>
    <tabColor rgb="FFFFCC99"/>
  </sheetPr>
  <dimension ref="A1:I496"/>
  <sheetViews>
    <sheetView topLeftCell="A1" showGridLines="0" workbookViewId="0">
      <selection activeCell="A1" sqref="A1"/>
    </sheetView>
  </sheetViews>
  <sheetFormatPr defaultColWidth="9.140625" customHeight="1" defaultRowHeight="11.25"/>
  <cols>
    <col min="1" max="2" style="13627" width="9.140625"/>
    <col min="3" max="3" style="13627" width="20.7109375" customWidth="1"/>
    <col min="4" max="4" style="13627" width="25.140625" customWidth="1"/>
    <col min="5" max="9" style="13627" width="9.140625"/>
  </cols>
  <sheetData>
    <row customHeight="1" ht="11.25">
      <c r="A1" s="197" t="s">
        <v>2267</v>
      </c>
      <c r="B1" s="197" t="s">
        <v>2268</v>
      </c>
      <c r="C1" s="197" t="s">
        <v>2269</v>
      </c>
      <c r="D1" s="197" t="s">
        <v>2270</v>
      </c>
      <c r="E1" s="197" t="s">
        <v>2271</v>
      </c>
      <c r="F1" s="197" t="s">
        <v>2272</v>
      </c>
      <c r="G1" s="197" t="s">
        <v>2273</v>
      </c>
      <c r="H1" s="197" t="s">
        <v>2274</v>
      </c>
      <c r="I1" s="197" t="s">
        <v>2275</v>
      </c>
    </row>
    <row customHeight="1" ht="11.25">
      <c r="A2" s="7907" t="s">
        <v>2276</v>
      </c>
      <c r="B2" s="7907" t="s">
        <v>14</v>
      </c>
      <c r="C2" s="7907" t="s">
        <v>2277</v>
      </c>
      <c r="D2" s="7907" t="s">
        <v>2278</v>
      </c>
      <c r="E2" s="7907" t="s">
        <v>2279</v>
      </c>
      <c r="F2" s="7907" t="s">
        <v>2280</v>
      </c>
      <c r="G2" s="7907" t="s">
        <v>2281</v>
      </c>
      <c r="H2" s="7907" t="s">
        <v>18</v>
      </c>
      <c r="I2" s="7907" t="s">
        <v>818</v>
      </c>
    </row>
    <row customHeight="1" ht="11.25">
      <c r="A3" s="7907" t="s">
        <v>2276</v>
      </c>
      <c r="B3" s="7907" t="s">
        <v>14</v>
      </c>
      <c r="C3" s="7907" t="s">
        <v>2282</v>
      </c>
      <c r="D3" s="7907" t="s">
        <v>2283</v>
      </c>
      <c r="E3" s="7907" t="s">
        <v>2284</v>
      </c>
      <c r="F3" s="7907" t="s">
        <v>2285</v>
      </c>
      <c r="G3" s="7907" t="s">
        <v>18</v>
      </c>
      <c r="H3" s="7907" t="s">
        <v>18</v>
      </c>
      <c r="I3" s="7907" t="s">
        <v>818</v>
      </c>
    </row>
    <row customHeight="1" ht="11.25">
      <c r="A4" s="7907" t="s">
        <v>2276</v>
      </c>
      <c r="B4" s="7907" t="s">
        <v>14</v>
      </c>
      <c r="C4" s="7907" t="s">
        <v>2286</v>
      </c>
      <c r="D4" s="7907" t="s">
        <v>43</v>
      </c>
      <c r="E4" s="7907" t="s">
        <v>46</v>
      </c>
      <c r="F4" s="7907" t="s">
        <v>48</v>
      </c>
      <c r="G4" s="7907" t="s">
        <v>2287</v>
      </c>
      <c r="H4" s="7907" t="s">
        <v>18</v>
      </c>
      <c r="I4" s="7907" t="s">
        <v>818</v>
      </c>
    </row>
    <row customHeight="1" ht="11.25">
      <c r="A5" s="7907" t="s">
        <v>2276</v>
      </c>
      <c r="B5" s="7907" t="s">
        <v>14</v>
      </c>
      <c r="C5" s="7907" t="s">
        <v>2288</v>
      </c>
      <c r="D5" s="7907" t="s">
        <v>43</v>
      </c>
      <c r="E5" s="7907" t="s">
        <v>46</v>
      </c>
      <c r="F5" s="7907" t="s">
        <v>2289</v>
      </c>
      <c r="G5" s="7907" t="s">
        <v>2287</v>
      </c>
      <c r="H5" s="7907" t="s">
        <v>18</v>
      </c>
      <c r="I5" s="7907" t="s">
        <v>818</v>
      </c>
    </row>
    <row customHeight="1" ht="11.25">
      <c r="A6" s="7907" t="s">
        <v>2276</v>
      </c>
      <c r="B6" s="7907" t="s">
        <v>14</v>
      </c>
      <c r="C6" s="7907" t="s">
        <v>2290</v>
      </c>
      <c r="D6" s="7907" t="s">
        <v>2291</v>
      </c>
      <c r="E6" s="7907" t="s">
        <v>46</v>
      </c>
      <c r="F6" s="7907" t="s">
        <v>2292</v>
      </c>
      <c r="G6" s="7907" t="s">
        <v>18</v>
      </c>
      <c r="H6" s="7907" t="s">
        <v>18</v>
      </c>
      <c r="I6" s="7907" t="s">
        <v>818</v>
      </c>
    </row>
    <row customHeight="1" ht="11.25">
      <c r="A7" s="7907" t="s">
        <v>2276</v>
      </c>
      <c r="B7" s="7907" t="s">
        <v>14</v>
      </c>
      <c r="C7" s="7907" t="s">
        <v>2293</v>
      </c>
      <c r="D7" s="7907" t="s">
        <v>2294</v>
      </c>
      <c r="E7" s="7907" t="s">
        <v>46</v>
      </c>
      <c r="F7" s="7907" t="s">
        <v>2295</v>
      </c>
      <c r="G7" s="7907" t="s">
        <v>18</v>
      </c>
      <c r="H7" s="7907" t="s">
        <v>18</v>
      </c>
      <c r="I7" s="7907" t="s">
        <v>818</v>
      </c>
    </row>
    <row customHeight="1" ht="11.25">
      <c r="A8" s="7907" t="s">
        <v>2276</v>
      </c>
      <c r="B8" s="7907" t="s">
        <v>14</v>
      </c>
      <c r="C8" s="7907" t="s">
        <v>2296</v>
      </c>
      <c r="D8" s="7907" t="s">
        <v>2297</v>
      </c>
      <c r="E8" s="7907" t="s">
        <v>46</v>
      </c>
      <c r="F8" s="7907" t="s">
        <v>2298</v>
      </c>
      <c r="G8" s="7907" t="s">
        <v>18</v>
      </c>
      <c r="H8" s="7907" t="s">
        <v>18</v>
      </c>
      <c r="I8" s="7907" t="s">
        <v>818</v>
      </c>
    </row>
    <row customHeight="1" ht="11.25">
      <c r="A9" s="7907" t="s">
        <v>2276</v>
      </c>
      <c r="B9" s="7907" t="s">
        <v>14</v>
      </c>
      <c r="C9" s="7907" t="s">
        <v>2299</v>
      </c>
      <c r="D9" s="7907" t="s">
        <v>2300</v>
      </c>
      <c r="E9" s="7907" t="s">
        <v>46</v>
      </c>
      <c r="F9" s="7907" t="s">
        <v>2301</v>
      </c>
      <c r="G9" s="7907" t="s">
        <v>18</v>
      </c>
      <c r="H9" s="7907" t="s">
        <v>18</v>
      </c>
      <c r="I9" s="7907" t="s">
        <v>818</v>
      </c>
    </row>
    <row customHeight="1" ht="11.25">
      <c r="A10" s="7907" t="s">
        <v>2276</v>
      </c>
      <c r="B10" s="7907" t="s">
        <v>14</v>
      </c>
      <c r="C10" s="7907" t="s">
        <v>2302</v>
      </c>
      <c r="D10" s="7907" t="s">
        <v>2303</v>
      </c>
      <c r="E10" s="7907" t="s">
        <v>46</v>
      </c>
      <c r="F10" s="7907" t="s">
        <v>2304</v>
      </c>
      <c r="G10" s="7907" t="s">
        <v>18</v>
      </c>
      <c r="H10" s="7907" t="s">
        <v>18</v>
      </c>
      <c r="I10" s="7907" t="s">
        <v>818</v>
      </c>
    </row>
    <row customHeight="1" ht="11.25">
      <c r="A11" s="7907" t="s">
        <v>2276</v>
      </c>
      <c r="B11" s="7907" t="s">
        <v>14</v>
      </c>
      <c r="C11" s="7907" t="s">
        <v>2305</v>
      </c>
      <c r="D11" s="7907" t="s">
        <v>2306</v>
      </c>
      <c r="E11" s="7907" t="s">
        <v>46</v>
      </c>
      <c r="F11" s="7907" t="s">
        <v>2307</v>
      </c>
      <c r="G11" s="7907" t="s">
        <v>18</v>
      </c>
      <c r="H11" s="7907" t="s">
        <v>18</v>
      </c>
      <c r="I11" s="7907" t="s">
        <v>818</v>
      </c>
    </row>
    <row customHeight="1" ht="11.25">
      <c r="A12" s="7907" t="s">
        <v>2276</v>
      </c>
      <c r="B12" s="7907" t="s">
        <v>14</v>
      </c>
      <c r="C12" s="7907" t="s">
        <v>2308</v>
      </c>
      <c r="D12" s="7907" t="s">
        <v>2309</v>
      </c>
      <c r="E12" s="7907" t="s">
        <v>46</v>
      </c>
      <c r="F12" s="7907" t="s">
        <v>2310</v>
      </c>
      <c r="G12" s="7907" t="s">
        <v>18</v>
      </c>
      <c r="H12" s="7907" t="s">
        <v>18</v>
      </c>
      <c r="I12" s="7907" t="s">
        <v>818</v>
      </c>
    </row>
    <row customHeight="1" ht="11.25">
      <c r="A13" s="7907" t="s">
        <v>2276</v>
      </c>
      <c r="B13" s="7907" t="s">
        <v>14</v>
      </c>
      <c r="C13" s="7907" t="s">
        <v>2311</v>
      </c>
      <c r="D13" s="7907" t="s">
        <v>2312</v>
      </c>
      <c r="E13" s="7907" t="s">
        <v>46</v>
      </c>
      <c r="F13" s="7907" t="s">
        <v>2313</v>
      </c>
      <c r="G13" s="7907" t="s">
        <v>18</v>
      </c>
      <c r="H13" s="7907" t="s">
        <v>18</v>
      </c>
      <c r="I13" s="7907" t="s">
        <v>818</v>
      </c>
    </row>
    <row customHeight="1" ht="11.25">
      <c r="A14" s="7907" t="s">
        <v>2276</v>
      </c>
      <c r="B14" s="7907" t="s">
        <v>14</v>
      </c>
      <c r="C14" s="7907" t="s">
        <v>2314</v>
      </c>
      <c r="D14" s="7907" t="s">
        <v>2315</v>
      </c>
      <c r="E14" s="7907" t="s">
        <v>46</v>
      </c>
      <c r="F14" s="7907" t="s">
        <v>2316</v>
      </c>
      <c r="G14" s="7907" t="s">
        <v>18</v>
      </c>
      <c r="H14" s="7907" t="s">
        <v>18</v>
      </c>
      <c r="I14" s="7907" t="s">
        <v>818</v>
      </c>
    </row>
    <row customHeight="1" ht="11.25">
      <c r="A15" s="7907" t="s">
        <v>2276</v>
      </c>
      <c r="B15" s="7907" t="s">
        <v>14</v>
      </c>
      <c r="C15" s="7907" t="s">
        <v>2317</v>
      </c>
      <c r="D15" s="7907" t="s">
        <v>2318</v>
      </c>
      <c r="E15" s="7907" t="s">
        <v>46</v>
      </c>
      <c r="F15" s="7907" t="s">
        <v>2319</v>
      </c>
      <c r="G15" s="7907" t="s">
        <v>18</v>
      </c>
      <c r="H15" s="7907" t="s">
        <v>18</v>
      </c>
      <c r="I15" s="7907" t="s">
        <v>818</v>
      </c>
    </row>
    <row customHeight="1" ht="11.25">
      <c r="A16" s="7907" t="s">
        <v>2276</v>
      </c>
      <c r="B16" s="7907" t="s">
        <v>14</v>
      </c>
      <c r="C16" s="7907" t="s">
        <v>2320</v>
      </c>
      <c r="D16" s="7907" t="s">
        <v>2321</v>
      </c>
      <c r="E16" s="7907" t="s">
        <v>46</v>
      </c>
      <c r="F16" s="7907" t="s">
        <v>2322</v>
      </c>
      <c r="G16" s="7907" t="s">
        <v>18</v>
      </c>
      <c r="H16" s="7907" t="s">
        <v>18</v>
      </c>
      <c r="I16" s="7907" t="s">
        <v>818</v>
      </c>
    </row>
    <row customHeight="1" ht="11.25">
      <c r="A17" s="7907" t="s">
        <v>2276</v>
      </c>
      <c r="B17" s="7907" t="s">
        <v>14</v>
      </c>
      <c r="C17" s="7907" t="s">
        <v>2323</v>
      </c>
      <c r="D17" s="7907" t="s">
        <v>2324</v>
      </c>
      <c r="E17" s="7907" t="s">
        <v>2325</v>
      </c>
      <c r="F17" s="7907" t="s">
        <v>2285</v>
      </c>
      <c r="G17" s="7907" t="s">
        <v>18</v>
      </c>
      <c r="H17" s="7907" t="s">
        <v>18</v>
      </c>
      <c r="I17" s="7907" t="s">
        <v>818</v>
      </c>
    </row>
    <row customHeight="1" ht="11.25">
      <c r="A18" s="7907" t="s">
        <v>2276</v>
      </c>
      <c r="B18" s="7907" t="s">
        <v>14</v>
      </c>
      <c r="C18" s="7907" t="s">
        <v>2326</v>
      </c>
      <c r="D18" s="7907" t="s">
        <v>2327</v>
      </c>
      <c r="E18" s="7907" t="s">
        <v>2328</v>
      </c>
      <c r="F18" s="7907" t="s">
        <v>2329</v>
      </c>
      <c r="G18" s="7907" t="s">
        <v>2330</v>
      </c>
      <c r="H18" s="7907" t="s">
        <v>18</v>
      </c>
      <c r="I18" s="7907" t="s">
        <v>818</v>
      </c>
    </row>
    <row customHeight="1" ht="11.25">
      <c r="A19" s="7907" t="s">
        <v>2276</v>
      </c>
      <c r="B19" s="7907" t="s">
        <v>14</v>
      </c>
      <c r="C19" s="7907" t="s">
        <v>2331</v>
      </c>
      <c r="D19" s="7907" t="s">
        <v>2332</v>
      </c>
      <c r="E19" s="7907" t="s">
        <v>2333</v>
      </c>
      <c r="F19" s="7907" t="s">
        <v>2329</v>
      </c>
      <c r="G19" s="7907" t="s">
        <v>2334</v>
      </c>
      <c r="H19" s="7907" t="s">
        <v>18</v>
      </c>
      <c r="I19" s="7907" t="s">
        <v>818</v>
      </c>
    </row>
    <row customHeight="1" ht="11.25">
      <c r="A20" s="7907" t="s">
        <v>2276</v>
      </c>
      <c r="B20" s="7907" t="s">
        <v>14</v>
      </c>
      <c r="C20" s="7907" t="s">
        <v>2335</v>
      </c>
      <c r="D20" s="7907" t="s">
        <v>2336</v>
      </c>
      <c r="E20" s="7907" t="s">
        <v>2337</v>
      </c>
      <c r="F20" s="7907" t="s">
        <v>2338</v>
      </c>
      <c r="G20" s="7907" t="s">
        <v>18</v>
      </c>
      <c r="H20" s="7907" t="s">
        <v>18</v>
      </c>
      <c r="I20" s="7907" t="s">
        <v>818</v>
      </c>
    </row>
    <row customHeight="1" ht="11.25">
      <c r="A21" s="7907" t="s">
        <v>2276</v>
      </c>
      <c r="B21" s="7907" t="s">
        <v>14</v>
      </c>
      <c r="C21" s="7907" t="s">
        <v>2339</v>
      </c>
      <c r="D21" s="7907" t="s">
        <v>2340</v>
      </c>
      <c r="E21" s="7907" t="s">
        <v>2341</v>
      </c>
      <c r="F21" s="7907" t="s">
        <v>2342</v>
      </c>
      <c r="G21" s="7907" t="s">
        <v>18</v>
      </c>
      <c r="H21" s="7907" t="s">
        <v>18</v>
      </c>
      <c r="I21" s="7907" t="s">
        <v>818</v>
      </c>
    </row>
    <row customHeight="1" ht="11.25">
      <c r="A22" s="7907" t="s">
        <v>2276</v>
      </c>
      <c r="B22" s="7907" t="s">
        <v>14</v>
      </c>
      <c r="C22" s="7907" t="s">
        <v>2343</v>
      </c>
      <c r="D22" s="7907" t="s">
        <v>2344</v>
      </c>
      <c r="E22" s="7907" t="s">
        <v>2345</v>
      </c>
      <c r="F22" s="7907" t="s">
        <v>2329</v>
      </c>
      <c r="G22" s="7907" t="s">
        <v>18</v>
      </c>
      <c r="H22" s="7907" t="s">
        <v>18</v>
      </c>
      <c r="I22" s="7907" t="s">
        <v>818</v>
      </c>
    </row>
    <row customHeight="1" ht="11.25">
      <c r="A23" s="7907" t="s">
        <v>2276</v>
      </c>
      <c r="B23" s="7907" t="s">
        <v>14</v>
      </c>
      <c r="C23" s="7907" t="s">
        <v>2346</v>
      </c>
      <c r="D23" s="7907" t="s">
        <v>2347</v>
      </c>
      <c r="E23" s="7907" t="s">
        <v>2348</v>
      </c>
      <c r="F23" s="7907" t="s">
        <v>48</v>
      </c>
      <c r="G23" s="7907" t="s">
        <v>2349</v>
      </c>
      <c r="H23" s="7907" t="s">
        <v>18</v>
      </c>
      <c r="I23" s="7907" t="s">
        <v>818</v>
      </c>
    </row>
    <row customHeight="1" ht="11.25">
      <c r="A24" s="7907" t="s">
        <v>2276</v>
      </c>
      <c r="B24" s="7907" t="s">
        <v>14</v>
      </c>
      <c r="C24" s="7907" t="s">
        <v>2350</v>
      </c>
      <c r="D24" s="7907" t="s">
        <v>2351</v>
      </c>
      <c r="E24" s="7907" t="s">
        <v>2352</v>
      </c>
      <c r="F24" s="7907" t="s">
        <v>2353</v>
      </c>
      <c r="G24" s="7907" t="s">
        <v>18</v>
      </c>
      <c r="H24" s="7907" t="s">
        <v>18</v>
      </c>
      <c r="I24" s="7907" t="s">
        <v>818</v>
      </c>
    </row>
    <row customHeight="1" ht="11.25">
      <c r="A25" s="7907" t="s">
        <v>2276</v>
      </c>
      <c r="B25" s="7907" t="s">
        <v>14</v>
      </c>
      <c r="C25" s="7907" t="s">
        <v>2354</v>
      </c>
      <c r="D25" s="7907" t="s">
        <v>2355</v>
      </c>
      <c r="E25" s="7907" t="s">
        <v>2356</v>
      </c>
      <c r="F25" s="7907" t="s">
        <v>2353</v>
      </c>
      <c r="G25" s="7907" t="s">
        <v>18</v>
      </c>
      <c r="H25" s="7907" t="s">
        <v>18</v>
      </c>
      <c r="I25" s="7907" t="s">
        <v>818</v>
      </c>
    </row>
    <row customHeight="1" ht="11.25">
      <c r="A26" s="7907" t="s">
        <v>2276</v>
      </c>
      <c r="B26" s="7907" t="s">
        <v>14</v>
      </c>
      <c r="C26" s="7907" t="s">
        <v>2357</v>
      </c>
      <c r="D26" s="7907" t="s">
        <v>2358</v>
      </c>
      <c r="E26" s="7907" t="s">
        <v>2359</v>
      </c>
      <c r="F26" s="7907" t="s">
        <v>2353</v>
      </c>
      <c r="G26" s="7907" t="s">
        <v>18</v>
      </c>
      <c r="H26" s="7907" t="s">
        <v>18</v>
      </c>
      <c r="I26" s="7907" t="s">
        <v>818</v>
      </c>
    </row>
    <row customHeight="1" ht="11.25">
      <c r="A27" s="7907" t="s">
        <v>2276</v>
      </c>
      <c r="B27" s="7907" t="s">
        <v>14</v>
      </c>
      <c r="C27" s="7907" t="s">
        <v>2360</v>
      </c>
      <c r="D27" s="7907" t="s">
        <v>2361</v>
      </c>
      <c r="E27" s="7907" t="s">
        <v>2341</v>
      </c>
      <c r="F27" s="7907" t="s">
        <v>2362</v>
      </c>
      <c r="G27" s="7907" t="s">
        <v>18</v>
      </c>
      <c r="H27" s="7907" t="s">
        <v>18</v>
      </c>
      <c r="I27" s="7907" t="s">
        <v>818</v>
      </c>
    </row>
    <row customHeight="1" ht="11.25">
      <c r="A28" s="7907" t="s">
        <v>2276</v>
      </c>
      <c r="B28" s="7907" t="s">
        <v>14</v>
      </c>
      <c r="C28" s="7907" t="s">
        <v>2363</v>
      </c>
      <c r="D28" s="7907" t="s">
        <v>2364</v>
      </c>
      <c r="E28" s="7907" t="s">
        <v>2365</v>
      </c>
      <c r="F28" s="7907" t="s">
        <v>2366</v>
      </c>
      <c r="G28" s="7907" t="s">
        <v>18</v>
      </c>
      <c r="H28" s="7907" t="s">
        <v>18</v>
      </c>
      <c r="I28" s="7907" t="s">
        <v>818</v>
      </c>
    </row>
    <row customHeight="1" ht="11.25">
      <c r="A29" s="7907" t="s">
        <v>2276</v>
      </c>
      <c r="B29" s="7907" t="s">
        <v>14</v>
      </c>
      <c r="C29" s="7907" t="s">
        <v>2367</v>
      </c>
      <c r="D29" s="7907" t="s">
        <v>2368</v>
      </c>
      <c r="E29" s="7907" t="s">
        <v>2369</v>
      </c>
      <c r="F29" s="7907" t="s">
        <v>2370</v>
      </c>
      <c r="G29" s="7907" t="s">
        <v>18</v>
      </c>
      <c r="H29" s="7907" t="s">
        <v>18</v>
      </c>
      <c r="I29" s="7907" t="s">
        <v>818</v>
      </c>
    </row>
    <row customHeight="1" ht="11.25">
      <c r="A30" s="7907" t="s">
        <v>2276</v>
      </c>
      <c r="B30" s="7907" t="s">
        <v>14</v>
      </c>
      <c r="C30" s="7907" t="s">
        <v>2371</v>
      </c>
      <c r="D30" s="7907" t="s">
        <v>2372</v>
      </c>
      <c r="E30" s="7907" t="s">
        <v>2373</v>
      </c>
      <c r="F30" s="7907" t="s">
        <v>2374</v>
      </c>
      <c r="G30" s="7907" t="s">
        <v>18</v>
      </c>
      <c r="H30" s="7907" t="s">
        <v>18</v>
      </c>
      <c r="I30" s="7907" t="s">
        <v>818</v>
      </c>
    </row>
    <row customHeight="1" ht="11.25">
      <c r="A31" s="7907" t="s">
        <v>2276</v>
      </c>
      <c r="B31" s="7907" t="s">
        <v>14</v>
      </c>
      <c r="C31" s="7907" t="s">
        <v>2375</v>
      </c>
      <c r="D31" s="7907" t="s">
        <v>2376</v>
      </c>
      <c r="E31" s="7907" t="s">
        <v>2377</v>
      </c>
      <c r="F31" s="7907" t="s">
        <v>2378</v>
      </c>
      <c r="G31" s="7907" t="s">
        <v>18</v>
      </c>
      <c r="H31" s="7907" t="s">
        <v>18</v>
      </c>
      <c r="I31" s="7907" t="s">
        <v>818</v>
      </c>
    </row>
    <row customHeight="1" ht="11.25">
      <c r="A32" s="7907" t="s">
        <v>2276</v>
      </c>
      <c r="B32" s="7907" t="s">
        <v>14</v>
      </c>
      <c r="C32" s="7907" t="s">
        <v>2379</v>
      </c>
      <c r="D32" s="7907" t="s">
        <v>2380</v>
      </c>
      <c r="E32" s="7907" t="s">
        <v>2373</v>
      </c>
      <c r="F32" s="7907" t="s">
        <v>2381</v>
      </c>
      <c r="G32" s="7907" t="s">
        <v>18</v>
      </c>
      <c r="H32" s="7907" t="s">
        <v>18</v>
      </c>
      <c r="I32" s="7907" t="s">
        <v>818</v>
      </c>
    </row>
    <row customHeight="1" ht="11.25">
      <c r="A33" s="7907" t="s">
        <v>2276</v>
      </c>
      <c r="B33" s="7907" t="s">
        <v>14</v>
      </c>
      <c r="C33" s="7907" t="s">
        <v>2382</v>
      </c>
      <c r="D33" s="7907" t="s">
        <v>2383</v>
      </c>
      <c r="E33" s="7907" t="s">
        <v>2384</v>
      </c>
      <c r="F33" s="7907" t="s">
        <v>48</v>
      </c>
      <c r="G33" s="7907" t="s">
        <v>2385</v>
      </c>
      <c r="H33" s="7907" t="s">
        <v>18</v>
      </c>
      <c r="I33" s="7907" t="s">
        <v>818</v>
      </c>
    </row>
    <row customHeight="1" ht="11.25">
      <c r="A34" s="7907" t="s">
        <v>2276</v>
      </c>
      <c r="B34" s="7907" t="s">
        <v>14</v>
      </c>
      <c r="C34" s="7907" t="s">
        <v>18</v>
      </c>
      <c r="D34" s="7907" t="s">
        <v>2386</v>
      </c>
      <c r="E34" s="7907" t="s">
        <v>2387</v>
      </c>
      <c r="F34" s="7907" t="s">
        <v>48</v>
      </c>
      <c r="G34" s="7907" t="s">
        <v>18</v>
      </c>
      <c r="H34" s="7907" t="s">
        <v>18</v>
      </c>
      <c r="I34" s="7907" t="s">
        <v>818</v>
      </c>
    </row>
    <row customHeight="1" ht="11.25">
      <c r="A35" s="7907" t="s">
        <v>2276</v>
      </c>
      <c r="B35" s="7907" t="s">
        <v>14</v>
      </c>
      <c r="C35" s="7907" t="s">
        <v>2388</v>
      </c>
      <c r="D35" s="7907" t="s">
        <v>2389</v>
      </c>
      <c r="E35" s="7907" t="s">
        <v>2390</v>
      </c>
      <c r="F35" s="7907" t="s">
        <v>2391</v>
      </c>
      <c r="G35" s="7907" t="s">
        <v>2392</v>
      </c>
      <c r="H35" s="7907" t="s">
        <v>18</v>
      </c>
      <c r="I35" s="7907" t="s">
        <v>818</v>
      </c>
    </row>
    <row customHeight="1" ht="11.25">
      <c r="A36" s="7907" t="s">
        <v>2276</v>
      </c>
      <c r="B36" s="7907" t="s">
        <v>14</v>
      </c>
      <c r="C36" s="7907" t="s">
        <v>2393</v>
      </c>
      <c r="D36" s="7907" t="s">
        <v>2394</v>
      </c>
      <c r="E36" s="7907" t="s">
        <v>2395</v>
      </c>
      <c r="F36" s="7907" t="s">
        <v>2391</v>
      </c>
      <c r="G36" s="7907" t="s">
        <v>18</v>
      </c>
      <c r="H36" s="7907" t="s">
        <v>18</v>
      </c>
      <c r="I36" s="7907" t="s">
        <v>818</v>
      </c>
    </row>
    <row customHeight="1" ht="11.25">
      <c r="A37" s="7907" t="s">
        <v>2276</v>
      </c>
      <c r="B37" s="7907" t="s">
        <v>14</v>
      </c>
      <c r="C37" s="7907" t="s">
        <v>2396</v>
      </c>
      <c r="D37" s="7907" t="s">
        <v>2397</v>
      </c>
      <c r="E37" s="7907" t="s">
        <v>2398</v>
      </c>
      <c r="F37" s="7907" t="s">
        <v>2399</v>
      </c>
      <c r="G37" s="7907" t="s">
        <v>18</v>
      </c>
      <c r="H37" s="7907" t="s">
        <v>18</v>
      </c>
      <c r="I37" s="7907" t="s">
        <v>818</v>
      </c>
    </row>
    <row customHeight="1" ht="11.25">
      <c r="A38" s="7907" t="s">
        <v>2276</v>
      </c>
      <c r="B38" s="7907" t="s">
        <v>14</v>
      </c>
      <c r="C38" s="7907" t="s">
        <v>2400</v>
      </c>
      <c r="D38" s="7907" t="s">
        <v>2401</v>
      </c>
      <c r="E38" s="7907" t="s">
        <v>2402</v>
      </c>
      <c r="F38" s="7907" t="s">
        <v>2403</v>
      </c>
      <c r="G38" s="7907" t="s">
        <v>2404</v>
      </c>
      <c r="H38" s="7907" t="s">
        <v>18</v>
      </c>
      <c r="I38" s="7907" t="s">
        <v>818</v>
      </c>
    </row>
    <row customHeight="1" ht="11.25">
      <c r="A39" s="7907" t="s">
        <v>2276</v>
      </c>
      <c r="B39" s="7907" t="s">
        <v>14</v>
      </c>
      <c r="C39" s="7907" t="s">
        <v>2405</v>
      </c>
      <c r="D39" s="7907" t="s">
        <v>2406</v>
      </c>
      <c r="E39" s="7907" t="s">
        <v>2407</v>
      </c>
      <c r="F39" s="7907" t="s">
        <v>2408</v>
      </c>
      <c r="G39" s="7907" t="s">
        <v>18</v>
      </c>
      <c r="H39" s="7907" t="s">
        <v>18</v>
      </c>
      <c r="I39" s="7907" t="s">
        <v>818</v>
      </c>
    </row>
    <row customHeight="1" ht="11.25">
      <c r="A40" s="7907" t="s">
        <v>2276</v>
      </c>
      <c r="B40" s="7907" t="s">
        <v>14</v>
      </c>
      <c r="C40" s="7907" t="s">
        <v>2409</v>
      </c>
      <c r="D40" s="7907" t="s">
        <v>2410</v>
      </c>
      <c r="E40" s="7907" t="s">
        <v>2411</v>
      </c>
      <c r="F40" s="7907" t="s">
        <v>2412</v>
      </c>
      <c r="G40" s="7907" t="s">
        <v>2413</v>
      </c>
      <c r="H40" s="7907" t="s">
        <v>18</v>
      </c>
      <c r="I40" s="7907" t="s">
        <v>818</v>
      </c>
    </row>
    <row customHeight="1" ht="11.25">
      <c r="A41" s="7907" t="s">
        <v>2276</v>
      </c>
      <c r="B41" s="7907" t="s">
        <v>14</v>
      </c>
      <c r="C41" s="7907" t="s">
        <v>2414</v>
      </c>
      <c r="D41" s="7907" t="s">
        <v>2415</v>
      </c>
      <c r="E41" s="7907" t="s">
        <v>2416</v>
      </c>
      <c r="F41" s="7907" t="s">
        <v>2338</v>
      </c>
      <c r="G41" s="7907" t="s">
        <v>18</v>
      </c>
      <c r="H41" s="7907" t="s">
        <v>18</v>
      </c>
      <c r="I41" s="7907" t="s">
        <v>818</v>
      </c>
    </row>
    <row customHeight="1" ht="11.25">
      <c r="A42" s="7907" t="s">
        <v>2276</v>
      </c>
      <c r="B42" s="7907" t="s">
        <v>14</v>
      </c>
      <c r="C42" s="7907" t="s">
        <v>2417</v>
      </c>
      <c r="D42" s="7907" t="s">
        <v>2415</v>
      </c>
      <c r="E42" s="7907" t="s">
        <v>2418</v>
      </c>
      <c r="F42" s="7907" t="s">
        <v>2370</v>
      </c>
      <c r="G42" s="7907" t="s">
        <v>2419</v>
      </c>
      <c r="H42" s="7907" t="s">
        <v>18</v>
      </c>
      <c r="I42" s="7907" t="s">
        <v>818</v>
      </c>
    </row>
    <row customHeight="1" ht="11.25">
      <c r="A43" s="7907" t="s">
        <v>2276</v>
      </c>
      <c r="B43" s="7907" t="s">
        <v>14</v>
      </c>
      <c r="C43" s="7907" t="s">
        <v>2420</v>
      </c>
      <c r="D43" s="7907" t="s">
        <v>2421</v>
      </c>
      <c r="E43" s="7907" t="s">
        <v>2422</v>
      </c>
      <c r="F43" s="7907" t="s">
        <v>2423</v>
      </c>
      <c r="G43" s="7907" t="s">
        <v>18</v>
      </c>
      <c r="H43" s="7907" t="s">
        <v>18</v>
      </c>
      <c r="I43" s="7907" t="s">
        <v>818</v>
      </c>
    </row>
    <row customHeight="1" ht="11.25">
      <c r="A44" s="7907" t="s">
        <v>2276</v>
      </c>
      <c r="B44" s="7907" t="s">
        <v>14</v>
      </c>
      <c r="C44" s="7907" t="s">
        <v>2424</v>
      </c>
      <c r="D44" s="7907" t="s">
        <v>2425</v>
      </c>
      <c r="E44" s="7907" t="s">
        <v>2426</v>
      </c>
      <c r="F44" s="7907" t="s">
        <v>2366</v>
      </c>
      <c r="G44" s="7907" t="s">
        <v>2427</v>
      </c>
      <c r="H44" s="7907" t="s">
        <v>18</v>
      </c>
      <c r="I44" s="7907" t="s">
        <v>818</v>
      </c>
    </row>
    <row customHeight="1" ht="11.25">
      <c r="A45" s="7907" t="s">
        <v>2276</v>
      </c>
      <c r="B45" s="7907" t="s">
        <v>14</v>
      </c>
      <c r="C45" s="7907" t="s">
        <v>2428</v>
      </c>
      <c r="D45" s="7907" t="s">
        <v>2429</v>
      </c>
      <c r="E45" s="7907" t="s">
        <v>2430</v>
      </c>
      <c r="F45" s="7907" t="s">
        <v>2412</v>
      </c>
      <c r="G45" s="7907" t="s">
        <v>18</v>
      </c>
      <c r="H45" s="7907" t="s">
        <v>18</v>
      </c>
      <c r="I45" s="7907" t="s">
        <v>818</v>
      </c>
    </row>
    <row customHeight="1" ht="11.25">
      <c r="A46" s="7907" t="s">
        <v>2276</v>
      </c>
      <c r="B46" s="7907" t="s">
        <v>14</v>
      </c>
      <c r="C46" s="7907" t="s">
        <v>2431</v>
      </c>
      <c r="D46" s="7907" t="s">
        <v>2432</v>
      </c>
      <c r="E46" s="7907" t="s">
        <v>2433</v>
      </c>
      <c r="F46" s="7907" t="s">
        <v>2434</v>
      </c>
      <c r="G46" s="7907" t="s">
        <v>18</v>
      </c>
      <c r="H46" s="7907" t="s">
        <v>18</v>
      </c>
      <c r="I46" s="7907" t="s">
        <v>818</v>
      </c>
    </row>
    <row customHeight="1" ht="11.25">
      <c r="A47" s="7907" t="s">
        <v>2276</v>
      </c>
      <c r="B47" s="7907" t="s">
        <v>14</v>
      </c>
      <c r="C47" s="7907" t="s">
        <v>2435</v>
      </c>
      <c r="D47" s="7907" t="s">
        <v>2436</v>
      </c>
      <c r="E47" s="7907" t="s">
        <v>2437</v>
      </c>
      <c r="F47" s="7907" t="s">
        <v>2391</v>
      </c>
      <c r="G47" s="7907" t="s">
        <v>18</v>
      </c>
      <c r="H47" s="7907" t="s">
        <v>18</v>
      </c>
      <c r="I47" s="7907" t="s">
        <v>818</v>
      </c>
    </row>
    <row customHeight="1" ht="11.25">
      <c r="A48" s="7907" t="s">
        <v>2276</v>
      </c>
      <c r="B48" s="7907" t="s">
        <v>14</v>
      </c>
      <c r="C48" s="7907" t="s">
        <v>2438</v>
      </c>
      <c r="D48" s="7907" t="s">
        <v>2439</v>
      </c>
      <c r="E48" s="7907" t="s">
        <v>2440</v>
      </c>
      <c r="F48" s="7907" t="s">
        <v>2441</v>
      </c>
      <c r="G48" s="7907" t="s">
        <v>18</v>
      </c>
      <c r="H48" s="7907" t="s">
        <v>18</v>
      </c>
      <c r="I48" s="7907" t="s">
        <v>818</v>
      </c>
    </row>
    <row customHeight="1" ht="11.25">
      <c r="A49" s="7907" t="s">
        <v>2276</v>
      </c>
      <c r="B49" s="7907" t="s">
        <v>14</v>
      </c>
      <c r="C49" s="7907" t="s">
        <v>2442</v>
      </c>
      <c r="D49" s="7907" t="s">
        <v>2443</v>
      </c>
      <c r="E49" s="7907" t="s">
        <v>2444</v>
      </c>
      <c r="F49" s="7907" t="s">
        <v>2423</v>
      </c>
      <c r="G49" s="7907" t="s">
        <v>2445</v>
      </c>
      <c r="H49" s="7907" t="s">
        <v>18</v>
      </c>
      <c r="I49" s="7907" t="s">
        <v>818</v>
      </c>
    </row>
    <row customHeight="1" ht="11.25">
      <c r="A50" s="7907" t="s">
        <v>2276</v>
      </c>
      <c r="B50" s="7907" t="s">
        <v>14</v>
      </c>
      <c r="C50" s="7907" t="s">
        <v>2446</v>
      </c>
      <c r="D50" s="7907" t="s">
        <v>2447</v>
      </c>
      <c r="E50" s="7907" t="s">
        <v>2448</v>
      </c>
      <c r="F50" s="7907" t="s">
        <v>2449</v>
      </c>
      <c r="G50" s="7907" t="s">
        <v>18</v>
      </c>
      <c r="H50" s="7907" t="s">
        <v>18</v>
      </c>
      <c r="I50" s="7907" t="s">
        <v>818</v>
      </c>
    </row>
    <row customHeight="1" ht="11.25">
      <c r="A51" s="7907" t="s">
        <v>2276</v>
      </c>
      <c r="B51" s="7907" t="s">
        <v>14</v>
      </c>
      <c r="C51" s="7907" t="s">
        <v>2450</v>
      </c>
      <c r="D51" s="7907" t="s">
        <v>2451</v>
      </c>
      <c r="E51" s="7907" t="s">
        <v>2452</v>
      </c>
      <c r="F51" s="7907" t="s">
        <v>2449</v>
      </c>
      <c r="G51" s="7907" t="s">
        <v>2453</v>
      </c>
      <c r="H51" s="7907" t="s">
        <v>18</v>
      </c>
      <c r="I51" s="7907" t="s">
        <v>818</v>
      </c>
    </row>
    <row customHeight="1" ht="11.25">
      <c r="A52" s="7907" t="s">
        <v>2276</v>
      </c>
      <c r="B52" s="7907" t="s">
        <v>14</v>
      </c>
      <c r="C52" s="7907" t="s">
        <v>2454</v>
      </c>
      <c r="D52" s="7907" t="s">
        <v>2455</v>
      </c>
      <c r="E52" s="7907" t="s">
        <v>2456</v>
      </c>
      <c r="F52" s="7907" t="s">
        <v>2423</v>
      </c>
      <c r="G52" s="7907" t="s">
        <v>18</v>
      </c>
      <c r="H52" s="7907" t="s">
        <v>18</v>
      </c>
      <c r="I52" s="7907" t="s">
        <v>818</v>
      </c>
    </row>
    <row customHeight="1" ht="11.25">
      <c r="A53" s="7907" t="s">
        <v>2276</v>
      </c>
      <c r="B53" s="7907" t="s">
        <v>14</v>
      </c>
      <c r="C53" s="7907" t="s">
        <v>2457</v>
      </c>
      <c r="D53" s="7907" t="s">
        <v>2458</v>
      </c>
      <c r="E53" s="7907" t="s">
        <v>2459</v>
      </c>
      <c r="F53" s="7907" t="s">
        <v>2460</v>
      </c>
      <c r="G53" s="7907" t="s">
        <v>2461</v>
      </c>
      <c r="H53" s="7907" t="s">
        <v>18</v>
      </c>
      <c r="I53" s="7907" t="s">
        <v>818</v>
      </c>
    </row>
    <row customHeight="1" ht="11.25">
      <c r="A54" s="7907" t="s">
        <v>2276</v>
      </c>
      <c r="B54" s="7907" t="s">
        <v>14</v>
      </c>
      <c r="C54" s="7907" t="s">
        <v>2462</v>
      </c>
      <c r="D54" s="7907" t="s">
        <v>2463</v>
      </c>
      <c r="E54" s="7907" t="s">
        <v>2464</v>
      </c>
      <c r="F54" s="7907" t="s">
        <v>2460</v>
      </c>
      <c r="G54" s="7907" t="s">
        <v>2465</v>
      </c>
      <c r="H54" s="7907" t="s">
        <v>18</v>
      </c>
      <c r="I54" s="7907" t="s">
        <v>818</v>
      </c>
    </row>
    <row customHeight="1" ht="11.25">
      <c r="A55" s="7907" t="s">
        <v>2276</v>
      </c>
      <c r="B55" s="7907" t="s">
        <v>14</v>
      </c>
      <c r="C55" s="7907" t="s">
        <v>2466</v>
      </c>
      <c r="D55" s="7907" t="s">
        <v>2467</v>
      </c>
      <c r="E55" s="7907" t="s">
        <v>2468</v>
      </c>
      <c r="F55" s="7907" t="s">
        <v>2469</v>
      </c>
      <c r="G55" s="7907" t="s">
        <v>18</v>
      </c>
      <c r="H55" s="7907" t="s">
        <v>18</v>
      </c>
      <c r="I55" s="7907" t="s">
        <v>818</v>
      </c>
    </row>
    <row customHeight="1" ht="11.25">
      <c r="A56" s="7907" t="s">
        <v>2276</v>
      </c>
      <c r="B56" s="7907" t="s">
        <v>14</v>
      </c>
      <c r="C56" s="7907" t="s">
        <v>2470</v>
      </c>
      <c r="D56" s="7907" t="s">
        <v>2471</v>
      </c>
      <c r="E56" s="7907" t="s">
        <v>2472</v>
      </c>
      <c r="F56" s="7907" t="s">
        <v>2460</v>
      </c>
      <c r="G56" s="7907" t="s">
        <v>2473</v>
      </c>
      <c r="H56" s="7907" t="s">
        <v>18</v>
      </c>
      <c r="I56" s="7907" t="s">
        <v>818</v>
      </c>
    </row>
    <row customHeight="1" ht="11.25">
      <c r="A57" s="7907" t="s">
        <v>2276</v>
      </c>
      <c r="B57" s="7907" t="s">
        <v>14</v>
      </c>
      <c r="C57" s="7907" t="s">
        <v>2474</v>
      </c>
      <c r="D57" s="7907" t="s">
        <v>2475</v>
      </c>
      <c r="E57" s="7907" t="s">
        <v>2476</v>
      </c>
      <c r="F57" s="7907" t="s">
        <v>2449</v>
      </c>
      <c r="G57" s="7907" t="s">
        <v>2477</v>
      </c>
      <c r="H57" s="7907" t="s">
        <v>18</v>
      </c>
      <c r="I57" s="7907" t="s">
        <v>818</v>
      </c>
    </row>
    <row customHeight="1" ht="11.25">
      <c r="A58" s="7907" t="s">
        <v>2276</v>
      </c>
      <c r="B58" s="7907" t="s">
        <v>14</v>
      </c>
      <c r="C58" s="7907" t="s">
        <v>2478</v>
      </c>
      <c r="D58" s="7907" t="s">
        <v>2479</v>
      </c>
      <c r="E58" s="7907" t="s">
        <v>2480</v>
      </c>
      <c r="F58" s="7907" t="s">
        <v>2449</v>
      </c>
      <c r="G58" s="7907" t="s">
        <v>18</v>
      </c>
      <c r="H58" s="7907" t="s">
        <v>18</v>
      </c>
      <c r="I58" s="7907" t="s">
        <v>818</v>
      </c>
    </row>
    <row customHeight="1" ht="11.25">
      <c r="A59" s="7907" t="s">
        <v>2276</v>
      </c>
      <c r="B59" s="7907" t="s">
        <v>14</v>
      </c>
      <c r="C59" s="7907" t="s">
        <v>2481</v>
      </c>
      <c r="D59" s="7907" t="s">
        <v>2482</v>
      </c>
      <c r="E59" s="7907" t="s">
        <v>2483</v>
      </c>
      <c r="F59" s="7907" t="s">
        <v>2370</v>
      </c>
      <c r="G59" s="7907" t="s">
        <v>18</v>
      </c>
      <c r="H59" s="7907" t="s">
        <v>18</v>
      </c>
      <c r="I59" s="7907" t="s">
        <v>818</v>
      </c>
    </row>
    <row customHeight="1" ht="11.25">
      <c r="A60" s="7907" t="s">
        <v>2276</v>
      </c>
      <c r="B60" s="7907" t="s">
        <v>14</v>
      </c>
      <c r="C60" s="7907" t="s">
        <v>2484</v>
      </c>
      <c r="D60" s="7907" t="s">
        <v>2485</v>
      </c>
      <c r="E60" s="7907" t="s">
        <v>2486</v>
      </c>
      <c r="F60" s="7907" t="s">
        <v>2487</v>
      </c>
      <c r="G60" s="7907" t="s">
        <v>18</v>
      </c>
      <c r="H60" s="7907" t="s">
        <v>18</v>
      </c>
      <c r="I60" s="7907" t="s">
        <v>818</v>
      </c>
    </row>
    <row customHeight="1" ht="11.25">
      <c r="A61" s="7907" t="s">
        <v>2276</v>
      </c>
      <c r="B61" s="7907" t="s">
        <v>14</v>
      </c>
      <c r="C61" s="7907" t="s">
        <v>2488</v>
      </c>
      <c r="D61" s="7907" t="s">
        <v>2489</v>
      </c>
      <c r="E61" s="7907" t="s">
        <v>2490</v>
      </c>
      <c r="F61" s="7907" t="s">
        <v>2449</v>
      </c>
      <c r="G61" s="7907" t="s">
        <v>2491</v>
      </c>
      <c r="H61" s="7907" t="s">
        <v>18</v>
      </c>
      <c r="I61" s="7907" t="s">
        <v>818</v>
      </c>
    </row>
    <row customHeight="1" ht="11.25">
      <c r="A62" s="7907" t="s">
        <v>2276</v>
      </c>
      <c r="B62" s="7907" t="s">
        <v>14</v>
      </c>
      <c r="C62" s="7907" t="s">
        <v>2492</v>
      </c>
      <c r="D62" s="7907" t="s">
        <v>2493</v>
      </c>
      <c r="E62" s="7907" t="s">
        <v>2494</v>
      </c>
      <c r="F62" s="7907" t="s">
        <v>2423</v>
      </c>
      <c r="G62" s="7907" t="s">
        <v>18</v>
      </c>
      <c r="H62" s="7907" t="s">
        <v>18</v>
      </c>
      <c r="I62" s="7907" t="s">
        <v>818</v>
      </c>
    </row>
    <row customHeight="1" ht="11.25">
      <c r="A63" s="7907" t="s">
        <v>2276</v>
      </c>
      <c r="B63" s="7907" t="s">
        <v>14</v>
      </c>
      <c r="C63" s="7907" t="s">
        <v>2495</v>
      </c>
      <c r="D63" s="7907" t="s">
        <v>2496</v>
      </c>
      <c r="E63" s="7907" t="s">
        <v>2497</v>
      </c>
      <c r="F63" s="7907" t="s">
        <v>2460</v>
      </c>
      <c r="G63" s="7907" t="s">
        <v>18</v>
      </c>
      <c r="H63" s="7907" t="s">
        <v>18</v>
      </c>
      <c r="I63" s="7907" t="s">
        <v>818</v>
      </c>
    </row>
    <row customHeight="1" ht="11.25">
      <c r="A64" s="7907" t="s">
        <v>2276</v>
      </c>
      <c r="B64" s="7907" t="s">
        <v>14</v>
      </c>
      <c r="C64" s="7907" t="s">
        <v>2498</v>
      </c>
      <c r="D64" s="7907" t="s">
        <v>2499</v>
      </c>
      <c r="E64" s="7907" t="s">
        <v>2500</v>
      </c>
      <c r="F64" s="7907" t="s">
        <v>2487</v>
      </c>
      <c r="G64" s="7907" t="s">
        <v>18</v>
      </c>
      <c r="H64" s="7907" t="s">
        <v>18</v>
      </c>
      <c r="I64" s="7907" t="s">
        <v>818</v>
      </c>
    </row>
    <row customHeight="1" ht="11.25">
      <c r="A65" s="7907" t="s">
        <v>2276</v>
      </c>
      <c r="B65" s="7907" t="s">
        <v>14</v>
      </c>
      <c r="C65" s="7907" t="s">
        <v>2501</v>
      </c>
      <c r="D65" s="7907" t="s">
        <v>2502</v>
      </c>
      <c r="E65" s="7907" t="s">
        <v>2503</v>
      </c>
      <c r="F65" s="7907" t="s">
        <v>2449</v>
      </c>
      <c r="G65" s="7907" t="s">
        <v>2504</v>
      </c>
      <c r="H65" s="7907" t="s">
        <v>18</v>
      </c>
      <c r="I65" s="7907" t="s">
        <v>818</v>
      </c>
    </row>
    <row customHeight="1" ht="11.25">
      <c r="A66" s="7907" t="s">
        <v>2276</v>
      </c>
      <c r="B66" s="7907" t="s">
        <v>14</v>
      </c>
      <c r="C66" s="7907" t="s">
        <v>2505</v>
      </c>
      <c r="D66" s="7907" t="s">
        <v>2506</v>
      </c>
      <c r="E66" s="7907" t="s">
        <v>2507</v>
      </c>
      <c r="F66" s="7907" t="s">
        <v>2460</v>
      </c>
      <c r="G66" s="7907" t="s">
        <v>2508</v>
      </c>
      <c r="H66" s="7907" t="s">
        <v>18</v>
      </c>
      <c r="I66" s="7907" t="s">
        <v>818</v>
      </c>
    </row>
    <row customHeight="1" ht="11.25">
      <c r="A67" s="7907" t="s">
        <v>2276</v>
      </c>
      <c r="B67" s="7907" t="s">
        <v>14</v>
      </c>
      <c r="C67" s="7907" t="s">
        <v>2509</v>
      </c>
      <c r="D67" s="7907" t="s">
        <v>2506</v>
      </c>
      <c r="E67" s="7907" t="s">
        <v>2510</v>
      </c>
      <c r="F67" s="7907" t="s">
        <v>2338</v>
      </c>
      <c r="G67" s="7907" t="s">
        <v>2511</v>
      </c>
      <c r="H67" s="7907" t="s">
        <v>18</v>
      </c>
      <c r="I67" s="7907" t="s">
        <v>818</v>
      </c>
    </row>
    <row customHeight="1" ht="11.25">
      <c r="A68" s="7907" t="s">
        <v>2276</v>
      </c>
      <c r="B68" s="7907" t="s">
        <v>14</v>
      </c>
      <c r="C68" s="7907" t="s">
        <v>2512</v>
      </c>
      <c r="D68" s="7907" t="s">
        <v>2513</v>
      </c>
      <c r="E68" s="7907" t="s">
        <v>2514</v>
      </c>
      <c r="F68" s="7907" t="s">
        <v>2441</v>
      </c>
      <c r="G68" s="7907" t="s">
        <v>18</v>
      </c>
      <c r="H68" s="7907" t="s">
        <v>18</v>
      </c>
      <c r="I68" s="7907" t="s">
        <v>818</v>
      </c>
    </row>
    <row customHeight="1" ht="11.25">
      <c r="A69" s="7907" t="s">
        <v>2276</v>
      </c>
      <c r="B69" s="7907" t="s">
        <v>14</v>
      </c>
      <c r="C69" s="7907" t="s">
        <v>2515</v>
      </c>
      <c r="D69" s="7907" t="s">
        <v>2516</v>
      </c>
      <c r="E69" s="7907" t="s">
        <v>2517</v>
      </c>
      <c r="F69" s="7907" t="s">
        <v>2441</v>
      </c>
      <c r="G69" s="7907" t="s">
        <v>2518</v>
      </c>
      <c r="H69" s="7907" t="s">
        <v>18</v>
      </c>
      <c r="I69" s="7907" t="s">
        <v>818</v>
      </c>
    </row>
    <row customHeight="1" ht="11.25">
      <c r="A70" s="7907" t="s">
        <v>2276</v>
      </c>
      <c r="B70" s="7907" t="s">
        <v>14</v>
      </c>
      <c r="C70" s="7907" t="s">
        <v>2519</v>
      </c>
      <c r="D70" s="7907" t="s">
        <v>2520</v>
      </c>
      <c r="E70" s="7907" t="s">
        <v>2521</v>
      </c>
      <c r="F70" s="7907" t="s">
        <v>2403</v>
      </c>
      <c r="G70" s="7907" t="s">
        <v>18</v>
      </c>
      <c r="H70" s="7907" t="s">
        <v>18</v>
      </c>
      <c r="I70" s="7907" t="s">
        <v>818</v>
      </c>
    </row>
    <row customHeight="1" ht="11.25">
      <c r="A71" s="7907" t="s">
        <v>2276</v>
      </c>
      <c r="B71" s="7907" t="s">
        <v>14</v>
      </c>
      <c r="C71" s="7907" t="s">
        <v>2522</v>
      </c>
      <c r="D71" s="7907" t="s">
        <v>2523</v>
      </c>
      <c r="E71" s="7907" t="s">
        <v>2524</v>
      </c>
      <c r="F71" s="7907" t="s">
        <v>2412</v>
      </c>
      <c r="G71" s="7907" t="s">
        <v>2525</v>
      </c>
      <c r="H71" s="7907" t="s">
        <v>18</v>
      </c>
      <c r="I71" s="7907" t="s">
        <v>818</v>
      </c>
    </row>
    <row customHeight="1" ht="11.25">
      <c r="A72" s="7907" t="s">
        <v>2276</v>
      </c>
      <c r="B72" s="7907" t="s">
        <v>14</v>
      </c>
      <c r="C72" s="7907" t="s">
        <v>2526</v>
      </c>
      <c r="D72" s="7907" t="s">
        <v>2527</v>
      </c>
      <c r="E72" s="7907" t="s">
        <v>2528</v>
      </c>
      <c r="F72" s="7907" t="s">
        <v>2403</v>
      </c>
      <c r="G72" s="7907" t="s">
        <v>2529</v>
      </c>
      <c r="H72" s="7907" t="s">
        <v>18</v>
      </c>
      <c r="I72" s="7907" t="s">
        <v>818</v>
      </c>
    </row>
    <row customHeight="1" ht="11.25">
      <c r="A73" s="7907" t="s">
        <v>2276</v>
      </c>
      <c r="B73" s="7907" t="s">
        <v>14</v>
      </c>
      <c r="C73" s="7907" t="s">
        <v>2530</v>
      </c>
      <c r="D73" s="7907" t="s">
        <v>2531</v>
      </c>
      <c r="E73" s="7907" t="s">
        <v>2532</v>
      </c>
      <c r="F73" s="7907" t="s">
        <v>2423</v>
      </c>
      <c r="G73" s="7907" t="s">
        <v>2533</v>
      </c>
      <c r="H73" s="7907" t="s">
        <v>18</v>
      </c>
      <c r="I73" s="7907" t="s">
        <v>818</v>
      </c>
    </row>
    <row customHeight="1" ht="11.25">
      <c r="A74" s="7907" t="s">
        <v>2276</v>
      </c>
      <c r="B74" s="7907" t="s">
        <v>14</v>
      </c>
      <c r="C74" s="7907" t="s">
        <v>2534</v>
      </c>
      <c r="D74" s="7907" t="s">
        <v>2535</v>
      </c>
      <c r="E74" s="7907" t="s">
        <v>2536</v>
      </c>
      <c r="F74" s="7907" t="s">
        <v>2285</v>
      </c>
      <c r="G74" s="7907" t="s">
        <v>18</v>
      </c>
      <c r="H74" s="7907" t="s">
        <v>18</v>
      </c>
      <c r="I74" s="7907" t="s">
        <v>818</v>
      </c>
    </row>
    <row customHeight="1" ht="11.25">
      <c r="A75" s="7907" t="s">
        <v>2276</v>
      </c>
      <c r="B75" s="7907" t="s">
        <v>14</v>
      </c>
      <c r="C75" s="7907" t="s">
        <v>2537</v>
      </c>
      <c r="D75" s="7907" t="s">
        <v>2538</v>
      </c>
      <c r="E75" s="7907" t="s">
        <v>2539</v>
      </c>
      <c r="F75" s="7907" t="s">
        <v>2469</v>
      </c>
      <c r="G75" s="7907" t="s">
        <v>18</v>
      </c>
      <c r="H75" s="7907" t="s">
        <v>18</v>
      </c>
      <c r="I75" s="7907" t="s">
        <v>818</v>
      </c>
    </row>
    <row customHeight="1" ht="11.25">
      <c r="A76" s="7907" t="s">
        <v>2276</v>
      </c>
      <c r="B76" s="7907" t="s">
        <v>14</v>
      </c>
      <c r="C76" s="7907" t="s">
        <v>2540</v>
      </c>
      <c r="D76" s="7907" t="s">
        <v>2541</v>
      </c>
      <c r="E76" s="7907" t="s">
        <v>2542</v>
      </c>
      <c r="F76" s="7907" t="s">
        <v>2423</v>
      </c>
      <c r="G76" s="7907" t="s">
        <v>18</v>
      </c>
      <c r="H76" s="7907" t="s">
        <v>18</v>
      </c>
      <c r="I76" s="7907" t="s">
        <v>818</v>
      </c>
    </row>
    <row customHeight="1" ht="11.25">
      <c r="A77" s="7907" t="s">
        <v>2276</v>
      </c>
      <c r="B77" s="7907" t="s">
        <v>14</v>
      </c>
      <c r="C77" s="7907" t="s">
        <v>2543</v>
      </c>
      <c r="D77" s="7907" t="s">
        <v>2544</v>
      </c>
      <c r="E77" s="7907" t="s">
        <v>2545</v>
      </c>
      <c r="F77" s="7907" t="s">
        <v>2338</v>
      </c>
      <c r="G77" s="7907" t="s">
        <v>2546</v>
      </c>
      <c r="H77" s="7907" t="s">
        <v>18</v>
      </c>
      <c r="I77" s="7907" t="s">
        <v>818</v>
      </c>
    </row>
    <row customHeight="1" ht="11.25">
      <c r="A78" s="7907" t="s">
        <v>2276</v>
      </c>
      <c r="B78" s="7907" t="s">
        <v>14</v>
      </c>
      <c r="C78" s="7907" t="s">
        <v>2547</v>
      </c>
      <c r="D78" s="7907" t="s">
        <v>2548</v>
      </c>
      <c r="E78" s="7907" t="s">
        <v>2549</v>
      </c>
      <c r="F78" s="7907" t="s">
        <v>2403</v>
      </c>
      <c r="G78" s="7907" t="s">
        <v>18</v>
      </c>
      <c r="H78" s="7907" t="s">
        <v>18</v>
      </c>
      <c r="I78" s="7907" t="s">
        <v>818</v>
      </c>
    </row>
    <row customHeight="1" ht="11.25">
      <c r="A79" s="7907" t="s">
        <v>2276</v>
      </c>
      <c r="B79" s="7907" t="s">
        <v>14</v>
      </c>
      <c r="C79" s="7907" t="s">
        <v>2550</v>
      </c>
      <c r="D79" s="7907" t="s">
        <v>2551</v>
      </c>
      <c r="E79" s="7907" t="s">
        <v>2552</v>
      </c>
      <c r="F79" s="7907" t="s">
        <v>2449</v>
      </c>
      <c r="G79" s="7907" t="s">
        <v>18</v>
      </c>
      <c r="H79" s="7907" t="s">
        <v>18</v>
      </c>
      <c r="I79" s="7907" t="s">
        <v>818</v>
      </c>
    </row>
    <row customHeight="1" ht="11.25">
      <c r="A80" s="7907" t="s">
        <v>2276</v>
      </c>
      <c r="B80" s="7907" t="s">
        <v>14</v>
      </c>
      <c r="C80" s="7907" t="s">
        <v>2553</v>
      </c>
      <c r="D80" s="7907" t="s">
        <v>2554</v>
      </c>
      <c r="E80" s="7907" t="s">
        <v>2373</v>
      </c>
      <c r="F80" s="7907" t="s">
        <v>2555</v>
      </c>
      <c r="G80" s="7907" t="s">
        <v>18</v>
      </c>
      <c r="H80" s="7907" t="s">
        <v>18</v>
      </c>
      <c r="I80" s="7907" t="s">
        <v>818</v>
      </c>
    </row>
    <row customHeight="1" ht="11.25">
      <c r="A81" s="7907" t="s">
        <v>2276</v>
      </c>
      <c r="B81" s="7907" t="s">
        <v>14</v>
      </c>
      <c r="C81" s="7907" t="s">
        <v>2556</v>
      </c>
      <c r="D81" s="7907" t="s">
        <v>2557</v>
      </c>
      <c r="E81" s="7907" t="s">
        <v>2373</v>
      </c>
      <c r="F81" s="7907" t="s">
        <v>2558</v>
      </c>
      <c r="G81" s="7907" t="s">
        <v>18</v>
      </c>
      <c r="H81" s="7907" t="s">
        <v>18</v>
      </c>
      <c r="I81" s="7907" t="s">
        <v>818</v>
      </c>
    </row>
    <row customHeight="1" ht="11.25">
      <c r="A82" s="7907" t="s">
        <v>2276</v>
      </c>
      <c r="B82" s="7907" t="s">
        <v>14</v>
      </c>
      <c r="C82" s="7907" t="s">
        <v>2559</v>
      </c>
      <c r="D82" s="7907" t="s">
        <v>2560</v>
      </c>
      <c r="E82" s="7907" t="s">
        <v>2561</v>
      </c>
      <c r="F82" s="7907" t="s">
        <v>2562</v>
      </c>
      <c r="G82" s="7907" t="s">
        <v>18</v>
      </c>
      <c r="H82" s="7907" t="s">
        <v>18</v>
      </c>
      <c r="I82" s="7907" t="s">
        <v>818</v>
      </c>
    </row>
    <row customHeight="1" ht="11.25">
      <c r="A83" s="7907" t="s">
        <v>2276</v>
      </c>
      <c r="B83" s="7907" t="s">
        <v>14</v>
      </c>
      <c r="C83" s="7907" t="s">
        <v>2563</v>
      </c>
      <c r="D83" s="7907" t="s">
        <v>2564</v>
      </c>
      <c r="E83" s="7907" t="s">
        <v>2565</v>
      </c>
      <c r="F83" s="7907" t="s">
        <v>2566</v>
      </c>
      <c r="G83" s="7907" t="s">
        <v>2567</v>
      </c>
      <c r="H83" s="7907" t="s">
        <v>18</v>
      </c>
      <c r="I83" s="7907" t="s">
        <v>818</v>
      </c>
    </row>
    <row customHeight="1" ht="11.25">
      <c r="A84" s="7907" t="s">
        <v>2276</v>
      </c>
      <c r="B84" s="7907" t="s">
        <v>14</v>
      </c>
      <c r="C84" s="7907" t="s">
        <v>2568</v>
      </c>
      <c r="D84" s="7907" t="s">
        <v>2569</v>
      </c>
      <c r="E84" s="7907" t="s">
        <v>2570</v>
      </c>
      <c r="F84" s="7907" t="s">
        <v>2338</v>
      </c>
      <c r="G84" s="7907" t="s">
        <v>18</v>
      </c>
      <c r="H84" s="7907" t="s">
        <v>18</v>
      </c>
      <c r="I84" s="7907" t="s">
        <v>818</v>
      </c>
    </row>
    <row customHeight="1" ht="11.25">
      <c r="A85" s="7907" t="s">
        <v>2276</v>
      </c>
      <c r="B85" s="7907" t="s">
        <v>14</v>
      </c>
      <c r="C85" s="7907" t="s">
        <v>2571</v>
      </c>
      <c r="D85" s="7907" t="s">
        <v>2572</v>
      </c>
      <c r="E85" s="7907" t="s">
        <v>2573</v>
      </c>
      <c r="F85" s="7907" t="s">
        <v>2403</v>
      </c>
      <c r="G85" s="7907" t="s">
        <v>18</v>
      </c>
      <c r="H85" s="7907" t="s">
        <v>18</v>
      </c>
      <c r="I85" s="7907" t="s">
        <v>818</v>
      </c>
    </row>
    <row customHeight="1" ht="11.25">
      <c r="A86" s="7907" t="s">
        <v>2276</v>
      </c>
      <c r="B86" s="7907" t="s">
        <v>14</v>
      </c>
      <c r="C86" s="7907" t="s">
        <v>2574</v>
      </c>
      <c r="D86" s="7907" t="s">
        <v>2575</v>
      </c>
      <c r="E86" s="7907" t="s">
        <v>2576</v>
      </c>
      <c r="F86" s="7907" t="s">
        <v>2403</v>
      </c>
      <c r="G86" s="7907" t="s">
        <v>18</v>
      </c>
      <c r="H86" s="7907" t="s">
        <v>18</v>
      </c>
      <c r="I86" s="7907" t="s">
        <v>818</v>
      </c>
    </row>
    <row customHeight="1" ht="11.25">
      <c r="A87" s="7907" t="s">
        <v>2276</v>
      </c>
      <c r="B87" s="7907" t="s">
        <v>14</v>
      </c>
      <c r="C87" s="7907" t="s">
        <v>2577</v>
      </c>
      <c r="D87" s="7907" t="s">
        <v>2578</v>
      </c>
      <c r="E87" s="7907" t="s">
        <v>2579</v>
      </c>
      <c r="F87" s="7907" t="s">
        <v>2391</v>
      </c>
      <c r="G87" s="7907" t="s">
        <v>18</v>
      </c>
      <c r="H87" s="7907" t="s">
        <v>18</v>
      </c>
      <c r="I87" s="7907" t="s">
        <v>818</v>
      </c>
    </row>
    <row customHeight="1" ht="11.25">
      <c r="A88" s="7907" t="s">
        <v>2276</v>
      </c>
      <c r="B88" s="7907" t="s">
        <v>14</v>
      </c>
      <c r="C88" s="7907" t="s">
        <v>2580</v>
      </c>
      <c r="D88" s="7907" t="s">
        <v>2581</v>
      </c>
      <c r="E88" s="7907" t="s">
        <v>2582</v>
      </c>
      <c r="F88" s="7907" t="s">
        <v>48</v>
      </c>
      <c r="G88" s="7907" t="s">
        <v>2583</v>
      </c>
      <c r="H88" s="7907" t="s">
        <v>18</v>
      </c>
      <c r="I88" s="7907" t="s">
        <v>818</v>
      </c>
    </row>
    <row customHeight="1" ht="11.25">
      <c r="A89" s="7907" t="s">
        <v>2276</v>
      </c>
      <c r="B89" s="7907" t="s">
        <v>14</v>
      </c>
      <c r="C89" s="7907" t="s">
        <v>2584</v>
      </c>
      <c r="D89" s="7907" t="s">
        <v>2585</v>
      </c>
      <c r="E89" s="7907" t="s">
        <v>2586</v>
      </c>
      <c r="F89" s="7907" t="s">
        <v>2423</v>
      </c>
      <c r="G89" s="7907" t="s">
        <v>2587</v>
      </c>
      <c r="H89" s="7907" t="s">
        <v>18</v>
      </c>
      <c r="I89" s="7907" t="s">
        <v>818</v>
      </c>
    </row>
    <row customHeight="1" ht="11.25">
      <c r="A90" s="7907" t="s">
        <v>2276</v>
      </c>
      <c r="B90" s="7907" t="s">
        <v>14</v>
      </c>
      <c r="C90" s="7907" t="s">
        <v>2588</v>
      </c>
      <c r="D90" s="7907" t="s">
        <v>2589</v>
      </c>
      <c r="E90" s="7907" t="s">
        <v>2590</v>
      </c>
      <c r="F90" s="7907" t="s">
        <v>2370</v>
      </c>
      <c r="G90" s="7907" t="s">
        <v>18</v>
      </c>
      <c r="H90" s="7907" t="s">
        <v>18</v>
      </c>
      <c r="I90" s="7907" t="s">
        <v>818</v>
      </c>
    </row>
    <row customHeight="1" ht="11.25">
      <c r="A91" s="7907" t="s">
        <v>2276</v>
      </c>
      <c r="B91" s="7907" t="s">
        <v>14</v>
      </c>
      <c r="C91" s="7907" t="s">
        <v>2591</v>
      </c>
      <c r="D91" s="7907" t="s">
        <v>2592</v>
      </c>
      <c r="E91" s="7907" t="s">
        <v>2593</v>
      </c>
      <c r="F91" s="7907" t="s">
        <v>2329</v>
      </c>
      <c r="G91" s="7907" t="s">
        <v>2594</v>
      </c>
      <c r="H91" s="7907" t="s">
        <v>18</v>
      </c>
      <c r="I91" s="7907" t="s">
        <v>818</v>
      </c>
    </row>
    <row customHeight="1" ht="11.25">
      <c r="A92" s="7907" t="s">
        <v>2276</v>
      </c>
      <c r="B92" s="7907" t="s">
        <v>14</v>
      </c>
      <c r="C92" s="7907" t="s">
        <v>2595</v>
      </c>
      <c r="D92" s="7907" t="s">
        <v>2596</v>
      </c>
      <c r="E92" s="7907" t="s">
        <v>2597</v>
      </c>
      <c r="F92" s="7907" t="s">
        <v>2391</v>
      </c>
      <c r="G92" s="7907" t="s">
        <v>18</v>
      </c>
      <c r="H92" s="7907" t="s">
        <v>18</v>
      </c>
      <c r="I92" s="7907" t="s">
        <v>818</v>
      </c>
    </row>
    <row customHeight="1" ht="11.25">
      <c r="A93" s="7907" t="s">
        <v>2276</v>
      </c>
      <c r="B93" s="7907" t="s">
        <v>14</v>
      </c>
      <c r="C93" s="7907" t="s">
        <v>2598</v>
      </c>
      <c r="D93" s="7907" t="s">
        <v>2599</v>
      </c>
      <c r="E93" s="7907" t="s">
        <v>2600</v>
      </c>
      <c r="F93" s="7907" t="s">
        <v>2285</v>
      </c>
      <c r="G93" s="7907" t="s">
        <v>2601</v>
      </c>
      <c r="H93" s="7907" t="s">
        <v>18</v>
      </c>
      <c r="I93" s="7907" t="s">
        <v>818</v>
      </c>
    </row>
    <row customHeight="1" ht="11.25">
      <c r="A94" s="7907" t="s">
        <v>2276</v>
      </c>
      <c r="B94" s="7907" t="s">
        <v>14</v>
      </c>
      <c r="C94" s="7907" t="s">
        <v>2602</v>
      </c>
      <c r="D94" s="7907" t="s">
        <v>2603</v>
      </c>
      <c r="E94" s="7907" t="s">
        <v>2604</v>
      </c>
      <c r="F94" s="7907" t="s">
        <v>2449</v>
      </c>
      <c r="G94" s="7907" t="s">
        <v>18</v>
      </c>
      <c r="H94" s="7907" t="s">
        <v>18</v>
      </c>
      <c r="I94" s="7907" t="s">
        <v>818</v>
      </c>
    </row>
    <row customHeight="1" ht="11.25">
      <c r="A95" s="7907" t="s">
        <v>2276</v>
      </c>
      <c r="B95" s="7907" t="s">
        <v>14</v>
      </c>
      <c r="C95" s="7907" t="s">
        <v>2605</v>
      </c>
      <c r="D95" s="7907" t="s">
        <v>2606</v>
      </c>
      <c r="E95" s="7907" t="s">
        <v>2607</v>
      </c>
      <c r="F95" s="7907" t="s">
        <v>2608</v>
      </c>
      <c r="G95" s="7907" t="s">
        <v>18</v>
      </c>
      <c r="H95" s="7907" t="s">
        <v>18</v>
      </c>
      <c r="I95" s="7907" t="s">
        <v>818</v>
      </c>
    </row>
    <row customHeight="1" ht="11.25">
      <c r="A96" s="7907" t="s">
        <v>2276</v>
      </c>
      <c r="B96" s="7907" t="s">
        <v>14</v>
      </c>
      <c r="C96" s="7907" t="s">
        <v>2609</v>
      </c>
      <c r="D96" s="7907" t="s">
        <v>2610</v>
      </c>
      <c r="E96" s="7907" t="s">
        <v>2611</v>
      </c>
      <c r="F96" s="7907" t="s">
        <v>2441</v>
      </c>
      <c r="G96" s="7907" t="s">
        <v>18</v>
      </c>
      <c r="H96" s="7907" t="s">
        <v>18</v>
      </c>
      <c r="I96" s="7907" t="s">
        <v>818</v>
      </c>
    </row>
    <row customHeight="1" ht="11.25">
      <c r="A97" s="7907" t="s">
        <v>2276</v>
      </c>
      <c r="B97" s="7907" t="s">
        <v>14</v>
      </c>
      <c r="C97" s="7907" t="s">
        <v>2612</v>
      </c>
      <c r="D97" s="7907" t="s">
        <v>2613</v>
      </c>
      <c r="E97" s="7907" t="s">
        <v>2614</v>
      </c>
      <c r="F97" s="7907" t="s">
        <v>2449</v>
      </c>
      <c r="G97" s="7907" t="s">
        <v>2615</v>
      </c>
      <c r="H97" s="7907" t="s">
        <v>18</v>
      </c>
      <c r="I97" s="7907" t="s">
        <v>818</v>
      </c>
    </row>
    <row customHeight="1" ht="11.25">
      <c r="A98" s="7907" t="s">
        <v>2276</v>
      </c>
      <c r="B98" s="7907" t="s">
        <v>14</v>
      </c>
      <c r="C98" s="7907" t="s">
        <v>2616</v>
      </c>
      <c r="D98" s="7907" t="s">
        <v>2617</v>
      </c>
      <c r="E98" s="7907" t="s">
        <v>2618</v>
      </c>
      <c r="F98" s="7907" t="s">
        <v>2391</v>
      </c>
      <c r="G98" s="7907" t="s">
        <v>18</v>
      </c>
      <c r="H98" s="7907" t="s">
        <v>18</v>
      </c>
      <c r="I98" s="7907" t="s">
        <v>818</v>
      </c>
    </row>
    <row customHeight="1" ht="11.25">
      <c r="A99" s="7907" t="s">
        <v>2276</v>
      </c>
      <c r="B99" s="7907" t="s">
        <v>14</v>
      </c>
      <c r="C99" s="7907" t="s">
        <v>2619</v>
      </c>
      <c r="D99" s="7907" t="s">
        <v>2620</v>
      </c>
      <c r="E99" s="7907" t="s">
        <v>2621</v>
      </c>
      <c r="F99" s="7907" t="s">
        <v>2391</v>
      </c>
      <c r="G99" s="7907" t="s">
        <v>18</v>
      </c>
      <c r="H99" s="7907" t="s">
        <v>18</v>
      </c>
      <c r="I99" s="7907" t="s">
        <v>818</v>
      </c>
    </row>
    <row customHeight="1" ht="11.25">
      <c r="A100" s="7907" t="s">
        <v>2276</v>
      </c>
      <c r="B100" s="7907" t="s">
        <v>14</v>
      </c>
      <c r="C100" s="7907" t="s">
        <v>2622</v>
      </c>
      <c r="D100" s="7907" t="s">
        <v>2623</v>
      </c>
      <c r="E100" s="7907" t="s">
        <v>2624</v>
      </c>
      <c r="F100" s="7907" t="s">
        <v>2285</v>
      </c>
      <c r="G100" s="7907" t="s">
        <v>18</v>
      </c>
      <c r="H100" s="7907" t="s">
        <v>18</v>
      </c>
      <c r="I100" s="7907" t="s">
        <v>818</v>
      </c>
    </row>
    <row customHeight="1" ht="11.25">
      <c r="A101" s="7907" t="s">
        <v>2276</v>
      </c>
      <c r="B101" s="7907" t="s">
        <v>14</v>
      </c>
      <c r="C101" s="7907" t="s">
        <v>2625</v>
      </c>
      <c r="D101" s="7907" t="s">
        <v>2626</v>
      </c>
      <c r="E101" s="7907" t="s">
        <v>2627</v>
      </c>
      <c r="F101" s="7907" t="s">
        <v>2628</v>
      </c>
      <c r="G101" s="7907" t="s">
        <v>18</v>
      </c>
      <c r="H101" s="7907" t="s">
        <v>18</v>
      </c>
      <c r="I101" s="7907" t="s">
        <v>818</v>
      </c>
    </row>
    <row customHeight="1" ht="11.25">
      <c r="A102" s="7907" t="s">
        <v>2276</v>
      </c>
      <c r="B102" s="7907" t="s">
        <v>14</v>
      </c>
      <c r="C102" s="7907" t="s">
        <v>2629</v>
      </c>
      <c r="D102" s="7907" t="s">
        <v>2630</v>
      </c>
      <c r="E102" s="7907" t="s">
        <v>2631</v>
      </c>
      <c r="F102" s="7907" t="s">
        <v>2628</v>
      </c>
      <c r="G102" s="7907" t="s">
        <v>18</v>
      </c>
      <c r="H102" s="7907" t="s">
        <v>18</v>
      </c>
      <c r="I102" s="7907" t="s">
        <v>818</v>
      </c>
    </row>
    <row customHeight="1" ht="11.25">
      <c r="A103" s="7907" t="s">
        <v>2276</v>
      </c>
      <c r="B103" s="7907" t="s">
        <v>14</v>
      </c>
      <c r="C103" s="7907" t="s">
        <v>2632</v>
      </c>
      <c r="D103" s="7907" t="s">
        <v>2633</v>
      </c>
      <c r="E103" s="7907" t="s">
        <v>2634</v>
      </c>
      <c r="F103" s="7907" t="s">
        <v>2329</v>
      </c>
      <c r="G103" s="7907" t="s">
        <v>2635</v>
      </c>
      <c r="H103" s="7907" t="s">
        <v>18</v>
      </c>
      <c r="I103" s="7907" t="s">
        <v>818</v>
      </c>
    </row>
    <row customHeight="1" ht="11.25">
      <c r="A104" s="7907" t="s">
        <v>2276</v>
      </c>
      <c r="B104" s="7907" t="s">
        <v>14</v>
      </c>
      <c r="C104" s="7907" t="s">
        <v>2636</v>
      </c>
      <c r="D104" s="7907" t="s">
        <v>2637</v>
      </c>
      <c r="E104" s="7907" t="s">
        <v>2638</v>
      </c>
      <c r="F104" s="7907" t="s">
        <v>48</v>
      </c>
      <c r="G104" s="7907" t="s">
        <v>18</v>
      </c>
      <c r="H104" s="7907" t="s">
        <v>18</v>
      </c>
      <c r="I104" s="7907" t="s">
        <v>818</v>
      </c>
    </row>
    <row customHeight="1" ht="11.25">
      <c r="A105" s="7907" t="s">
        <v>2276</v>
      </c>
      <c r="B105" s="7907" t="s">
        <v>14</v>
      </c>
      <c r="C105" s="7907" t="s">
        <v>2639</v>
      </c>
      <c r="D105" s="7907" t="s">
        <v>2640</v>
      </c>
      <c r="E105" s="7907" t="s">
        <v>2641</v>
      </c>
      <c r="F105" s="7907" t="s">
        <v>2642</v>
      </c>
      <c r="G105" s="7907" t="s">
        <v>2643</v>
      </c>
      <c r="H105" s="7907" t="s">
        <v>18</v>
      </c>
      <c r="I105" s="7907" t="s">
        <v>818</v>
      </c>
    </row>
    <row customHeight="1" ht="11.25">
      <c r="A106" s="7907" t="s">
        <v>2276</v>
      </c>
      <c r="B106" s="7907" t="s">
        <v>14</v>
      </c>
      <c r="C106" s="7907" t="s">
        <v>2644</v>
      </c>
      <c r="D106" s="7907" t="s">
        <v>2645</v>
      </c>
      <c r="E106" s="7907" t="s">
        <v>2646</v>
      </c>
      <c r="F106" s="7907" t="s">
        <v>2628</v>
      </c>
      <c r="G106" s="7907" t="s">
        <v>2647</v>
      </c>
      <c r="H106" s="7907" t="s">
        <v>18</v>
      </c>
      <c r="I106" s="7907" t="s">
        <v>818</v>
      </c>
    </row>
    <row customHeight="1" ht="11.25">
      <c r="A107" s="7907" t="s">
        <v>2276</v>
      </c>
      <c r="B107" s="7907" t="s">
        <v>14</v>
      </c>
      <c r="C107" s="7907" t="s">
        <v>2648</v>
      </c>
      <c r="D107" s="7907" t="s">
        <v>2649</v>
      </c>
      <c r="E107" s="7907" t="s">
        <v>2650</v>
      </c>
      <c r="F107" s="7907" t="s">
        <v>2449</v>
      </c>
      <c r="G107" s="7907" t="s">
        <v>18</v>
      </c>
      <c r="H107" s="7907" t="s">
        <v>18</v>
      </c>
      <c r="I107" s="7907" t="s">
        <v>818</v>
      </c>
    </row>
    <row customHeight="1" ht="11.25">
      <c r="A108" s="7907" t="s">
        <v>2276</v>
      </c>
      <c r="B108" s="7907" t="s">
        <v>14</v>
      </c>
      <c r="C108" s="7907" t="s">
        <v>2651</v>
      </c>
      <c r="D108" s="7907" t="s">
        <v>2652</v>
      </c>
      <c r="E108" s="7907" t="s">
        <v>2653</v>
      </c>
      <c r="F108" s="7907" t="s">
        <v>2449</v>
      </c>
      <c r="G108" s="7907" t="s">
        <v>2654</v>
      </c>
      <c r="H108" s="7907" t="s">
        <v>18</v>
      </c>
      <c r="I108" s="7907" t="s">
        <v>818</v>
      </c>
    </row>
    <row customHeight="1" ht="11.25">
      <c r="A109" s="7907" t="s">
        <v>2276</v>
      </c>
      <c r="B109" s="7907" t="s">
        <v>14</v>
      </c>
      <c r="C109" s="7907" t="s">
        <v>2655</v>
      </c>
      <c r="D109" s="7907" t="s">
        <v>2656</v>
      </c>
      <c r="E109" s="7907" t="s">
        <v>2657</v>
      </c>
      <c r="F109" s="7907" t="s">
        <v>2449</v>
      </c>
      <c r="G109" s="7907" t="s">
        <v>18</v>
      </c>
      <c r="H109" s="7907" t="s">
        <v>18</v>
      </c>
      <c r="I109" s="7907" t="s">
        <v>818</v>
      </c>
    </row>
    <row customHeight="1" ht="11.25">
      <c r="A110" s="7907" t="s">
        <v>2276</v>
      </c>
      <c r="B110" s="7907" t="s">
        <v>14</v>
      </c>
      <c r="C110" s="7907" t="s">
        <v>2658</v>
      </c>
      <c r="D110" s="7907" t="s">
        <v>2659</v>
      </c>
      <c r="E110" s="7907" t="s">
        <v>2660</v>
      </c>
      <c r="F110" s="7907" t="s">
        <v>2449</v>
      </c>
      <c r="G110" s="7907" t="s">
        <v>18</v>
      </c>
      <c r="H110" s="7907" t="s">
        <v>18</v>
      </c>
      <c r="I110" s="7907" t="s">
        <v>818</v>
      </c>
    </row>
    <row customHeight="1" ht="11.25">
      <c r="A111" s="7907" t="s">
        <v>2276</v>
      </c>
      <c r="B111" s="7907" t="s">
        <v>14</v>
      </c>
      <c r="C111" s="7907" t="s">
        <v>2661</v>
      </c>
      <c r="D111" s="7907" t="s">
        <v>2662</v>
      </c>
      <c r="E111" s="7907" t="s">
        <v>2663</v>
      </c>
      <c r="F111" s="7907" t="s">
        <v>2460</v>
      </c>
      <c r="G111" s="7907" t="s">
        <v>2664</v>
      </c>
      <c r="H111" s="7907" t="s">
        <v>18</v>
      </c>
      <c r="I111" s="7907" t="s">
        <v>818</v>
      </c>
    </row>
    <row customHeight="1" ht="11.25">
      <c r="A112" s="7907" t="s">
        <v>2276</v>
      </c>
      <c r="B112" s="7907" t="s">
        <v>14</v>
      </c>
      <c r="C112" s="7907" t="s">
        <v>2665</v>
      </c>
      <c r="D112" s="7907" t="s">
        <v>2666</v>
      </c>
      <c r="E112" s="7907" t="s">
        <v>2667</v>
      </c>
      <c r="F112" s="7907" t="s">
        <v>2449</v>
      </c>
      <c r="G112" s="7907" t="s">
        <v>18</v>
      </c>
      <c r="H112" s="7907" t="s">
        <v>18</v>
      </c>
      <c r="I112" s="7907" t="s">
        <v>818</v>
      </c>
    </row>
    <row customHeight="1" ht="11.25">
      <c r="A113" s="7907" t="s">
        <v>2276</v>
      </c>
      <c r="B113" s="7907" t="s">
        <v>14</v>
      </c>
      <c r="C113" s="7907" t="s">
        <v>2668</v>
      </c>
      <c r="D113" s="7907" t="s">
        <v>2669</v>
      </c>
      <c r="E113" s="7907" t="s">
        <v>2670</v>
      </c>
      <c r="F113" s="7907" t="s">
        <v>2608</v>
      </c>
      <c r="G113" s="7907" t="s">
        <v>18</v>
      </c>
      <c r="H113" s="7907" t="s">
        <v>18</v>
      </c>
      <c r="I113" s="7907" t="s">
        <v>818</v>
      </c>
    </row>
    <row customHeight="1" ht="11.25">
      <c r="A114" s="7907" t="s">
        <v>2276</v>
      </c>
      <c r="B114" s="7907" t="s">
        <v>14</v>
      </c>
      <c r="C114" s="7907" t="s">
        <v>2671</v>
      </c>
      <c r="D114" s="7907" t="s">
        <v>2672</v>
      </c>
      <c r="E114" s="7907" t="s">
        <v>2673</v>
      </c>
      <c r="F114" s="7907" t="s">
        <v>2608</v>
      </c>
      <c r="G114" s="7907" t="s">
        <v>18</v>
      </c>
      <c r="H114" s="7907" t="s">
        <v>18</v>
      </c>
      <c r="I114" s="7907" t="s">
        <v>818</v>
      </c>
    </row>
    <row customHeight="1" ht="11.25">
      <c r="A115" s="7907" t="s">
        <v>2276</v>
      </c>
      <c r="B115" s="7907" t="s">
        <v>14</v>
      </c>
      <c r="C115" s="7907" t="s">
        <v>2674</v>
      </c>
      <c r="D115" s="7907" t="s">
        <v>2675</v>
      </c>
      <c r="E115" s="7907" t="s">
        <v>2676</v>
      </c>
      <c r="F115" s="7907" t="s">
        <v>2353</v>
      </c>
      <c r="G115" s="7907" t="s">
        <v>18</v>
      </c>
      <c r="H115" s="7907" t="s">
        <v>18</v>
      </c>
      <c r="I115" s="7907" t="s">
        <v>818</v>
      </c>
    </row>
    <row customHeight="1" ht="11.25">
      <c r="A116" s="7907" t="s">
        <v>2276</v>
      </c>
      <c r="B116" s="7907" t="s">
        <v>14</v>
      </c>
      <c r="C116" s="7907" t="s">
        <v>2677</v>
      </c>
      <c r="D116" s="7907" t="s">
        <v>2678</v>
      </c>
      <c r="E116" s="7907" t="s">
        <v>2679</v>
      </c>
      <c r="F116" s="7907" t="s">
        <v>2628</v>
      </c>
      <c r="G116" s="7907" t="s">
        <v>2680</v>
      </c>
      <c r="H116" s="7907" t="s">
        <v>18</v>
      </c>
      <c r="I116" s="7907" t="s">
        <v>818</v>
      </c>
    </row>
    <row customHeight="1" ht="11.25">
      <c r="A117" s="7907" t="s">
        <v>2276</v>
      </c>
      <c r="B117" s="7907" t="s">
        <v>14</v>
      </c>
      <c r="C117" s="7907" t="s">
        <v>2681</v>
      </c>
      <c r="D117" s="7907" t="s">
        <v>2682</v>
      </c>
      <c r="E117" s="7907" t="s">
        <v>2683</v>
      </c>
      <c r="F117" s="7907" t="s">
        <v>2370</v>
      </c>
      <c r="G117" s="7907" t="s">
        <v>18</v>
      </c>
      <c r="H117" s="7907" t="s">
        <v>18</v>
      </c>
      <c r="I117" s="7907" t="s">
        <v>818</v>
      </c>
    </row>
    <row customHeight="1" ht="11.25">
      <c r="A118" s="7907" t="s">
        <v>2276</v>
      </c>
      <c r="B118" s="7907" t="s">
        <v>14</v>
      </c>
      <c r="C118" s="7907" t="s">
        <v>2684</v>
      </c>
      <c r="D118" s="7907" t="s">
        <v>2685</v>
      </c>
      <c r="E118" s="7907" t="s">
        <v>2686</v>
      </c>
      <c r="F118" s="7907" t="s">
        <v>2449</v>
      </c>
      <c r="G118" s="7907" t="s">
        <v>18</v>
      </c>
      <c r="H118" s="7907" t="s">
        <v>18</v>
      </c>
      <c r="I118" s="7907" t="s">
        <v>818</v>
      </c>
    </row>
    <row customHeight="1" ht="11.25">
      <c r="A119" s="7907" t="s">
        <v>2276</v>
      </c>
      <c r="B119" s="7907" t="s">
        <v>14</v>
      </c>
      <c r="C119" s="7907" t="s">
        <v>2687</v>
      </c>
      <c r="D119" s="7907" t="s">
        <v>2688</v>
      </c>
      <c r="E119" s="7907" t="s">
        <v>2689</v>
      </c>
      <c r="F119" s="7907" t="s">
        <v>2449</v>
      </c>
      <c r="G119" s="7907" t="s">
        <v>2690</v>
      </c>
      <c r="H119" s="7907" t="s">
        <v>18</v>
      </c>
      <c r="I119" s="7907" t="s">
        <v>818</v>
      </c>
    </row>
    <row customHeight="1" ht="11.25">
      <c r="A120" s="7907" t="s">
        <v>2276</v>
      </c>
      <c r="B120" s="7907" t="s">
        <v>14</v>
      </c>
      <c r="C120" s="7907" t="s">
        <v>2691</v>
      </c>
      <c r="D120" s="7907" t="s">
        <v>2692</v>
      </c>
      <c r="E120" s="7907" t="s">
        <v>2693</v>
      </c>
      <c r="F120" s="7907" t="s">
        <v>2449</v>
      </c>
      <c r="G120" s="7907" t="s">
        <v>18</v>
      </c>
      <c r="H120" s="7907" t="s">
        <v>18</v>
      </c>
      <c r="I120" s="7907" t="s">
        <v>818</v>
      </c>
    </row>
    <row customHeight="1" ht="11.25">
      <c r="A121" s="7907" t="s">
        <v>2276</v>
      </c>
      <c r="B121" s="7907" t="s">
        <v>14</v>
      </c>
      <c r="C121" s="7907" t="s">
        <v>2694</v>
      </c>
      <c r="D121" s="7907" t="s">
        <v>2695</v>
      </c>
      <c r="E121" s="7907" t="s">
        <v>2696</v>
      </c>
      <c r="F121" s="7907" t="s">
        <v>2441</v>
      </c>
      <c r="G121" s="7907" t="s">
        <v>2697</v>
      </c>
      <c r="H121" s="7907" t="s">
        <v>18</v>
      </c>
      <c r="I121" s="7907" t="s">
        <v>818</v>
      </c>
    </row>
    <row customHeight="1" ht="11.25">
      <c r="A122" s="7907" t="s">
        <v>2276</v>
      </c>
      <c r="B122" s="7907" t="s">
        <v>14</v>
      </c>
      <c r="C122" s="7907" t="s">
        <v>2698</v>
      </c>
      <c r="D122" s="7907" t="s">
        <v>2699</v>
      </c>
      <c r="E122" s="7907" t="s">
        <v>2700</v>
      </c>
      <c r="F122" s="7907" t="s">
        <v>2403</v>
      </c>
      <c r="G122" s="7907" t="s">
        <v>2701</v>
      </c>
      <c r="H122" s="7907" t="s">
        <v>18</v>
      </c>
      <c r="I122" s="7907" t="s">
        <v>818</v>
      </c>
    </row>
    <row customHeight="1" ht="11.25">
      <c r="A123" s="7907" t="s">
        <v>2276</v>
      </c>
      <c r="B123" s="7907" t="s">
        <v>14</v>
      </c>
      <c r="C123" s="7907" t="s">
        <v>2702</v>
      </c>
      <c r="D123" s="7907" t="s">
        <v>2703</v>
      </c>
      <c r="E123" s="7907" t="s">
        <v>2704</v>
      </c>
      <c r="F123" s="7907" t="s">
        <v>2460</v>
      </c>
      <c r="G123" s="7907" t="s">
        <v>2705</v>
      </c>
      <c r="H123" s="7907" t="s">
        <v>18</v>
      </c>
      <c r="I123" s="7907" t="s">
        <v>818</v>
      </c>
    </row>
    <row customHeight="1" ht="11.25">
      <c r="A124" s="7907" t="s">
        <v>2276</v>
      </c>
      <c r="B124" s="7907" t="s">
        <v>14</v>
      </c>
      <c r="C124" s="7907" t="s">
        <v>2706</v>
      </c>
      <c r="D124" s="7907" t="s">
        <v>2707</v>
      </c>
      <c r="E124" s="7907" t="s">
        <v>2708</v>
      </c>
      <c r="F124" s="7907" t="s">
        <v>2487</v>
      </c>
      <c r="G124" s="7907" t="s">
        <v>2709</v>
      </c>
      <c r="H124" s="7907" t="s">
        <v>18</v>
      </c>
      <c r="I124" s="7907" t="s">
        <v>818</v>
      </c>
    </row>
    <row customHeight="1" ht="11.25">
      <c r="A125" s="7907" t="s">
        <v>2276</v>
      </c>
      <c r="B125" s="7907" t="s">
        <v>14</v>
      </c>
      <c r="C125" s="7907" t="s">
        <v>2710</v>
      </c>
      <c r="D125" s="7907" t="s">
        <v>2711</v>
      </c>
      <c r="E125" s="7907" t="s">
        <v>2712</v>
      </c>
      <c r="F125" s="7907" t="s">
        <v>2713</v>
      </c>
      <c r="G125" s="7907" t="s">
        <v>2714</v>
      </c>
      <c r="H125" s="7907" t="s">
        <v>18</v>
      </c>
      <c r="I125" s="7907" t="s">
        <v>818</v>
      </c>
    </row>
    <row customHeight="1" ht="11.25">
      <c r="A126" s="7907" t="s">
        <v>2276</v>
      </c>
      <c r="B126" s="7907" t="s">
        <v>14</v>
      </c>
      <c r="C126" s="7907" t="s">
        <v>2715</v>
      </c>
      <c r="D126" s="7907" t="s">
        <v>2716</v>
      </c>
      <c r="E126" s="7907" t="s">
        <v>2717</v>
      </c>
      <c r="F126" s="7907" t="s">
        <v>2441</v>
      </c>
      <c r="G126" s="7907" t="s">
        <v>18</v>
      </c>
      <c r="H126" s="7907" t="s">
        <v>18</v>
      </c>
      <c r="I126" s="7907" t="s">
        <v>818</v>
      </c>
    </row>
    <row customHeight="1" ht="11.25">
      <c r="A127" s="7907" t="s">
        <v>2276</v>
      </c>
      <c r="B127" s="7907" t="s">
        <v>14</v>
      </c>
      <c r="C127" s="7907" t="s">
        <v>2718</v>
      </c>
      <c r="D127" s="7907" t="s">
        <v>2719</v>
      </c>
      <c r="E127" s="7907" t="s">
        <v>2720</v>
      </c>
      <c r="F127" s="7907" t="s">
        <v>2449</v>
      </c>
      <c r="G127" s="7907" t="s">
        <v>18</v>
      </c>
      <c r="H127" s="7907" t="s">
        <v>18</v>
      </c>
      <c r="I127" s="7907" t="s">
        <v>818</v>
      </c>
    </row>
    <row customHeight="1" ht="11.25">
      <c r="A128" s="7907" t="s">
        <v>2276</v>
      </c>
      <c r="B128" s="7907" t="s">
        <v>14</v>
      </c>
      <c r="C128" s="7907" t="s">
        <v>2721</v>
      </c>
      <c r="D128" s="7907" t="s">
        <v>2722</v>
      </c>
      <c r="E128" s="7907" t="s">
        <v>2723</v>
      </c>
      <c r="F128" s="7907" t="s">
        <v>2391</v>
      </c>
      <c r="G128" s="7907" t="s">
        <v>18</v>
      </c>
      <c r="H128" s="7907" t="s">
        <v>18</v>
      </c>
      <c r="I128" s="7907" t="s">
        <v>818</v>
      </c>
    </row>
    <row customHeight="1" ht="11.25">
      <c r="A129" s="7907" t="s">
        <v>2276</v>
      </c>
      <c r="B129" s="7907" t="s">
        <v>14</v>
      </c>
      <c r="C129" s="7907" t="s">
        <v>2724</v>
      </c>
      <c r="D129" s="7907" t="s">
        <v>2725</v>
      </c>
      <c r="E129" s="7907" t="s">
        <v>2726</v>
      </c>
      <c r="F129" s="7907" t="s">
        <v>2353</v>
      </c>
      <c r="G129" s="7907" t="s">
        <v>18</v>
      </c>
      <c r="H129" s="7907" t="s">
        <v>18</v>
      </c>
      <c r="I129" s="7907" t="s">
        <v>818</v>
      </c>
    </row>
    <row customHeight="1" ht="11.25">
      <c r="A130" s="7907" t="s">
        <v>2276</v>
      </c>
      <c r="B130" s="7907" t="s">
        <v>14</v>
      </c>
      <c r="C130" s="7907" t="s">
        <v>2727</v>
      </c>
      <c r="D130" s="7907" t="s">
        <v>2728</v>
      </c>
      <c r="E130" s="7907" t="s">
        <v>2729</v>
      </c>
      <c r="F130" s="7907" t="s">
        <v>2408</v>
      </c>
      <c r="G130" s="7907" t="s">
        <v>2730</v>
      </c>
      <c r="H130" s="7907" t="s">
        <v>18</v>
      </c>
      <c r="I130" s="7907" t="s">
        <v>818</v>
      </c>
    </row>
    <row customHeight="1" ht="11.25">
      <c r="A131" s="7907" t="s">
        <v>2276</v>
      </c>
      <c r="B131" s="7907" t="s">
        <v>14</v>
      </c>
      <c r="C131" s="7907" t="s">
        <v>2731</v>
      </c>
      <c r="D131" s="7907" t="s">
        <v>2732</v>
      </c>
      <c r="E131" s="7907" t="s">
        <v>2733</v>
      </c>
      <c r="F131" s="7907" t="s">
        <v>2403</v>
      </c>
      <c r="G131" s="7907" t="s">
        <v>2734</v>
      </c>
      <c r="H131" s="7907" t="s">
        <v>18</v>
      </c>
      <c r="I131" s="7907" t="s">
        <v>818</v>
      </c>
    </row>
    <row customHeight="1" ht="11.25">
      <c r="A132" s="7907" t="s">
        <v>2276</v>
      </c>
      <c r="B132" s="7907" t="s">
        <v>14</v>
      </c>
      <c r="C132" s="7907" t="s">
        <v>2735</v>
      </c>
      <c r="D132" s="7907" t="s">
        <v>2736</v>
      </c>
      <c r="E132" s="7907" t="s">
        <v>2737</v>
      </c>
      <c r="F132" s="7907" t="s">
        <v>2329</v>
      </c>
      <c r="G132" s="7907" t="s">
        <v>2738</v>
      </c>
      <c r="H132" s="7907" t="s">
        <v>18</v>
      </c>
      <c r="I132" s="7907" t="s">
        <v>818</v>
      </c>
    </row>
    <row customHeight="1" ht="11.25">
      <c r="A133" s="7907" t="s">
        <v>2276</v>
      </c>
      <c r="B133" s="7907" t="s">
        <v>14</v>
      </c>
      <c r="C133" s="7907" t="s">
        <v>2739</v>
      </c>
      <c r="D133" s="7907" t="s">
        <v>2740</v>
      </c>
      <c r="E133" s="7907" t="s">
        <v>2741</v>
      </c>
      <c r="F133" s="7907" t="s">
        <v>2608</v>
      </c>
      <c r="G133" s="7907" t="s">
        <v>2742</v>
      </c>
      <c r="H133" s="7907" t="s">
        <v>18</v>
      </c>
      <c r="I133" s="7907" t="s">
        <v>818</v>
      </c>
    </row>
    <row customHeight="1" ht="11.25">
      <c r="A134" s="7907" t="s">
        <v>2276</v>
      </c>
      <c r="B134" s="7907" t="s">
        <v>14</v>
      </c>
      <c r="C134" s="7907" t="s">
        <v>2743</v>
      </c>
      <c r="D134" s="7907" t="s">
        <v>2744</v>
      </c>
      <c r="E134" s="7907" t="s">
        <v>2745</v>
      </c>
      <c r="F134" s="7907" t="s">
        <v>2329</v>
      </c>
      <c r="G134" s="7907" t="s">
        <v>2746</v>
      </c>
      <c r="H134" s="7907" t="s">
        <v>18</v>
      </c>
      <c r="I134" s="7907" t="s">
        <v>818</v>
      </c>
    </row>
    <row customHeight="1" ht="11.25">
      <c r="A135" s="7907" t="s">
        <v>2276</v>
      </c>
      <c r="B135" s="7907" t="s">
        <v>14</v>
      </c>
      <c r="C135" s="7907" t="s">
        <v>2747</v>
      </c>
      <c r="D135" s="7907" t="s">
        <v>2748</v>
      </c>
      <c r="E135" s="7907" t="s">
        <v>2749</v>
      </c>
      <c r="F135" s="7907" t="s">
        <v>2608</v>
      </c>
      <c r="G135" s="7907" t="s">
        <v>2750</v>
      </c>
      <c r="H135" s="7907" t="s">
        <v>18</v>
      </c>
      <c r="I135" s="7907" t="s">
        <v>818</v>
      </c>
    </row>
    <row customHeight="1" ht="11.25">
      <c r="A136" s="7907" t="s">
        <v>2276</v>
      </c>
      <c r="B136" s="7907" t="s">
        <v>14</v>
      </c>
      <c r="C136" s="7907" t="s">
        <v>2751</v>
      </c>
      <c r="D136" s="7907" t="s">
        <v>2752</v>
      </c>
      <c r="E136" s="7907" t="s">
        <v>2753</v>
      </c>
      <c r="F136" s="7907" t="s">
        <v>2412</v>
      </c>
      <c r="G136" s="7907" t="s">
        <v>2754</v>
      </c>
      <c r="H136" s="7907" t="s">
        <v>18</v>
      </c>
      <c r="I136" s="7907" t="s">
        <v>818</v>
      </c>
    </row>
    <row customHeight="1" ht="11.25">
      <c r="A137" s="7907" t="s">
        <v>2276</v>
      </c>
      <c r="B137" s="7907" t="s">
        <v>14</v>
      </c>
      <c r="C137" s="7907" t="s">
        <v>2755</v>
      </c>
      <c r="D137" s="7907" t="s">
        <v>2756</v>
      </c>
      <c r="E137" s="7907" t="s">
        <v>2757</v>
      </c>
      <c r="F137" s="7907" t="s">
        <v>2628</v>
      </c>
      <c r="G137" s="7907" t="s">
        <v>18</v>
      </c>
      <c r="H137" s="7907" t="s">
        <v>18</v>
      </c>
      <c r="I137" s="7907" t="s">
        <v>818</v>
      </c>
    </row>
    <row customHeight="1" ht="11.25">
      <c r="A138" s="7907" t="s">
        <v>2276</v>
      </c>
      <c r="B138" s="7907" t="s">
        <v>14</v>
      </c>
      <c r="C138" s="7907" t="s">
        <v>2758</v>
      </c>
      <c r="D138" s="7907" t="s">
        <v>2759</v>
      </c>
      <c r="E138" s="7907" t="s">
        <v>2760</v>
      </c>
      <c r="F138" s="7907" t="s">
        <v>2628</v>
      </c>
      <c r="G138" s="7907" t="s">
        <v>18</v>
      </c>
      <c r="H138" s="7907" t="s">
        <v>18</v>
      </c>
      <c r="I138" s="7907" t="s">
        <v>818</v>
      </c>
    </row>
    <row customHeight="1" ht="11.25">
      <c r="A139" s="7907" t="s">
        <v>2276</v>
      </c>
      <c r="B139" s="7907" t="s">
        <v>14</v>
      </c>
      <c r="C139" s="7907" t="s">
        <v>2761</v>
      </c>
      <c r="D139" s="7907" t="s">
        <v>2762</v>
      </c>
      <c r="E139" s="7907" t="s">
        <v>2763</v>
      </c>
      <c r="F139" s="7907" t="s">
        <v>2370</v>
      </c>
      <c r="G139" s="7907" t="s">
        <v>2764</v>
      </c>
      <c r="H139" s="7907" t="s">
        <v>18</v>
      </c>
      <c r="I139" s="7907" t="s">
        <v>818</v>
      </c>
    </row>
    <row customHeight="1" ht="11.25">
      <c r="A140" s="7907" t="s">
        <v>2276</v>
      </c>
      <c r="B140" s="7907" t="s">
        <v>14</v>
      </c>
      <c r="C140" s="7907" t="s">
        <v>2765</v>
      </c>
      <c r="D140" s="7907" t="s">
        <v>2766</v>
      </c>
      <c r="E140" s="7907" t="s">
        <v>2767</v>
      </c>
      <c r="F140" s="7907" t="s">
        <v>2423</v>
      </c>
      <c r="G140" s="7907" t="s">
        <v>18</v>
      </c>
      <c r="H140" s="7907" t="s">
        <v>18</v>
      </c>
      <c r="I140" s="7907" t="s">
        <v>818</v>
      </c>
    </row>
    <row customHeight="1" ht="11.25">
      <c r="A141" s="7907" t="s">
        <v>2276</v>
      </c>
      <c r="B141" s="7907" t="s">
        <v>14</v>
      </c>
      <c r="C141" s="7907" t="s">
        <v>2768</v>
      </c>
      <c r="D141" s="7907" t="s">
        <v>2769</v>
      </c>
      <c r="E141" s="7907" t="s">
        <v>2770</v>
      </c>
      <c r="F141" s="7907" t="s">
        <v>2423</v>
      </c>
      <c r="G141" s="7907" t="s">
        <v>18</v>
      </c>
      <c r="H141" s="7907" t="s">
        <v>18</v>
      </c>
      <c r="I141" s="7907" t="s">
        <v>818</v>
      </c>
    </row>
    <row customHeight="1" ht="11.25">
      <c r="A142" s="7907" t="s">
        <v>2276</v>
      </c>
      <c r="B142" s="7907" t="s">
        <v>14</v>
      </c>
      <c r="C142" s="7907" t="s">
        <v>2771</v>
      </c>
      <c r="D142" s="7907" t="s">
        <v>2772</v>
      </c>
      <c r="E142" s="7907" t="s">
        <v>2773</v>
      </c>
      <c r="F142" s="7907" t="s">
        <v>2449</v>
      </c>
      <c r="G142" s="7907" t="s">
        <v>2774</v>
      </c>
      <c r="H142" s="7907" t="s">
        <v>18</v>
      </c>
      <c r="I142" s="7907" t="s">
        <v>818</v>
      </c>
    </row>
    <row customHeight="1" ht="11.25">
      <c r="A143" s="7907" t="s">
        <v>2276</v>
      </c>
      <c r="B143" s="7907" t="s">
        <v>14</v>
      </c>
      <c r="C143" s="7907" t="s">
        <v>2775</v>
      </c>
      <c r="D143" s="7907" t="s">
        <v>2776</v>
      </c>
      <c r="E143" s="7907" t="s">
        <v>2777</v>
      </c>
      <c r="F143" s="7907" t="s">
        <v>48</v>
      </c>
      <c r="G143" s="7907" t="s">
        <v>18</v>
      </c>
      <c r="H143" s="7907" t="s">
        <v>18</v>
      </c>
      <c r="I143" s="7907" t="s">
        <v>818</v>
      </c>
    </row>
    <row customHeight="1" ht="11.25">
      <c r="A144" s="7907" t="s">
        <v>2276</v>
      </c>
      <c r="B144" s="7907" t="s">
        <v>14</v>
      </c>
      <c r="C144" s="7907" t="s">
        <v>2778</v>
      </c>
      <c r="D144" s="7907" t="s">
        <v>2779</v>
      </c>
      <c r="E144" s="7907" t="s">
        <v>2780</v>
      </c>
      <c r="F144" s="7907" t="s">
        <v>2469</v>
      </c>
      <c r="G144" s="7907" t="s">
        <v>2781</v>
      </c>
      <c r="H144" s="7907" t="s">
        <v>18</v>
      </c>
      <c r="I144" s="7907" t="s">
        <v>818</v>
      </c>
    </row>
    <row customHeight="1" ht="11.25">
      <c r="A145" s="7907" t="s">
        <v>2276</v>
      </c>
      <c r="B145" s="7907" t="s">
        <v>14</v>
      </c>
      <c r="C145" s="7907" t="s">
        <v>2782</v>
      </c>
      <c r="D145" s="7907" t="s">
        <v>2783</v>
      </c>
      <c r="E145" s="7907" t="s">
        <v>2784</v>
      </c>
      <c r="F145" s="7907" t="s">
        <v>2403</v>
      </c>
      <c r="G145" s="7907" t="s">
        <v>2785</v>
      </c>
      <c r="H145" s="7907" t="s">
        <v>18</v>
      </c>
      <c r="I145" s="7907" t="s">
        <v>818</v>
      </c>
    </row>
    <row customHeight="1" ht="11.25">
      <c r="A146" s="7907" t="s">
        <v>2276</v>
      </c>
      <c r="B146" s="7907" t="s">
        <v>14</v>
      </c>
      <c r="C146" s="7907" t="s">
        <v>2786</v>
      </c>
      <c r="D146" s="7907" t="s">
        <v>2787</v>
      </c>
      <c r="E146" s="7907" t="s">
        <v>2788</v>
      </c>
      <c r="F146" s="7907" t="s">
        <v>2449</v>
      </c>
      <c r="G146" s="7907" t="s">
        <v>2615</v>
      </c>
      <c r="H146" s="7907" t="s">
        <v>18</v>
      </c>
      <c r="I146" s="7907" t="s">
        <v>818</v>
      </c>
    </row>
    <row customHeight="1" ht="11.25">
      <c r="A147" s="7907" t="s">
        <v>2276</v>
      </c>
      <c r="B147" s="7907" t="s">
        <v>14</v>
      </c>
      <c r="C147" s="7907" t="s">
        <v>2789</v>
      </c>
      <c r="D147" s="7907" t="s">
        <v>2790</v>
      </c>
      <c r="E147" s="7907" t="s">
        <v>2791</v>
      </c>
      <c r="F147" s="7907" t="s">
        <v>2628</v>
      </c>
      <c r="G147" s="7907" t="s">
        <v>18</v>
      </c>
      <c r="H147" s="7907" t="s">
        <v>18</v>
      </c>
      <c r="I147" s="7907" t="s">
        <v>818</v>
      </c>
    </row>
    <row customHeight="1" ht="11.25">
      <c r="A148" s="7907" t="s">
        <v>2276</v>
      </c>
      <c r="B148" s="7907" t="s">
        <v>14</v>
      </c>
      <c r="C148" s="7907" t="s">
        <v>2792</v>
      </c>
      <c r="D148" s="7907" t="s">
        <v>2793</v>
      </c>
      <c r="E148" s="7907" t="s">
        <v>2794</v>
      </c>
      <c r="F148" s="7907" t="s">
        <v>2399</v>
      </c>
      <c r="G148" s="7907" t="s">
        <v>18</v>
      </c>
      <c r="H148" s="7907" t="s">
        <v>18</v>
      </c>
      <c r="I148" s="7907" t="s">
        <v>818</v>
      </c>
    </row>
    <row customHeight="1" ht="11.25">
      <c r="A149" s="7907" t="s">
        <v>2276</v>
      </c>
      <c r="B149" s="7907" t="s">
        <v>14</v>
      </c>
      <c r="C149" s="7907" t="s">
        <v>2795</v>
      </c>
      <c r="D149" s="7907" t="s">
        <v>2796</v>
      </c>
      <c r="E149" s="7907" t="s">
        <v>2797</v>
      </c>
      <c r="F149" s="7907" t="s">
        <v>2566</v>
      </c>
      <c r="G149" s="7907" t="s">
        <v>2798</v>
      </c>
      <c r="H149" s="7907" t="s">
        <v>18</v>
      </c>
      <c r="I149" s="7907" t="s">
        <v>818</v>
      </c>
    </row>
    <row customHeight="1" ht="11.25">
      <c r="A150" s="7907" t="s">
        <v>2276</v>
      </c>
      <c r="B150" s="7907" t="s">
        <v>14</v>
      </c>
      <c r="C150" s="7907" t="s">
        <v>2799</v>
      </c>
      <c r="D150" s="7907" t="s">
        <v>2800</v>
      </c>
      <c r="E150" s="7907" t="s">
        <v>2801</v>
      </c>
      <c r="F150" s="7907" t="s">
        <v>2628</v>
      </c>
      <c r="G150" s="7907" t="s">
        <v>18</v>
      </c>
      <c r="H150" s="7907" t="s">
        <v>18</v>
      </c>
      <c r="I150" s="7907" t="s">
        <v>818</v>
      </c>
    </row>
    <row customHeight="1" ht="11.25">
      <c r="A151" s="7907" t="s">
        <v>2276</v>
      </c>
      <c r="B151" s="7907" t="s">
        <v>14</v>
      </c>
      <c r="C151" s="7907" t="s">
        <v>2802</v>
      </c>
      <c r="D151" s="7907" t="s">
        <v>2803</v>
      </c>
      <c r="E151" s="7907" t="s">
        <v>2804</v>
      </c>
      <c r="F151" s="7907" t="s">
        <v>2329</v>
      </c>
      <c r="G151" s="7907" t="s">
        <v>2805</v>
      </c>
      <c r="H151" s="7907" t="s">
        <v>18</v>
      </c>
      <c r="I151" s="7907" t="s">
        <v>818</v>
      </c>
    </row>
    <row customHeight="1" ht="11.25">
      <c r="A152" s="7907" t="s">
        <v>2276</v>
      </c>
      <c r="B152" s="7907" t="s">
        <v>14</v>
      </c>
      <c r="C152" s="7907" t="s">
        <v>2806</v>
      </c>
      <c r="D152" s="7907" t="s">
        <v>2807</v>
      </c>
      <c r="E152" s="7907" t="s">
        <v>2808</v>
      </c>
      <c r="F152" s="7907" t="s">
        <v>2353</v>
      </c>
      <c r="G152" s="7907" t="s">
        <v>2809</v>
      </c>
      <c r="H152" s="7907" t="s">
        <v>18</v>
      </c>
      <c r="I152" s="7907" t="s">
        <v>818</v>
      </c>
    </row>
    <row customHeight="1" ht="11.25">
      <c r="A153" s="7907" t="s">
        <v>2276</v>
      </c>
      <c r="B153" s="7907" t="s">
        <v>14</v>
      </c>
      <c r="C153" s="7907" t="s">
        <v>2810</v>
      </c>
      <c r="D153" s="7907" t="s">
        <v>2811</v>
      </c>
      <c r="E153" s="7907" t="s">
        <v>2812</v>
      </c>
      <c r="F153" s="7907" t="s">
        <v>2441</v>
      </c>
      <c r="G153" s="7907" t="s">
        <v>18</v>
      </c>
      <c r="H153" s="7907" t="s">
        <v>18</v>
      </c>
      <c r="I153" s="7907" t="s">
        <v>818</v>
      </c>
    </row>
    <row customHeight="1" ht="11.25">
      <c r="A154" s="7907" t="s">
        <v>2276</v>
      </c>
      <c r="B154" s="7907" t="s">
        <v>14</v>
      </c>
      <c r="C154" s="7907" t="s">
        <v>2813</v>
      </c>
      <c r="D154" s="7907" t="s">
        <v>2814</v>
      </c>
      <c r="E154" s="7907" t="s">
        <v>2815</v>
      </c>
      <c r="F154" s="7907" t="s">
        <v>2816</v>
      </c>
      <c r="G154" s="7907" t="s">
        <v>2817</v>
      </c>
      <c r="H154" s="7907" t="s">
        <v>18</v>
      </c>
      <c r="I154" s="7907" t="s">
        <v>818</v>
      </c>
    </row>
    <row customHeight="1" ht="11.25">
      <c r="A155" s="7907" t="s">
        <v>2276</v>
      </c>
      <c r="B155" s="7907" t="s">
        <v>14</v>
      </c>
      <c r="C155" s="7907" t="s">
        <v>2818</v>
      </c>
      <c r="D155" s="7907" t="s">
        <v>2819</v>
      </c>
      <c r="E155" s="7907" t="s">
        <v>2820</v>
      </c>
      <c r="F155" s="7907" t="s">
        <v>2487</v>
      </c>
      <c r="G155" s="7907" t="s">
        <v>18</v>
      </c>
      <c r="H155" s="7907" t="s">
        <v>18</v>
      </c>
      <c r="I155" s="7907" t="s">
        <v>818</v>
      </c>
    </row>
    <row customHeight="1" ht="11.25">
      <c r="A156" s="7907" t="s">
        <v>2276</v>
      </c>
      <c r="B156" s="7907" t="s">
        <v>14</v>
      </c>
      <c r="C156" s="7907" t="s">
        <v>2821</v>
      </c>
      <c r="D156" s="7907" t="s">
        <v>2822</v>
      </c>
      <c r="E156" s="7907" t="s">
        <v>2823</v>
      </c>
      <c r="F156" s="7907" t="s">
        <v>2441</v>
      </c>
      <c r="G156" s="7907" t="s">
        <v>18</v>
      </c>
      <c r="H156" s="7907" t="s">
        <v>18</v>
      </c>
      <c r="I156" s="7907" t="s">
        <v>818</v>
      </c>
    </row>
    <row customHeight="1" ht="11.25">
      <c r="A157" s="7907" t="s">
        <v>2276</v>
      </c>
      <c r="B157" s="7907" t="s">
        <v>14</v>
      </c>
      <c r="C157" s="7907" t="s">
        <v>2824</v>
      </c>
      <c r="D157" s="7907" t="s">
        <v>2825</v>
      </c>
      <c r="E157" s="7907" t="s">
        <v>2826</v>
      </c>
      <c r="F157" s="7907" t="s">
        <v>48</v>
      </c>
      <c r="G157" s="7907" t="s">
        <v>18</v>
      </c>
      <c r="H157" s="7907" t="s">
        <v>18</v>
      </c>
      <c r="I157" s="7907" t="s">
        <v>818</v>
      </c>
    </row>
    <row customHeight="1" ht="11.25">
      <c r="A158" s="7907" t="s">
        <v>2276</v>
      </c>
      <c r="B158" s="7907" t="s">
        <v>14</v>
      </c>
      <c r="C158" s="7907" t="s">
        <v>2827</v>
      </c>
      <c r="D158" s="7907" t="s">
        <v>2828</v>
      </c>
      <c r="E158" s="7907" t="s">
        <v>2829</v>
      </c>
      <c r="F158" s="7907" t="s">
        <v>2342</v>
      </c>
      <c r="G158" s="7907" t="s">
        <v>2830</v>
      </c>
      <c r="H158" s="7907" t="s">
        <v>18</v>
      </c>
      <c r="I158" s="7907" t="s">
        <v>818</v>
      </c>
    </row>
    <row customHeight="1" ht="11.25">
      <c r="A159" s="7907" t="s">
        <v>2276</v>
      </c>
      <c r="B159" s="7907" t="s">
        <v>14</v>
      </c>
      <c r="C159" s="7907" t="s">
        <v>2831</v>
      </c>
      <c r="D159" s="7907" t="s">
        <v>2832</v>
      </c>
      <c r="E159" s="7907" t="s">
        <v>2833</v>
      </c>
      <c r="F159" s="7907" t="s">
        <v>48</v>
      </c>
      <c r="G159" s="7907" t="s">
        <v>18</v>
      </c>
      <c r="H159" s="7907" t="s">
        <v>18</v>
      </c>
      <c r="I159" s="7907" t="s">
        <v>818</v>
      </c>
    </row>
    <row customHeight="1" ht="11.25">
      <c r="A160" s="7907" t="s">
        <v>2276</v>
      </c>
      <c r="B160" s="7907" t="s">
        <v>14</v>
      </c>
      <c r="C160" s="7907" t="s">
        <v>2834</v>
      </c>
      <c r="D160" s="7907" t="s">
        <v>2835</v>
      </c>
      <c r="E160" s="7907" t="s">
        <v>2836</v>
      </c>
      <c r="F160" s="7907" t="s">
        <v>2837</v>
      </c>
      <c r="G160" s="7907" t="s">
        <v>18</v>
      </c>
      <c r="H160" s="7907" t="s">
        <v>18</v>
      </c>
      <c r="I160" s="7907" t="s">
        <v>818</v>
      </c>
    </row>
    <row customHeight="1" ht="11.25">
      <c r="A161" s="7907" t="s">
        <v>2276</v>
      </c>
      <c r="B161" s="7907" t="s">
        <v>14</v>
      </c>
      <c r="C161" s="7907" t="s">
        <v>2838</v>
      </c>
      <c r="D161" s="7907" t="s">
        <v>2839</v>
      </c>
      <c r="E161" s="7907" t="s">
        <v>2840</v>
      </c>
      <c r="F161" s="7907" t="s">
        <v>2391</v>
      </c>
      <c r="G161" s="7907" t="s">
        <v>18</v>
      </c>
      <c r="H161" s="7907" t="s">
        <v>18</v>
      </c>
      <c r="I161" s="7907" t="s">
        <v>818</v>
      </c>
    </row>
    <row customHeight="1" ht="11.25">
      <c r="A162" s="7907" t="s">
        <v>2276</v>
      </c>
      <c r="B162" s="7907" t="s">
        <v>14</v>
      </c>
      <c r="C162" s="7907" t="s">
        <v>2841</v>
      </c>
      <c r="D162" s="7907" t="s">
        <v>2842</v>
      </c>
      <c r="E162" s="7907" t="s">
        <v>2843</v>
      </c>
      <c r="F162" s="7907" t="s">
        <v>2844</v>
      </c>
      <c r="G162" s="7907" t="s">
        <v>18</v>
      </c>
      <c r="H162" s="7907" t="s">
        <v>18</v>
      </c>
      <c r="I162" s="7907" t="s">
        <v>818</v>
      </c>
    </row>
    <row customHeight="1" ht="11.25">
      <c r="A163" s="7907" t="s">
        <v>2276</v>
      </c>
      <c r="B163" s="7907" t="s">
        <v>14</v>
      </c>
      <c r="C163" s="7907" t="s">
        <v>2845</v>
      </c>
      <c r="D163" s="7907" t="s">
        <v>2846</v>
      </c>
      <c r="E163" s="7907" t="s">
        <v>2847</v>
      </c>
      <c r="F163" s="7907" t="s">
        <v>2848</v>
      </c>
      <c r="G163" s="7907" t="s">
        <v>2849</v>
      </c>
      <c r="H163" s="7907" t="s">
        <v>18</v>
      </c>
      <c r="I163" s="7907" t="s">
        <v>818</v>
      </c>
    </row>
    <row customHeight="1" ht="11.25">
      <c r="A164" s="7907" t="s">
        <v>2276</v>
      </c>
      <c r="B164" s="7907" t="s">
        <v>14</v>
      </c>
      <c r="C164" s="7907" t="s">
        <v>2850</v>
      </c>
      <c r="D164" s="7907" t="s">
        <v>2851</v>
      </c>
      <c r="E164" s="7907" t="s">
        <v>2373</v>
      </c>
      <c r="F164" s="7907" t="s">
        <v>2852</v>
      </c>
      <c r="G164" s="7907" t="s">
        <v>2853</v>
      </c>
      <c r="H164" s="7907" t="s">
        <v>18</v>
      </c>
      <c r="I164" s="7907" t="s">
        <v>818</v>
      </c>
    </row>
    <row customHeight="1" ht="11.25">
      <c r="A165" s="7907" t="s">
        <v>2276</v>
      </c>
      <c r="B165" s="7907" t="s">
        <v>14</v>
      </c>
      <c r="C165" s="7907" t="s">
        <v>2854</v>
      </c>
      <c r="D165" s="7907" t="s">
        <v>2855</v>
      </c>
      <c r="E165" s="7907" t="s">
        <v>2856</v>
      </c>
      <c r="F165" s="7907" t="s">
        <v>2449</v>
      </c>
      <c r="G165" s="7907" t="s">
        <v>18</v>
      </c>
      <c r="H165" s="7907" t="s">
        <v>18</v>
      </c>
      <c r="I165" s="7907" t="s">
        <v>818</v>
      </c>
    </row>
    <row customHeight="1" ht="11.25">
      <c r="A166" s="7907" t="s">
        <v>2276</v>
      </c>
      <c r="B166" s="7907" t="s">
        <v>14</v>
      </c>
      <c r="C166" s="7907" t="s">
        <v>2277</v>
      </c>
      <c r="D166" s="7907" t="s">
        <v>2278</v>
      </c>
      <c r="E166" s="7907" t="s">
        <v>2279</v>
      </c>
      <c r="F166" s="7907" t="s">
        <v>2280</v>
      </c>
      <c r="G166" s="7907" t="s">
        <v>2281</v>
      </c>
      <c r="H166" s="7907" t="s">
        <v>18</v>
      </c>
      <c r="I166" s="7907" t="s">
        <v>902</v>
      </c>
    </row>
    <row customHeight="1" ht="11.25">
      <c r="A167" s="7907" t="s">
        <v>2276</v>
      </c>
      <c r="B167" s="7907" t="s">
        <v>14</v>
      </c>
      <c r="C167" s="7907" t="s">
        <v>2286</v>
      </c>
      <c r="D167" s="7907" t="s">
        <v>43</v>
      </c>
      <c r="E167" s="7907" t="s">
        <v>46</v>
      </c>
      <c r="F167" s="7907" t="s">
        <v>48</v>
      </c>
      <c r="G167" s="7907" t="s">
        <v>2287</v>
      </c>
      <c r="H167" s="7907" t="s">
        <v>18</v>
      </c>
      <c r="I167" s="7907" t="s">
        <v>902</v>
      </c>
    </row>
    <row customHeight="1" ht="11.25">
      <c r="A168" s="7907" t="s">
        <v>2276</v>
      </c>
      <c r="B168" s="7907" t="s">
        <v>14</v>
      </c>
      <c r="C168" s="7907" t="s">
        <v>2290</v>
      </c>
      <c r="D168" s="7907" t="s">
        <v>2291</v>
      </c>
      <c r="E168" s="7907" t="s">
        <v>46</v>
      </c>
      <c r="F168" s="7907" t="s">
        <v>2292</v>
      </c>
      <c r="G168" s="7907" t="s">
        <v>18</v>
      </c>
      <c r="H168" s="7907" t="s">
        <v>18</v>
      </c>
      <c r="I168" s="7907" t="s">
        <v>902</v>
      </c>
    </row>
    <row customHeight="1" ht="11.25">
      <c r="A169" s="7907" t="s">
        <v>2276</v>
      </c>
      <c r="B169" s="7907" t="s">
        <v>14</v>
      </c>
      <c r="C169" s="7907" t="s">
        <v>2326</v>
      </c>
      <c r="D169" s="7907" t="s">
        <v>2327</v>
      </c>
      <c r="E169" s="7907" t="s">
        <v>2328</v>
      </c>
      <c r="F169" s="7907" t="s">
        <v>2329</v>
      </c>
      <c r="G169" s="7907" t="s">
        <v>2330</v>
      </c>
      <c r="H169" s="7907" t="s">
        <v>18</v>
      </c>
      <c r="I169" s="7907" t="s">
        <v>902</v>
      </c>
    </row>
    <row customHeight="1" ht="11.25">
      <c r="A170" s="7907" t="s">
        <v>2276</v>
      </c>
      <c r="B170" s="7907" t="s">
        <v>14</v>
      </c>
      <c r="C170" s="7907" t="s">
        <v>2331</v>
      </c>
      <c r="D170" s="7907" t="s">
        <v>2332</v>
      </c>
      <c r="E170" s="7907" t="s">
        <v>2333</v>
      </c>
      <c r="F170" s="7907" t="s">
        <v>2329</v>
      </c>
      <c r="G170" s="7907" t="s">
        <v>2334</v>
      </c>
      <c r="H170" s="7907" t="s">
        <v>18</v>
      </c>
      <c r="I170" s="7907" t="s">
        <v>902</v>
      </c>
    </row>
    <row customHeight="1" ht="11.25">
      <c r="A171" s="7907" t="s">
        <v>2276</v>
      </c>
      <c r="B171" s="7907" t="s">
        <v>14</v>
      </c>
      <c r="C171" s="7907" t="s">
        <v>2339</v>
      </c>
      <c r="D171" s="7907" t="s">
        <v>2340</v>
      </c>
      <c r="E171" s="7907" t="s">
        <v>2341</v>
      </c>
      <c r="F171" s="7907" t="s">
        <v>2342</v>
      </c>
      <c r="G171" s="7907" t="s">
        <v>18</v>
      </c>
      <c r="H171" s="7907" t="s">
        <v>18</v>
      </c>
      <c r="I171" s="7907" t="s">
        <v>902</v>
      </c>
    </row>
    <row customHeight="1" ht="11.25">
      <c r="A172" s="7907" t="s">
        <v>2276</v>
      </c>
      <c r="B172" s="7907" t="s">
        <v>14</v>
      </c>
      <c r="C172" s="7907" t="s">
        <v>2346</v>
      </c>
      <c r="D172" s="7907" t="s">
        <v>2347</v>
      </c>
      <c r="E172" s="7907" t="s">
        <v>2348</v>
      </c>
      <c r="F172" s="7907" t="s">
        <v>48</v>
      </c>
      <c r="G172" s="7907" t="s">
        <v>2349</v>
      </c>
      <c r="H172" s="7907" t="s">
        <v>18</v>
      </c>
      <c r="I172" s="7907" t="s">
        <v>902</v>
      </c>
    </row>
    <row customHeight="1" ht="11.25">
      <c r="A173" s="7907" t="s">
        <v>2276</v>
      </c>
      <c r="B173" s="7907" t="s">
        <v>14</v>
      </c>
      <c r="C173" s="7907" t="s">
        <v>2360</v>
      </c>
      <c r="D173" s="7907" t="s">
        <v>2361</v>
      </c>
      <c r="E173" s="7907" t="s">
        <v>2341</v>
      </c>
      <c r="F173" s="7907" t="s">
        <v>2362</v>
      </c>
      <c r="G173" s="7907" t="s">
        <v>18</v>
      </c>
      <c r="H173" s="7907" t="s">
        <v>18</v>
      </c>
      <c r="I173" s="7907" t="s">
        <v>902</v>
      </c>
    </row>
    <row customHeight="1" ht="11.25">
      <c r="A174" s="7907" t="s">
        <v>2276</v>
      </c>
      <c r="B174" s="7907" t="s">
        <v>14</v>
      </c>
      <c r="C174" s="7907" t="s">
        <v>2363</v>
      </c>
      <c r="D174" s="7907" t="s">
        <v>2364</v>
      </c>
      <c r="E174" s="7907" t="s">
        <v>2365</v>
      </c>
      <c r="F174" s="7907" t="s">
        <v>2366</v>
      </c>
      <c r="G174" s="7907" t="s">
        <v>18</v>
      </c>
      <c r="H174" s="7907" t="s">
        <v>18</v>
      </c>
      <c r="I174" s="7907" t="s">
        <v>902</v>
      </c>
    </row>
    <row customHeight="1" ht="11.25">
      <c r="A175" s="7907" t="s">
        <v>2276</v>
      </c>
      <c r="B175" s="7907" t="s">
        <v>14</v>
      </c>
      <c r="C175" s="7907" t="s">
        <v>2371</v>
      </c>
      <c r="D175" s="7907" t="s">
        <v>2372</v>
      </c>
      <c r="E175" s="7907" t="s">
        <v>2373</v>
      </c>
      <c r="F175" s="7907" t="s">
        <v>2374</v>
      </c>
      <c r="G175" s="7907" t="s">
        <v>18</v>
      </c>
      <c r="H175" s="7907" t="s">
        <v>18</v>
      </c>
      <c r="I175" s="7907" t="s">
        <v>902</v>
      </c>
    </row>
    <row customHeight="1" ht="11.25">
      <c r="A176" s="7907" t="s">
        <v>2276</v>
      </c>
      <c r="B176" s="7907" t="s">
        <v>14</v>
      </c>
      <c r="C176" s="7907" t="s">
        <v>2379</v>
      </c>
      <c r="D176" s="7907" t="s">
        <v>2380</v>
      </c>
      <c r="E176" s="7907" t="s">
        <v>2373</v>
      </c>
      <c r="F176" s="7907" t="s">
        <v>2381</v>
      </c>
      <c r="G176" s="7907" t="s">
        <v>18</v>
      </c>
      <c r="H176" s="7907" t="s">
        <v>18</v>
      </c>
      <c r="I176" s="7907" t="s">
        <v>902</v>
      </c>
    </row>
    <row customHeight="1" ht="11.25">
      <c r="A177" s="7907" t="s">
        <v>2276</v>
      </c>
      <c r="B177" s="7907" t="s">
        <v>14</v>
      </c>
      <c r="C177" s="7907" t="s">
        <v>2382</v>
      </c>
      <c r="D177" s="7907" t="s">
        <v>2383</v>
      </c>
      <c r="E177" s="7907" t="s">
        <v>2384</v>
      </c>
      <c r="F177" s="7907" t="s">
        <v>48</v>
      </c>
      <c r="G177" s="7907" t="s">
        <v>2385</v>
      </c>
      <c r="H177" s="7907" t="s">
        <v>18</v>
      </c>
      <c r="I177" s="7907" t="s">
        <v>902</v>
      </c>
    </row>
    <row customHeight="1" ht="11.25">
      <c r="A178" s="7907" t="s">
        <v>2276</v>
      </c>
      <c r="B178" s="7907" t="s">
        <v>14</v>
      </c>
      <c r="C178" s="7907" t="s">
        <v>18</v>
      </c>
      <c r="D178" s="7907" t="s">
        <v>2386</v>
      </c>
      <c r="E178" s="7907" t="s">
        <v>2387</v>
      </c>
      <c r="F178" s="7907" t="s">
        <v>48</v>
      </c>
      <c r="G178" s="7907" t="s">
        <v>18</v>
      </c>
      <c r="H178" s="7907" t="s">
        <v>18</v>
      </c>
      <c r="I178" s="7907" t="s">
        <v>902</v>
      </c>
    </row>
    <row customHeight="1" ht="11.25">
      <c r="A179" s="7907" t="s">
        <v>2276</v>
      </c>
      <c r="B179" s="7907" t="s">
        <v>14</v>
      </c>
      <c r="C179" s="7907" t="s">
        <v>2409</v>
      </c>
      <c r="D179" s="7907" t="s">
        <v>2410</v>
      </c>
      <c r="E179" s="7907" t="s">
        <v>2411</v>
      </c>
      <c r="F179" s="7907" t="s">
        <v>2412</v>
      </c>
      <c r="G179" s="7907" t="s">
        <v>2413</v>
      </c>
      <c r="H179" s="7907" t="s">
        <v>18</v>
      </c>
      <c r="I179" s="7907" t="s">
        <v>902</v>
      </c>
    </row>
    <row customHeight="1" ht="11.25">
      <c r="A180" s="7907" t="s">
        <v>2276</v>
      </c>
      <c r="B180" s="7907" t="s">
        <v>14</v>
      </c>
      <c r="C180" s="7907" t="s">
        <v>2414</v>
      </c>
      <c r="D180" s="7907" t="s">
        <v>2415</v>
      </c>
      <c r="E180" s="7907" t="s">
        <v>2416</v>
      </c>
      <c r="F180" s="7907" t="s">
        <v>2338</v>
      </c>
      <c r="G180" s="7907" t="s">
        <v>18</v>
      </c>
      <c r="H180" s="7907" t="s">
        <v>18</v>
      </c>
      <c r="I180" s="7907" t="s">
        <v>902</v>
      </c>
    </row>
    <row customHeight="1" ht="11.25">
      <c r="A181" s="7907" t="s">
        <v>2276</v>
      </c>
      <c r="B181" s="7907" t="s">
        <v>14</v>
      </c>
      <c r="C181" s="7907" t="s">
        <v>2424</v>
      </c>
      <c r="D181" s="7907" t="s">
        <v>2425</v>
      </c>
      <c r="E181" s="7907" t="s">
        <v>2426</v>
      </c>
      <c r="F181" s="7907" t="s">
        <v>2366</v>
      </c>
      <c r="G181" s="7907" t="s">
        <v>2427</v>
      </c>
      <c r="H181" s="7907" t="s">
        <v>18</v>
      </c>
      <c r="I181" s="7907" t="s">
        <v>902</v>
      </c>
    </row>
    <row customHeight="1" ht="11.25">
      <c r="A182" s="7907" t="s">
        <v>2276</v>
      </c>
      <c r="B182" s="7907" t="s">
        <v>14</v>
      </c>
      <c r="C182" s="7907" t="s">
        <v>2446</v>
      </c>
      <c r="D182" s="7907" t="s">
        <v>2447</v>
      </c>
      <c r="E182" s="7907" t="s">
        <v>2448</v>
      </c>
      <c r="F182" s="7907" t="s">
        <v>2449</v>
      </c>
      <c r="G182" s="7907" t="s">
        <v>18</v>
      </c>
      <c r="H182" s="7907" t="s">
        <v>18</v>
      </c>
      <c r="I182" s="7907" t="s">
        <v>902</v>
      </c>
    </row>
    <row customHeight="1" ht="11.25">
      <c r="A183" s="7907" t="s">
        <v>2276</v>
      </c>
      <c r="B183" s="7907" t="s">
        <v>14</v>
      </c>
      <c r="C183" s="7907" t="s">
        <v>2457</v>
      </c>
      <c r="D183" s="7907" t="s">
        <v>2458</v>
      </c>
      <c r="E183" s="7907" t="s">
        <v>2459</v>
      </c>
      <c r="F183" s="7907" t="s">
        <v>2460</v>
      </c>
      <c r="G183" s="7907" t="s">
        <v>2461</v>
      </c>
      <c r="H183" s="7907" t="s">
        <v>18</v>
      </c>
      <c r="I183" s="7907" t="s">
        <v>902</v>
      </c>
    </row>
    <row customHeight="1" ht="11.25">
      <c r="A184" s="7907" t="s">
        <v>2276</v>
      </c>
      <c r="B184" s="7907" t="s">
        <v>14</v>
      </c>
      <c r="C184" s="7907" t="s">
        <v>2462</v>
      </c>
      <c r="D184" s="7907" t="s">
        <v>2463</v>
      </c>
      <c r="E184" s="7907" t="s">
        <v>2464</v>
      </c>
      <c r="F184" s="7907" t="s">
        <v>2460</v>
      </c>
      <c r="G184" s="7907" t="s">
        <v>2465</v>
      </c>
      <c r="H184" s="7907" t="s">
        <v>18</v>
      </c>
      <c r="I184" s="7907" t="s">
        <v>902</v>
      </c>
    </row>
    <row customHeight="1" ht="11.25">
      <c r="A185" s="7907" t="s">
        <v>2276</v>
      </c>
      <c r="B185" s="7907" t="s">
        <v>14</v>
      </c>
      <c r="C185" s="7907" t="s">
        <v>2470</v>
      </c>
      <c r="D185" s="7907" t="s">
        <v>2471</v>
      </c>
      <c r="E185" s="7907" t="s">
        <v>2472</v>
      </c>
      <c r="F185" s="7907" t="s">
        <v>2460</v>
      </c>
      <c r="G185" s="7907" t="s">
        <v>2473</v>
      </c>
      <c r="H185" s="7907" t="s">
        <v>18</v>
      </c>
      <c r="I185" s="7907" t="s">
        <v>902</v>
      </c>
    </row>
    <row customHeight="1" ht="11.25">
      <c r="A186" s="7907" t="s">
        <v>2276</v>
      </c>
      <c r="B186" s="7907" t="s">
        <v>14</v>
      </c>
      <c r="C186" s="7907" t="s">
        <v>2474</v>
      </c>
      <c r="D186" s="7907" t="s">
        <v>2475</v>
      </c>
      <c r="E186" s="7907" t="s">
        <v>2476</v>
      </c>
      <c r="F186" s="7907" t="s">
        <v>2449</v>
      </c>
      <c r="G186" s="7907" t="s">
        <v>2477</v>
      </c>
      <c r="H186" s="7907" t="s">
        <v>18</v>
      </c>
      <c r="I186" s="7907" t="s">
        <v>902</v>
      </c>
    </row>
    <row customHeight="1" ht="11.25">
      <c r="A187" s="7907" t="s">
        <v>2276</v>
      </c>
      <c r="B187" s="7907" t="s">
        <v>14</v>
      </c>
      <c r="C187" s="7907" t="s">
        <v>2478</v>
      </c>
      <c r="D187" s="7907" t="s">
        <v>2479</v>
      </c>
      <c r="E187" s="7907" t="s">
        <v>2480</v>
      </c>
      <c r="F187" s="7907" t="s">
        <v>2449</v>
      </c>
      <c r="G187" s="7907" t="s">
        <v>18</v>
      </c>
      <c r="H187" s="7907" t="s">
        <v>18</v>
      </c>
      <c r="I187" s="7907" t="s">
        <v>902</v>
      </c>
    </row>
    <row customHeight="1" ht="11.25">
      <c r="A188" s="7907" t="s">
        <v>2276</v>
      </c>
      <c r="B188" s="7907" t="s">
        <v>14</v>
      </c>
      <c r="C188" s="7907" t="s">
        <v>2498</v>
      </c>
      <c r="D188" s="7907" t="s">
        <v>2499</v>
      </c>
      <c r="E188" s="7907" t="s">
        <v>2500</v>
      </c>
      <c r="F188" s="7907" t="s">
        <v>2487</v>
      </c>
      <c r="G188" s="7907" t="s">
        <v>18</v>
      </c>
      <c r="H188" s="7907" t="s">
        <v>18</v>
      </c>
      <c r="I188" s="7907" t="s">
        <v>902</v>
      </c>
    </row>
    <row customHeight="1" ht="11.25">
      <c r="A189" s="7907" t="s">
        <v>2276</v>
      </c>
      <c r="B189" s="7907" t="s">
        <v>14</v>
      </c>
      <c r="C189" s="7907" t="s">
        <v>2505</v>
      </c>
      <c r="D189" s="7907" t="s">
        <v>2506</v>
      </c>
      <c r="E189" s="7907" t="s">
        <v>2507</v>
      </c>
      <c r="F189" s="7907" t="s">
        <v>2460</v>
      </c>
      <c r="G189" s="7907" t="s">
        <v>2508</v>
      </c>
      <c r="H189" s="7907" t="s">
        <v>18</v>
      </c>
      <c r="I189" s="7907" t="s">
        <v>902</v>
      </c>
    </row>
    <row customHeight="1" ht="11.25">
      <c r="A190" s="7907" t="s">
        <v>2276</v>
      </c>
      <c r="B190" s="7907" t="s">
        <v>14</v>
      </c>
      <c r="C190" s="7907" t="s">
        <v>2509</v>
      </c>
      <c r="D190" s="7907" t="s">
        <v>2506</v>
      </c>
      <c r="E190" s="7907" t="s">
        <v>2510</v>
      </c>
      <c r="F190" s="7907" t="s">
        <v>2338</v>
      </c>
      <c r="G190" s="7907" t="s">
        <v>2511</v>
      </c>
      <c r="H190" s="7907" t="s">
        <v>18</v>
      </c>
      <c r="I190" s="7907" t="s">
        <v>902</v>
      </c>
    </row>
    <row customHeight="1" ht="11.25">
      <c r="A191" s="7907" t="s">
        <v>2276</v>
      </c>
      <c r="B191" s="7907" t="s">
        <v>14</v>
      </c>
      <c r="C191" s="7907" t="s">
        <v>2512</v>
      </c>
      <c r="D191" s="7907" t="s">
        <v>2513</v>
      </c>
      <c r="E191" s="7907" t="s">
        <v>2514</v>
      </c>
      <c r="F191" s="7907" t="s">
        <v>2441</v>
      </c>
      <c r="G191" s="7907" t="s">
        <v>18</v>
      </c>
      <c r="H191" s="7907" t="s">
        <v>18</v>
      </c>
      <c r="I191" s="7907" t="s">
        <v>902</v>
      </c>
    </row>
    <row customHeight="1" ht="11.25">
      <c r="A192" s="7907" t="s">
        <v>2276</v>
      </c>
      <c r="B192" s="7907" t="s">
        <v>14</v>
      </c>
      <c r="C192" s="7907" t="s">
        <v>2515</v>
      </c>
      <c r="D192" s="7907" t="s">
        <v>2516</v>
      </c>
      <c r="E192" s="7907" t="s">
        <v>2517</v>
      </c>
      <c r="F192" s="7907" t="s">
        <v>2441</v>
      </c>
      <c r="G192" s="7907" t="s">
        <v>2518</v>
      </c>
      <c r="H192" s="7907" t="s">
        <v>18</v>
      </c>
      <c r="I192" s="7907" t="s">
        <v>902</v>
      </c>
    </row>
    <row customHeight="1" ht="11.25">
      <c r="A193" s="7907" t="s">
        <v>2276</v>
      </c>
      <c r="B193" s="7907" t="s">
        <v>14</v>
      </c>
      <c r="C193" s="7907" t="s">
        <v>2530</v>
      </c>
      <c r="D193" s="7907" t="s">
        <v>2531</v>
      </c>
      <c r="E193" s="7907" t="s">
        <v>2532</v>
      </c>
      <c r="F193" s="7907" t="s">
        <v>2423</v>
      </c>
      <c r="G193" s="7907" t="s">
        <v>2533</v>
      </c>
      <c r="H193" s="7907" t="s">
        <v>18</v>
      </c>
      <c r="I193" s="7907" t="s">
        <v>902</v>
      </c>
    </row>
    <row customHeight="1" ht="11.25">
      <c r="A194" s="7907" t="s">
        <v>2276</v>
      </c>
      <c r="B194" s="7907" t="s">
        <v>14</v>
      </c>
      <c r="C194" s="7907" t="s">
        <v>2534</v>
      </c>
      <c r="D194" s="7907" t="s">
        <v>2535</v>
      </c>
      <c r="E194" s="7907" t="s">
        <v>2536</v>
      </c>
      <c r="F194" s="7907" t="s">
        <v>2285</v>
      </c>
      <c r="G194" s="7907" t="s">
        <v>18</v>
      </c>
      <c r="H194" s="7907" t="s">
        <v>18</v>
      </c>
      <c r="I194" s="7907" t="s">
        <v>902</v>
      </c>
    </row>
    <row customHeight="1" ht="11.25">
      <c r="A195" s="7907" t="s">
        <v>2276</v>
      </c>
      <c r="B195" s="7907" t="s">
        <v>14</v>
      </c>
      <c r="C195" s="7907" t="s">
        <v>2540</v>
      </c>
      <c r="D195" s="7907" t="s">
        <v>2541</v>
      </c>
      <c r="E195" s="7907" t="s">
        <v>2542</v>
      </c>
      <c r="F195" s="7907" t="s">
        <v>2423</v>
      </c>
      <c r="G195" s="7907" t="s">
        <v>18</v>
      </c>
      <c r="H195" s="7907" t="s">
        <v>18</v>
      </c>
      <c r="I195" s="7907" t="s">
        <v>902</v>
      </c>
    </row>
    <row customHeight="1" ht="11.25">
      <c r="A196" s="7907" t="s">
        <v>2276</v>
      </c>
      <c r="B196" s="7907" t="s">
        <v>14</v>
      </c>
      <c r="C196" s="7907" t="s">
        <v>2547</v>
      </c>
      <c r="D196" s="7907" t="s">
        <v>2548</v>
      </c>
      <c r="E196" s="7907" t="s">
        <v>2549</v>
      </c>
      <c r="F196" s="7907" t="s">
        <v>2403</v>
      </c>
      <c r="G196" s="7907" t="s">
        <v>18</v>
      </c>
      <c r="H196" s="7907" t="s">
        <v>18</v>
      </c>
      <c r="I196" s="7907" t="s">
        <v>902</v>
      </c>
    </row>
    <row customHeight="1" ht="11.25">
      <c r="A197" s="7907" t="s">
        <v>2276</v>
      </c>
      <c r="B197" s="7907" t="s">
        <v>14</v>
      </c>
      <c r="C197" s="7907" t="s">
        <v>2550</v>
      </c>
      <c r="D197" s="7907" t="s">
        <v>2551</v>
      </c>
      <c r="E197" s="7907" t="s">
        <v>2552</v>
      </c>
      <c r="F197" s="7907" t="s">
        <v>2449</v>
      </c>
      <c r="G197" s="7907" t="s">
        <v>18</v>
      </c>
      <c r="H197" s="7907" t="s">
        <v>18</v>
      </c>
      <c r="I197" s="7907" t="s">
        <v>902</v>
      </c>
    </row>
    <row customHeight="1" ht="11.25">
      <c r="A198" s="7907" t="s">
        <v>2276</v>
      </c>
      <c r="B198" s="7907" t="s">
        <v>14</v>
      </c>
      <c r="C198" s="7907" t="s">
        <v>2556</v>
      </c>
      <c r="D198" s="7907" t="s">
        <v>2557</v>
      </c>
      <c r="E198" s="7907" t="s">
        <v>2373</v>
      </c>
      <c r="F198" s="7907" t="s">
        <v>2558</v>
      </c>
      <c r="G198" s="7907" t="s">
        <v>18</v>
      </c>
      <c r="H198" s="7907" t="s">
        <v>18</v>
      </c>
      <c r="I198" s="7907" t="s">
        <v>902</v>
      </c>
    </row>
    <row customHeight="1" ht="11.25">
      <c r="A199" s="7907" t="s">
        <v>2276</v>
      </c>
      <c r="B199" s="7907" t="s">
        <v>14</v>
      </c>
      <c r="C199" s="7907" t="s">
        <v>2563</v>
      </c>
      <c r="D199" s="7907" t="s">
        <v>2564</v>
      </c>
      <c r="E199" s="7907" t="s">
        <v>2565</v>
      </c>
      <c r="F199" s="7907" t="s">
        <v>2566</v>
      </c>
      <c r="G199" s="7907" t="s">
        <v>2567</v>
      </c>
      <c r="H199" s="7907" t="s">
        <v>18</v>
      </c>
      <c r="I199" s="7907" t="s">
        <v>902</v>
      </c>
    </row>
    <row customHeight="1" ht="11.25">
      <c r="A200" s="7907" t="s">
        <v>2276</v>
      </c>
      <c r="B200" s="7907" t="s">
        <v>14</v>
      </c>
      <c r="C200" s="7907" t="s">
        <v>2571</v>
      </c>
      <c r="D200" s="7907" t="s">
        <v>2572</v>
      </c>
      <c r="E200" s="7907" t="s">
        <v>2573</v>
      </c>
      <c r="F200" s="7907" t="s">
        <v>2403</v>
      </c>
      <c r="G200" s="7907" t="s">
        <v>18</v>
      </c>
      <c r="H200" s="7907" t="s">
        <v>18</v>
      </c>
      <c r="I200" s="7907" t="s">
        <v>902</v>
      </c>
    </row>
    <row customHeight="1" ht="11.25">
      <c r="A201" s="7907" t="s">
        <v>2276</v>
      </c>
      <c r="B201" s="7907" t="s">
        <v>14</v>
      </c>
      <c r="C201" s="7907" t="s">
        <v>2605</v>
      </c>
      <c r="D201" s="7907" t="s">
        <v>2606</v>
      </c>
      <c r="E201" s="7907" t="s">
        <v>2607</v>
      </c>
      <c r="F201" s="7907" t="s">
        <v>2608</v>
      </c>
      <c r="G201" s="7907" t="s">
        <v>18</v>
      </c>
      <c r="H201" s="7907" t="s">
        <v>18</v>
      </c>
      <c r="I201" s="7907" t="s">
        <v>902</v>
      </c>
    </row>
    <row customHeight="1" ht="11.25">
      <c r="A202" s="7907" t="s">
        <v>2276</v>
      </c>
      <c r="B202" s="7907" t="s">
        <v>14</v>
      </c>
      <c r="C202" s="7907" t="s">
        <v>2612</v>
      </c>
      <c r="D202" s="7907" t="s">
        <v>2613</v>
      </c>
      <c r="E202" s="7907" t="s">
        <v>2614</v>
      </c>
      <c r="F202" s="7907" t="s">
        <v>2449</v>
      </c>
      <c r="G202" s="7907" t="s">
        <v>2615</v>
      </c>
      <c r="H202" s="7907" t="s">
        <v>18</v>
      </c>
      <c r="I202" s="7907" t="s">
        <v>902</v>
      </c>
    </row>
    <row customHeight="1" ht="11.25">
      <c r="A203" s="7907" t="s">
        <v>2276</v>
      </c>
      <c r="B203" s="7907" t="s">
        <v>14</v>
      </c>
      <c r="C203" s="7907" t="s">
        <v>2616</v>
      </c>
      <c r="D203" s="7907" t="s">
        <v>2617</v>
      </c>
      <c r="E203" s="7907" t="s">
        <v>2618</v>
      </c>
      <c r="F203" s="7907" t="s">
        <v>2391</v>
      </c>
      <c r="G203" s="7907" t="s">
        <v>18</v>
      </c>
      <c r="H203" s="7907" t="s">
        <v>18</v>
      </c>
      <c r="I203" s="7907" t="s">
        <v>902</v>
      </c>
    </row>
    <row customHeight="1" ht="11.25">
      <c r="A204" s="7907" t="s">
        <v>2276</v>
      </c>
      <c r="B204" s="7907" t="s">
        <v>14</v>
      </c>
      <c r="C204" s="7907" t="s">
        <v>2619</v>
      </c>
      <c r="D204" s="7907" t="s">
        <v>2620</v>
      </c>
      <c r="E204" s="7907" t="s">
        <v>2621</v>
      </c>
      <c r="F204" s="7907" t="s">
        <v>2391</v>
      </c>
      <c r="G204" s="7907" t="s">
        <v>18</v>
      </c>
      <c r="H204" s="7907" t="s">
        <v>18</v>
      </c>
      <c r="I204" s="7907" t="s">
        <v>902</v>
      </c>
    </row>
    <row customHeight="1" ht="11.25">
      <c r="A205" s="7907" t="s">
        <v>2276</v>
      </c>
      <c r="B205" s="7907" t="s">
        <v>14</v>
      </c>
      <c r="C205" s="7907" t="s">
        <v>2622</v>
      </c>
      <c r="D205" s="7907" t="s">
        <v>2623</v>
      </c>
      <c r="E205" s="7907" t="s">
        <v>2624</v>
      </c>
      <c r="F205" s="7907" t="s">
        <v>2285</v>
      </c>
      <c r="G205" s="7907" t="s">
        <v>18</v>
      </c>
      <c r="H205" s="7907" t="s">
        <v>18</v>
      </c>
      <c r="I205" s="7907" t="s">
        <v>902</v>
      </c>
    </row>
    <row customHeight="1" ht="11.25">
      <c r="A206" s="7907" t="s">
        <v>2276</v>
      </c>
      <c r="B206" s="7907" t="s">
        <v>14</v>
      </c>
      <c r="C206" s="7907" t="s">
        <v>2625</v>
      </c>
      <c r="D206" s="7907" t="s">
        <v>2626</v>
      </c>
      <c r="E206" s="7907" t="s">
        <v>2627</v>
      </c>
      <c r="F206" s="7907" t="s">
        <v>2628</v>
      </c>
      <c r="G206" s="7907" t="s">
        <v>18</v>
      </c>
      <c r="H206" s="7907" t="s">
        <v>18</v>
      </c>
      <c r="I206" s="7907" t="s">
        <v>902</v>
      </c>
    </row>
    <row customHeight="1" ht="11.25">
      <c r="A207" s="7907" t="s">
        <v>2276</v>
      </c>
      <c r="B207" s="7907" t="s">
        <v>14</v>
      </c>
      <c r="C207" s="7907" t="s">
        <v>2629</v>
      </c>
      <c r="D207" s="7907" t="s">
        <v>2630</v>
      </c>
      <c r="E207" s="7907" t="s">
        <v>2631</v>
      </c>
      <c r="F207" s="7907" t="s">
        <v>2628</v>
      </c>
      <c r="G207" s="7907" t="s">
        <v>18</v>
      </c>
      <c r="H207" s="7907" t="s">
        <v>18</v>
      </c>
      <c r="I207" s="7907" t="s">
        <v>902</v>
      </c>
    </row>
    <row customHeight="1" ht="11.25">
      <c r="A208" s="7907" t="s">
        <v>2276</v>
      </c>
      <c r="B208" s="7907" t="s">
        <v>14</v>
      </c>
      <c r="C208" s="7907" t="s">
        <v>2639</v>
      </c>
      <c r="D208" s="7907" t="s">
        <v>2640</v>
      </c>
      <c r="E208" s="7907" t="s">
        <v>2641</v>
      </c>
      <c r="F208" s="7907" t="s">
        <v>2642</v>
      </c>
      <c r="G208" s="7907" t="s">
        <v>2643</v>
      </c>
      <c r="H208" s="7907" t="s">
        <v>18</v>
      </c>
      <c r="I208" s="7907" t="s">
        <v>902</v>
      </c>
    </row>
    <row customHeight="1" ht="11.25">
      <c r="A209" s="7907" t="s">
        <v>2276</v>
      </c>
      <c r="B209" s="7907" t="s">
        <v>14</v>
      </c>
      <c r="C209" s="7907" t="s">
        <v>2644</v>
      </c>
      <c r="D209" s="7907" t="s">
        <v>2645</v>
      </c>
      <c r="E209" s="7907" t="s">
        <v>2646</v>
      </c>
      <c r="F209" s="7907" t="s">
        <v>2628</v>
      </c>
      <c r="G209" s="7907" t="s">
        <v>2647</v>
      </c>
      <c r="H209" s="7907" t="s">
        <v>18</v>
      </c>
      <c r="I209" s="7907" t="s">
        <v>902</v>
      </c>
    </row>
    <row customHeight="1" ht="11.25">
      <c r="A210" s="7907" t="s">
        <v>2276</v>
      </c>
      <c r="B210" s="7907" t="s">
        <v>14</v>
      </c>
      <c r="C210" s="7907" t="s">
        <v>2648</v>
      </c>
      <c r="D210" s="7907" t="s">
        <v>2649</v>
      </c>
      <c r="E210" s="7907" t="s">
        <v>2650</v>
      </c>
      <c r="F210" s="7907" t="s">
        <v>2449</v>
      </c>
      <c r="G210" s="7907" t="s">
        <v>18</v>
      </c>
      <c r="H210" s="7907" t="s">
        <v>18</v>
      </c>
      <c r="I210" s="7907" t="s">
        <v>902</v>
      </c>
    </row>
    <row customHeight="1" ht="11.25">
      <c r="A211" s="7907" t="s">
        <v>2276</v>
      </c>
      <c r="B211" s="7907" t="s">
        <v>14</v>
      </c>
      <c r="C211" s="7907" t="s">
        <v>2661</v>
      </c>
      <c r="D211" s="7907" t="s">
        <v>2662</v>
      </c>
      <c r="E211" s="7907" t="s">
        <v>2663</v>
      </c>
      <c r="F211" s="7907" t="s">
        <v>2460</v>
      </c>
      <c r="G211" s="7907" t="s">
        <v>2664</v>
      </c>
      <c r="H211" s="7907" t="s">
        <v>18</v>
      </c>
      <c r="I211" s="7907" t="s">
        <v>902</v>
      </c>
    </row>
    <row customHeight="1" ht="11.25">
      <c r="A212" s="7907" t="s">
        <v>2276</v>
      </c>
      <c r="B212" s="7907" t="s">
        <v>14</v>
      </c>
      <c r="C212" s="7907" t="s">
        <v>2857</v>
      </c>
      <c r="D212" s="7907" t="s">
        <v>2858</v>
      </c>
      <c r="E212" s="7907" t="s">
        <v>2859</v>
      </c>
      <c r="F212" s="7907" t="s">
        <v>2338</v>
      </c>
      <c r="G212" s="7907" t="s">
        <v>18</v>
      </c>
      <c r="H212" s="7907" t="s">
        <v>18</v>
      </c>
      <c r="I212" s="7907" t="s">
        <v>902</v>
      </c>
    </row>
    <row customHeight="1" ht="11.25">
      <c r="A213" s="7907" t="s">
        <v>2276</v>
      </c>
      <c r="B213" s="7907" t="s">
        <v>14</v>
      </c>
      <c r="C213" s="7907" t="s">
        <v>2668</v>
      </c>
      <c r="D213" s="7907" t="s">
        <v>2669</v>
      </c>
      <c r="E213" s="7907" t="s">
        <v>2670</v>
      </c>
      <c r="F213" s="7907" t="s">
        <v>2608</v>
      </c>
      <c r="G213" s="7907" t="s">
        <v>18</v>
      </c>
      <c r="H213" s="7907" t="s">
        <v>18</v>
      </c>
      <c r="I213" s="7907" t="s">
        <v>902</v>
      </c>
    </row>
    <row customHeight="1" ht="11.25">
      <c r="A214" s="7907" t="s">
        <v>2276</v>
      </c>
      <c r="B214" s="7907" t="s">
        <v>14</v>
      </c>
      <c r="C214" s="7907" t="s">
        <v>2684</v>
      </c>
      <c r="D214" s="7907" t="s">
        <v>2685</v>
      </c>
      <c r="E214" s="7907" t="s">
        <v>2686</v>
      </c>
      <c r="F214" s="7907" t="s">
        <v>2449</v>
      </c>
      <c r="G214" s="7907" t="s">
        <v>18</v>
      </c>
      <c r="H214" s="7907" t="s">
        <v>18</v>
      </c>
      <c r="I214" s="7907" t="s">
        <v>902</v>
      </c>
    </row>
    <row customHeight="1" ht="11.25">
      <c r="A215" s="7907" t="s">
        <v>2276</v>
      </c>
      <c r="B215" s="7907" t="s">
        <v>14</v>
      </c>
      <c r="C215" s="7907" t="s">
        <v>2691</v>
      </c>
      <c r="D215" s="7907" t="s">
        <v>2692</v>
      </c>
      <c r="E215" s="7907" t="s">
        <v>2693</v>
      </c>
      <c r="F215" s="7907" t="s">
        <v>2449</v>
      </c>
      <c r="G215" s="7907" t="s">
        <v>18</v>
      </c>
      <c r="H215" s="7907" t="s">
        <v>18</v>
      </c>
      <c r="I215" s="7907" t="s">
        <v>902</v>
      </c>
    </row>
    <row customHeight="1" ht="11.25">
      <c r="A216" s="7907" t="s">
        <v>2276</v>
      </c>
      <c r="B216" s="7907" t="s">
        <v>14</v>
      </c>
      <c r="C216" s="7907" t="s">
        <v>2694</v>
      </c>
      <c r="D216" s="7907" t="s">
        <v>2695</v>
      </c>
      <c r="E216" s="7907" t="s">
        <v>2696</v>
      </c>
      <c r="F216" s="7907" t="s">
        <v>2441</v>
      </c>
      <c r="G216" s="7907" t="s">
        <v>2697</v>
      </c>
      <c r="H216" s="7907" t="s">
        <v>18</v>
      </c>
      <c r="I216" s="7907" t="s">
        <v>902</v>
      </c>
    </row>
    <row customHeight="1" ht="11.25">
      <c r="A217" s="7907" t="s">
        <v>2276</v>
      </c>
      <c r="B217" s="7907" t="s">
        <v>14</v>
      </c>
      <c r="C217" s="7907" t="s">
        <v>2727</v>
      </c>
      <c r="D217" s="7907" t="s">
        <v>2728</v>
      </c>
      <c r="E217" s="7907" t="s">
        <v>2729</v>
      </c>
      <c r="F217" s="7907" t="s">
        <v>2408</v>
      </c>
      <c r="G217" s="7907" t="s">
        <v>2730</v>
      </c>
      <c r="H217" s="7907" t="s">
        <v>18</v>
      </c>
      <c r="I217" s="7907" t="s">
        <v>902</v>
      </c>
    </row>
    <row customHeight="1" ht="11.25">
      <c r="A218" s="7907" t="s">
        <v>2276</v>
      </c>
      <c r="B218" s="7907" t="s">
        <v>14</v>
      </c>
      <c r="C218" s="7907" t="s">
        <v>2739</v>
      </c>
      <c r="D218" s="7907" t="s">
        <v>2740</v>
      </c>
      <c r="E218" s="7907" t="s">
        <v>2741</v>
      </c>
      <c r="F218" s="7907" t="s">
        <v>2608</v>
      </c>
      <c r="G218" s="7907" t="s">
        <v>2742</v>
      </c>
      <c r="H218" s="7907" t="s">
        <v>18</v>
      </c>
      <c r="I218" s="7907" t="s">
        <v>902</v>
      </c>
    </row>
    <row customHeight="1" ht="11.25">
      <c r="A219" s="7907" t="s">
        <v>2276</v>
      </c>
      <c r="B219" s="7907" t="s">
        <v>14</v>
      </c>
      <c r="C219" s="7907" t="s">
        <v>2755</v>
      </c>
      <c r="D219" s="7907" t="s">
        <v>2756</v>
      </c>
      <c r="E219" s="7907" t="s">
        <v>2757</v>
      </c>
      <c r="F219" s="7907" t="s">
        <v>2628</v>
      </c>
      <c r="G219" s="7907" t="s">
        <v>18</v>
      </c>
      <c r="H219" s="7907" t="s">
        <v>18</v>
      </c>
      <c r="I219" s="7907" t="s">
        <v>902</v>
      </c>
    </row>
    <row customHeight="1" ht="11.25">
      <c r="A220" s="7907" t="s">
        <v>2276</v>
      </c>
      <c r="B220" s="7907" t="s">
        <v>14</v>
      </c>
      <c r="C220" s="7907" t="s">
        <v>2758</v>
      </c>
      <c r="D220" s="7907" t="s">
        <v>2759</v>
      </c>
      <c r="E220" s="7907" t="s">
        <v>2760</v>
      </c>
      <c r="F220" s="7907" t="s">
        <v>2628</v>
      </c>
      <c r="G220" s="7907" t="s">
        <v>18</v>
      </c>
      <c r="H220" s="7907" t="s">
        <v>18</v>
      </c>
      <c r="I220" s="7907" t="s">
        <v>902</v>
      </c>
    </row>
    <row customHeight="1" ht="11.25">
      <c r="A221" s="7907" t="s">
        <v>2276</v>
      </c>
      <c r="B221" s="7907" t="s">
        <v>14</v>
      </c>
      <c r="C221" s="7907" t="s">
        <v>2761</v>
      </c>
      <c r="D221" s="7907" t="s">
        <v>2762</v>
      </c>
      <c r="E221" s="7907" t="s">
        <v>2763</v>
      </c>
      <c r="F221" s="7907" t="s">
        <v>2370</v>
      </c>
      <c r="G221" s="7907" t="s">
        <v>2764</v>
      </c>
      <c r="H221" s="7907" t="s">
        <v>18</v>
      </c>
      <c r="I221" s="7907" t="s">
        <v>902</v>
      </c>
    </row>
    <row customHeight="1" ht="11.25">
      <c r="A222" s="7907" t="s">
        <v>2276</v>
      </c>
      <c r="B222" s="7907" t="s">
        <v>14</v>
      </c>
      <c r="C222" s="7907" t="s">
        <v>2768</v>
      </c>
      <c r="D222" s="7907" t="s">
        <v>2769</v>
      </c>
      <c r="E222" s="7907" t="s">
        <v>2770</v>
      </c>
      <c r="F222" s="7907" t="s">
        <v>2423</v>
      </c>
      <c r="G222" s="7907" t="s">
        <v>18</v>
      </c>
      <c r="H222" s="7907" t="s">
        <v>18</v>
      </c>
      <c r="I222" s="7907" t="s">
        <v>902</v>
      </c>
    </row>
    <row customHeight="1" ht="11.25">
      <c r="A223" s="7907" t="s">
        <v>2276</v>
      </c>
      <c r="B223" s="7907" t="s">
        <v>14</v>
      </c>
      <c r="C223" s="7907" t="s">
        <v>2778</v>
      </c>
      <c r="D223" s="7907" t="s">
        <v>2779</v>
      </c>
      <c r="E223" s="7907" t="s">
        <v>2780</v>
      </c>
      <c r="F223" s="7907" t="s">
        <v>2469</v>
      </c>
      <c r="G223" s="7907" t="s">
        <v>2781</v>
      </c>
      <c r="H223" s="7907" t="s">
        <v>18</v>
      </c>
      <c r="I223" s="7907" t="s">
        <v>902</v>
      </c>
    </row>
    <row customHeight="1" ht="11.25">
      <c r="A224" s="7907" t="s">
        <v>2276</v>
      </c>
      <c r="B224" s="7907" t="s">
        <v>14</v>
      </c>
      <c r="C224" s="7907" t="s">
        <v>2786</v>
      </c>
      <c r="D224" s="7907" t="s">
        <v>2787</v>
      </c>
      <c r="E224" s="7907" t="s">
        <v>2788</v>
      </c>
      <c r="F224" s="7907" t="s">
        <v>2449</v>
      </c>
      <c r="G224" s="7907" t="s">
        <v>2615</v>
      </c>
      <c r="H224" s="7907" t="s">
        <v>18</v>
      </c>
      <c r="I224" s="7907" t="s">
        <v>902</v>
      </c>
    </row>
    <row customHeight="1" ht="11.25">
      <c r="A225" s="7907" t="s">
        <v>2276</v>
      </c>
      <c r="B225" s="7907" t="s">
        <v>14</v>
      </c>
      <c r="C225" s="7907" t="s">
        <v>2792</v>
      </c>
      <c r="D225" s="7907" t="s">
        <v>2793</v>
      </c>
      <c r="E225" s="7907" t="s">
        <v>2794</v>
      </c>
      <c r="F225" s="7907" t="s">
        <v>2399</v>
      </c>
      <c r="G225" s="7907" t="s">
        <v>18</v>
      </c>
      <c r="H225" s="7907" t="s">
        <v>18</v>
      </c>
      <c r="I225" s="7907" t="s">
        <v>902</v>
      </c>
    </row>
    <row customHeight="1" ht="11.25">
      <c r="A226" s="7907" t="s">
        <v>2276</v>
      </c>
      <c r="B226" s="7907" t="s">
        <v>14</v>
      </c>
      <c r="C226" s="7907" t="s">
        <v>2799</v>
      </c>
      <c r="D226" s="7907" t="s">
        <v>2800</v>
      </c>
      <c r="E226" s="7907" t="s">
        <v>2801</v>
      </c>
      <c r="F226" s="7907" t="s">
        <v>2628</v>
      </c>
      <c r="G226" s="7907" t="s">
        <v>18</v>
      </c>
      <c r="H226" s="7907" t="s">
        <v>18</v>
      </c>
      <c r="I226" s="7907" t="s">
        <v>902</v>
      </c>
    </row>
    <row customHeight="1" ht="11.25">
      <c r="A227" s="7907" t="s">
        <v>2276</v>
      </c>
      <c r="B227" s="7907" t="s">
        <v>14</v>
      </c>
      <c r="C227" s="7907" t="s">
        <v>2818</v>
      </c>
      <c r="D227" s="7907" t="s">
        <v>2819</v>
      </c>
      <c r="E227" s="7907" t="s">
        <v>2820</v>
      </c>
      <c r="F227" s="7907" t="s">
        <v>2487</v>
      </c>
      <c r="G227" s="7907" t="s">
        <v>18</v>
      </c>
      <c r="H227" s="7907" t="s">
        <v>18</v>
      </c>
      <c r="I227" s="7907" t="s">
        <v>902</v>
      </c>
    </row>
    <row customHeight="1" ht="11.25">
      <c r="A228" s="7907" t="s">
        <v>2276</v>
      </c>
      <c r="B228" s="7907" t="s">
        <v>14</v>
      </c>
      <c r="C228" s="7907" t="s">
        <v>2824</v>
      </c>
      <c r="D228" s="7907" t="s">
        <v>2825</v>
      </c>
      <c r="E228" s="7907" t="s">
        <v>2826</v>
      </c>
      <c r="F228" s="7907" t="s">
        <v>48</v>
      </c>
      <c r="G228" s="7907" t="s">
        <v>18</v>
      </c>
      <c r="H228" s="7907" t="s">
        <v>18</v>
      </c>
      <c r="I228" s="7907" t="s">
        <v>902</v>
      </c>
    </row>
    <row customHeight="1" ht="11.25">
      <c r="A229" s="7907" t="s">
        <v>2276</v>
      </c>
      <c r="B229" s="7907" t="s">
        <v>14</v>
      </c>
      <c r="C229" s="7907" t="s">
        <v>2827</v>
      </c>
      <c r="D229" s="7907" t="s">
        <v>2828</v>
      </c>
      <c r="E229" s="7907" t="s">
        <v>2829</v>
      </c>
      <c r="F229" s="7907" t="s">
        <v>2342</v>
      </c>
      <c r="G229" s="7907" t="s">
        <v>2830</v>
      </c>
      <c r="H229" s="7907" t="s">
        <v>18</v>
      </c>
      <c r="I229" s="7907" t="s">
        <v>902</v>
      </c>
    </row>
    <row customHeight="1" ht="11.25">
      <c r="A230" s="7907" t="s">
        <v>2276</v>
      </c>
      <c r="B230" s="7907" t="s">
        <v>14</v>
      </c>
      <c r="C230" s="7907" t="s">
        <v>2831</v>
      </c>
      <c r="D230" s="7907" t="s">
        <v>2832</v>
      </c>
      <c r="E230" s="7907" t="s">
        <v>2833</v>
      </c>
      <c r="F230" s="7907" t="s">
        <v>48</v>
      </c>
      <c r="G230" s="7907" t="s">
        <v>18</v>
      </c>
      <c r="H230" s="7907" t="s">
        <v>18</v>
      </c>
      <c r="I230" s="7907" t="s">
        <v>902</v>
      </c>
    </row>
    <row customHeight="1" ht="11.25">
      <c r="A231" s="7907" t="s">
        <v>2276</v>
      </c>
      <c r="B231" s="7907" t="s">
        <v>14</v>
      </c>
      <c r="C231" s="7907" t="s">
        <v>2841</v>
      </c>
      <c r="D231" s="7907" t="s">
        <v>2842</v>
      </c>
      <c r="E231" s="7907" t="s">
        <v>2843</v>
      </c>
      <c r="F231" s="7907" t="s">
        <v>2844</v>
      </c>
      <c r="G231" s="7907" t="s">
        <v>18</v>
      </c>
      <c r="H231" s="7907" t="s">
        <v>18</v>
      </c>
      <c r="I231" s="7907" t="s">
        <v>902</v>
      </c>
    </row>
    <row customHeight="1" ht="11.25">
      <c r="A232" s="7907" t="s">
        <v>2276</v>
      </c>
      <c r="B232" s="7907" t="s">
        <v>14</v>
      </c>
      <c r="C232" s="7907" t="s">
        <v>2845</v>
      </c>
      <c r="D232" s="7907" t="s">
        <v>2846</v>
      </c>
      <c r="E232" s="7907" t="s">
        <v>2847</v>
      </c>
      <c r="F232" s="7907" t="s">
        <v>2848</v>
      </c>
      <c r="G232" s="7907" t="s">
        <v>2849</v>
      </c>
      <c r="H232" s="7907" t="s">
        <v>18</v>
      </c>
      <c r="I232" s="7907" t="s">
        <v>902</v>
      </c>
    </row>
    <row customHeight="1" ht="11.25">
      <c r="A233" s="7907" t="s">
        <v>2276</v>
      </c>
      <c r="B233" s="7907" t="s">
        <v>14</v>
      </c>
      <c r="C233" s="7907" t="s">
        <v>2860</v>
      </c>
      <c r="D233" s="7907" t="s">
        <v>2861</v>
      </c>
      <c r="E233" s="7907" t="s">
        <v>2862</v>
      </c>
      <c r="F233" s="7907" t="s">
        <v>2608</v>
      </c>
      <c r="G233" s="7907" t="s">
        <v>2863</v>
      </c>
      <c r="H233" s="7907" t="s">
        <v>18</v>
      </c>
      <c r="I233" s="7907" t="s">
        <v>864</v>
      </c>
    </row>
    <row customHeight="1" ht="11.25">
      <c r="A234" s="7907" t="s">
        <v>2276</v>
      </c>
      <c r="B234" s="7907" t="s">
        <v>14</v>
      </c>
      <c r="C234" s="7907" t="s">
        <v>2864</v>
      </c>
      <c r="D234" s="7907" t="s">
        <v>2865</v>
      </c>
      <c r="E234" s="7907" t="s">
        <v>2866</v>
      </c>
      <c r="F234" s="7907" t="s">
        <v>2867</v>
      </c>
      <c r="G234" s="7907" t="s">
        <v>18</v>
      </c>
      <c r="H234" s="7907" t="s">
        <v>18</v>
      </c>
      <c r="I234" s="7907" t="s">
        <v>864</v>
      </c>
    </row>
    <row customHeight="1" ht="11.25">
      <c r="A235" s="7907" t="s">
        <v>2276</v>
      </c>
      <c r="B235" s="7907" t="s">
        <v>14</v>
      </c>
      <c r="C235" s="7907" t="s">
        <v>2868</v>
      </c>
      <c r="D235" s="7907" t="s">
        <v>2869</v>
      </c>
      <c r="E235" s="7907" t="s">
        <v>2870</v>
      </c>
      <c r="F235" s="7907" t="s">
        <v>2871</v>
      </c>
      <c r="G235" s="7907" t="s">
        <v>18</v>
      </c>
      <c r="H235" s="7907" t="s">
        <v>18</v>
      </c>
      <c r="I235" s="7907" t="s">
        <v>864</v>
      </c>
    </row>
    <row customHeight="1" ht="11.25">
      <c r="A236" s="7907" t="s">
        <v>2276</v>
      </c>
      <c r="B236" s="7907" t="s">
        <v>14</v>
      </c>
      <c r="C236" s="7907" t="s">
        <v>2277</v>
      </c>
      <c r="D236" s="7907" t="s">
        <v>2278</v>
      </c>
      <c r="E236" s="7907" t="s">
        <v>2279</v>
      </c>
      <c r="F236" s="7907" t="s">
        <v>2280</v>
      </c>
      <c r="G236" s="7907" t="s">
        <v>2281</v>
      </c>
      <c r="H236" s="7907" t="s">
        <v>18</v>
      </c>
      <c r="I236" s="7907" t="s">
        <v>864</v>
      </c>
    </row>
    <row customHeight="1" ht="11.25">
      <c r="A237" s="7907" t="s">
        <v>2276</v>
      </c>
      <c r="B237" s="7907" t="s">
        <v>14</v>
      </c>
      <c r="C237" s="7907" t="s">
        <v>2286</v>
      </c>
      <c r="D237" s="7907" t="s">
        <v>43</v>
      </c>
      <c r="E237" s="7907" t="s">
        <v>46</v>
      </c>
      <c r="F237" s="7907" t="s">
        <v>48</v>
      </c>
      <c r="G237" s="7907" t="s">
        <v>2287</v>
      </c>
      <c r="H237" s="7907" t="s">
        <v>18</v>
      </c>
      <c r="I237" s="7907" t="s">
        <v>864</v>
      </c>
    </row>
    <row customHeight="1" ht="11.25">
      <c r="A238" s="7907" t="s">
        <v>2276</v>
      </c>
      <c r="B238" s="7907" t="s">
        <v>14</v>
      </c>
      <c r="C238" s="7907" t="s">
        <v>2320</v>
      </c>
      <c r="D238" s="7907" t="s">
        <v>2321</v>
      </c>
      <c r="E238" s="7907" t="s">
        <v>46</v>
      </c>
      <c r="F238" s="7907" t="s">
        <v>2322</v>
      </c>
      <c r="G238" s="7907" t="s">
        <v>18</v>
      </c>
      <c r="H238" s="7907" t="s">
        <v>18</v>
      </c>
      <c r="I238" s="7907" t="s">
        <v>864</v>
      </c>
    </row>
    <row customHeight="1" ht="11.25">
      <c r="A239" s="7907" t="s">
        <v>2276</v>
      </c>
      <c r="B239" s="7907" t="s">
        <v>14</v>
      </c>
      <c r="C239" s="7907" t="s">
        <v>2872</v>
      </c>
      <c r="D239" s="7907" t="s">
        <v>2873</v>
      </c>
      <c r="E239" s="7907" t="s">
        <v>2874</v>
      </c>
      <c r="F239" s="7907" t="s">
        <v>2628</v>
      </c>
      <c r="G239" s="7907" t="s">
        <v>18</v>
      </c>
      <c r="H239" s="7907" t="s">
        <v>18</v>
      </c>
      <c r="I239" s="7907" t="s">
        <v>864</v>
      </c>
    </row>
    <row customHeight="1" ht="11.25">
      <c r="A240" s="7907" t="s">
        <v>2276</v>
      </c>
      <c r="B240" s="7907" t="s">
        <v>14</v>
      </c>
      <c r="C240" s="7907" t="s">
        <v>2323</v>
      </c>
      <c r="D240" s="7907" t="s">
        <v>2324</v>
      </c>
      <c r="E240" s="7907" t="s">
        <v>2325</v>
      </c>
      <c r="F240" s="7907" t="s">
        <v>2285</v>
      </c>
      <c r="G240" s="7907" t="s">
        <v>18</v>
      </c>
      <c r="H240" s="7907" t="s">
        <v>18</v>
      </c>
      <c r="I240" s="7907" t="s">
        <v>864</v>
      </c>
    </row>
    <row customHeight="1" ht="11.25">
      <c r="A241" s="7907" t="s">
        <v>2276</v>
      </c>
      <c r="B241" s="7907" t="s">
        <v>14</v>
      </c>
      <c r="C241" s="7907" t="s">
        <v>2326</v>
      </c>
      <c r="D241" s="7907" t="s">
        <v>2327</v>
      </c>
      <c r="E241" s="7907" t="s">
        <v>2328</v>
      </c>
      <c r="F241" s="7907" t="s">
        <v>2329</v>
      </c>
      <c r="G241" s="7907" t="s">
        <v>2330</v>
      </c>
      <c r="H241" s="7907" t="s">
        <v>18</v>
      </c>
      <c r="I241" s="7907" t="s">
        <v>864</v>
      </c>
    </row>
    <row customHeight="1" ht="11.25">
      <c r="A242" s="7907" t="s">
        <v>2276</v>
      </c>
      <c r="B242" s="7907" t="s">
        <v>14</v>
      </c>
      <c r="C242" s="7907" t="s">
        <v>2335</v>
      </c>
      <c r="D242" s="7907" t="s">
        <v>2336</v>
      </c>
      <c r="E242" s="7907" t="s">
        <v>2337</v>
      </c>
      <c r="F242" s="7907" t="s">
        <v>2338</v>
      </c>
      <c r="G242" s="7907" t="s">
        <v>18</v>
      </c>
      <c r="H242" s="7907" t="s">
        <v>18</v>
      </c>
      <c r="I242" s="7907" t="s">
        <v>864</v>
      </c>
    </row>
    <row customHeight="1" ht="11.25">
      <c r="A243" s="7907" t="s">
        <v>2276</v>
      </c>
      <c r="B243" s="7907" t="s">
        <v>14</v>
      </c>
      <c r="C243" s="7907" t="s">
        <v>2343</v>
      </c>
      <c r="D243" s="7907" t="s">
        <v>2344</v>
      </c>
      <c r="E243" s="7907" t="s">
        <v>2345</v>
      </c>
      <c r="F243" s="7907" t="s">
        <v>2329</v>
      </c>
      <c r="G243" s="7907" t="s">
        <v>18</v>
      </c>
      <c r="H243" s="7907" t="s">
        <v>18</v>
      </c>
      <c r="I243" s="7907" t="s">
        <v>864</v>
      </c>
    </row>
    <row customHeight="1" ht="11.25">
      <c r="A244" s="7907" t="s">
        <v>2276</v>
      </c>
      <c r="B244" s="7907" t="s">
        <v>14</v>
      </c>
      <c r="C244" s="7907" t="s">
        <v>2875</v>
      </c>
      <c r="D244" s="7907" t="s">
        <v>2876</v>
      </c>
      <c r="E244" s="7907" t="s">
        <v>2877</v>
      </c>
      <c r="F244" s="7907" t="s">
        <v>2366</v>
      </c>
      <c r="G244" s="7907" t="s">
        <v>2878</v>
      </c>
      <c r="H244" s="7907" t="s">
        <v>18</v>
      </c>
      <c r="I244" s="7907" t="s">
        <v>864</v>
      </c>
    </row>
    <row customHeight="1" ht="11.25">
      <c r="A245" s="7907" t="s">
        <v>2276</v>
      </c>
      <c r="B245" s="7907" t="s">
        <v>14</v>
      </c>
      <c r="C245" s="7907" t="s">
        <v>2879</v>
      </c>
      <c r="D245" s="7907" t="s">
        <v>2880</v>
      </c>
      <c r="E245" s="7907" t="s">
        <v>2881</v>
      </c>
      <c r="F245" s="7907" t="s">
        <v>2449</v>
      </c>
      <c r="G245" s="7907" t="s">
        <v>18</v>
      </c>
      <c r="H245" s="7907" t="s">
        <v>18</v>
      </c>
      <c r="I245" s="7907" t="s">
        <v>864</v>
      </c>
    </row>
    <row customHeight="1" ht="11.25">
      <c r="A246" s="7907" t="s">
        <v>2276</v>
      </c>
      <c r="B246" s="7907" t="s">
        <v>14</v>
      </c>
      <c r="C246" s="7907" t="s">
        <v>2367</v>
      </c>
      <c r="D246" s="7907" t="s">
        <v>2368</v>
      </c>
      <c r="E246" s="7907" t="s">
        <v>2369</v>
      </c>
      <c r="F246" s="7907" t="s">
        <v>2370</v>
      </c>
      <c r="G246" s="7907" t="s">
        <v>18</v>
      </c>
      <c r="H246" s="7907" t="s">
        <v>18</v>
      </c>
      <c r="I246" s="7907" t="s">
        <v>864</v>
      </c>
    </row>
    <row customHeight="1" ht="11.25">
      <c r="A247" s="7907" t="s">
        <v>2276</v>
      </c>
      <c r="B247" s="7907" t="s">
        <v>14</v>
      </c>
      <c r="C247" s="7907" t="s">
        <v>2371</v>
      </c>
      <c r="D247" s="7907" t="s">
        <v>2372</v>
      </c>
      <c r="E247" s="7907" t="s">
        <v>2373</v>
      </c>
      <c r="F247" s="7907" t="s">
        <v>2374</v>
      </c>
      <c r="G247" s="7907" t="s">
        <v>18</v>
      </c>
      <c r="H247" s="7907" t="s">
        <v>18</v>
      </c>
      <c r="I247" s="7907" t="s">
        <v>864</v>
      </c>
    </row>
    <row customHeight="1" ht="11.25">
      <c r="A248" s="7907" t="s">
        <v>2276</v>
      </c>
      <c r="B248" s="7907" t="s">
        <v>14</v>
      </c>
      <c r="C248" s="7907" t="s">
        <v>2882</v>
      </c>
      <c r="D248" s="7907" t="s">
        <v>2883</v>
      </c>
      <c r="E248" s="7907" t="s">
        <v>2884</v>
      </c>
      <c r="F248" s="7907" t="s">
        <v>658</v>
      </c>
      <c r="G248" s="7907" t="s">
        <v>2885</v>
      </c>
      <c r="H248" s="7907" t="s">
        <v>18</v>
      </c>
      <c r="I248" s="7907" t="s">
        <v>864</v>
      </c>
    </row>
    <row customHeight="1" ht="11.25">
      <c r="A249" s="7907" t="s">
        <v>2276</v>
      </c>
      <c r="B249" s="7907" t="s">
        <v>14</v>
      </c>
      <c r="C249" s="7907" t="s">
        <v>2886</v>
      </c>
      <c r="D249" s="7907" t="s">
        <v>2887</v>
      </c>
      <c r="E249" s="7907" t="s">
        <v>2888</v>
      </c>
      <c r="F249" s="7907" t="s">
        <v>658</v>
      </c>
      <c r="G249" s="7907" t="s">
        <v>18</v>
      </c>
      <c r="H249" s="7907" t="s">
        <v>18</v>
      </c>
      <c r="I249" s="7907" t="s">
        <v>864</v>
      </c>
    </row>
    <row customHeight="1" ht="11.25">
      <c r="A250" s="7907" t="s">
        <v>2276</v>
      </c>
      <c r="B250" s="7907" t="s">
        <v>14</v>
      </c>
      <c r="C250" s="7907" t="s">
        <v>2889</v>
      </c>
      <c r="D250" s="7907" t="s">
        <v>2890</v>
      </c>
      <c r="E250" s="7907" t="s">
        <v>2891</v>
      </c>
      <c r="F250" s="7907" t="s">
        <v>658</v>
      </c>
      <c r="G250" s="7907" t="s">
        <v>18</v>
      </c>
      <c r="H250" s="7907" t="s">
        <v>18</v>
      </c>
      <c r="I250" s="7907" t="s">
        <v>864</v>
      </c>
    </row>
    <row customHeight="1" ht="11.25">
      <c r="A251" s="7907" t="s">
        <v>2276</v>
      </c>
      <c r="B251" s="7907" t="s">
        <v>14</v>
      </c>
      <c r="C251" s="7907" t="s">
        <v>2382</v>
      </c>
      <c r="D251" s="7907" t="s">
        <v>2383</v>
      </c>
      <c r="E251" s="7907" t="s">
        <v>2384</v>
      </c>
      <c r="F251" s="7907" t="s">
        <v>48</v>
      </c>
      <c r="G251" s="7907" t="s">
        <v>2385</v>
      </c>
      <c r="H251" s="7907" t="s">
        <v>18</v>
      </c>
      <c r="I251" s="7907" t="s">
        <v>864</v>
      </c>
    </row>
    <row customHeight="1" ht="11.25">
      <c r="A252" s="7907" t="s">
        <v>2276</v>
      </c>
      <c r="B252" s="7907" t="s">
        <v>14</v>
      </c>
      <c r="C252" s="7907" t="s">
        <v>18</v>
      </c>
      <c r="D252" s="7907" t="s">
        <v>2386</v>
      </c>
      <c r="E252" s="7907" t="s">
        <v>2387</v>
      </c>
      <c r="F252" s="7907" t="s">
        <v>48</v>
      </c>
      <c r="G252" s="7907" t="s">
        <v>18</v>
      </c>
      <c r="H252" s="7907" t="s">
        <v>18</v>
      </c>
      <c r="I252" s="7907" t="s">
        <v>864</v>
      </c>
    </row>
    <row customHeight="1" ht="11.25">
      <c r="A253" s="7907" t="s">
        <v>2276</v>
      </c>
      <c r="B253" s="7907" t="s">
        <v>14</v>
      </c>
      <c r="C253" s="7907" t="s">
        <v>2892</v>
      </c>
      <c r="D253" s="7907" t="s">
        <v>2893</v>
      </c>
      <c r="E253" s="7907" t="s">
        <v>2894</v>
      </c>
      <c r="F253" s="7907" t="s">
        <v>2412</v>
      </c>
      <c r="G253" s="7907" t="s">
        <v>2895</v>
      </c>
      <c r="H253" s="7907" t="s">
        <v>18</v>
      </c>
      <c r="I253" s="7907" t="s">
        <v>864</v>
      </c>
    </row>
    <row customHeight="1" ht="11.25">
      <c r="A254" s="7907" t="s">
        <v>2276</v>
      </c>
      <c r="B254" s="7907" t="s">
        <v>14</v>
      </c>
      <c r="C254" s="7907" t="s">
        <v>2388</v>
      </c>
      <c r="D254" s="7907" t="s">
        <v>2389</v>
      </c>
      <c r="E254" s="7907" t="s">
        <v>2390</v>
      </c>
      <c r="F254" s="7907" t="s">
        <v>2391</v>
      </c>
      <c r="G254" s="7907" t="s">
        <v>2392</v>
      </c>
      <c r="H254" s="7907" t="s">
        <v>18</v>
      </c>
      <c r="I254" s="7907" t="s">
        <v>864</v>
      </c>
    </row>
    <row customHeight="1" ht="11.25">
      <c r="A255" s="7907" t="s">
        <v>2276</v>
      </c>
      <c r="B255" s="7907" t="s">
        <v>14</v>
      </c>
      <c r="C255" s="7907" t="s">
        <v>2393</v>
      </c>
      <c r="D255" s="7907" t="s">
        <v>2394</v>
      </c>
      <c r="E255" s="7907" t="s">
        <v>2395</v>
      </c>
      <c r="F255" s="7907" t="s">
        <v>2391</v>
      </c>
      <c r="G255" s="7907" t="s">
        <v>18</v>
      </c>
      <c r="H255" s="7907" t="s">
        <v>18</v>
      </c>
      <c r="I255" s="7907" t="s">
        <v>864</v>
      </c>
    </row>
    <row customHeight="1" ht="11.25">
      <c r="A256" s="7907" t="s">
        <v>2276</v>
      </c>
      <c r="B256" s="7907" t="s">
        <v>14</v>
      </c>
      <c r="C256" s="7907" t="s">
        <v>2896</v>
      </c>
      <c r="D256" s="7907" t="s">
        <v>2897</v>
      </c>
      <c r="E256" s="7907" t="s">
        <v>2898</v>
      </c>
      <c r="F256" s="7907" t="s">
        <v>2441</v>
      </c>
      <c r="G256" s="7907" t="s">
        <v>2899</v>
      </c>
      <c r="H256" s="7907" t="s">
        <v>18</v>
      </c>
      <c r="I256" s="7907" t="s">
        <v>864</v>
      </c>
    </row>
    <row customHeight="1" ht="11.25">
      <c r="A257" s="7907" t="s">
        <v>2276</v>
      </c>
      <c r="B257" s="7907" t="s">
        <v>14</v>
      </c>
      <c r="C257" s="7907" t="s">
        <v>2396</v>
      </c>
      <c r="D257" s="7907" t="s">
        <v>2397</v>
      </c>
      <c r="E257" s="7907" t="s">
        <v>2398</v>
      </c>
      <c r="F257" s="7907" t="s">
        <v>2399</v>
      </c>
      <c r="G257" s="7907" t="s">
        <v>18</v>
      </c>
      <c r="H257" s="7907" t="s">
        <v>18</v>
      </c>
      <c r="I257" s="7907" t="s">
        <v>864</v>
      </c>
    </row>
    <row customHeight="1" ht="11.25">
      <c r="A258" s="7907" t="s">
        <v>2276</v>
      </c>
      <c r="B258" s="7907" t="s">
        <v>14</v>
      </c>
      <c r="C258" s="7907" t="s">
        <v>2400</v>
      </c>
      <c r="D258" s="7907" t="s">
        <v>2401</v>
      </c>
      <c r="E258" s="7907" t="s">
        <v>2402</v>
      </c>
      <c r="F258" s="7907" t="s">
        <v>2403</v>
      </c>
      <c r="G258" s="7907" t="s">
        <v>2404</v>
      </c>
      <c r="H258" s="7907" t="s">
        <v>18</v>
      </c>
      <c r="I258" s="7907" t="s">
        <v>864</v>
      </c>
    </row>
    <row customHeight="1" ht="11.25">
      <c r="A259" s="7907" t="s">
        <v>2276</v>
      </c>
      <c r="B259" s="7907" t="s">
        <v>14</v>
      </c>
      <c r="C259" s="7907" t="s">
        <v>2900</v>
      </c>
      <c r="D259" s="7907" t="s">
        <v>2901</v>
      </c>
      <c r="E259" s="7907" t="s">
        <v>2902</v>
      </c>
      <c r="F259" s="7907" t="s">
        <v>2403</v>
      </c>
      <c r="G259" s="7907" t="s">
        <v>2903</v>
      </c>
      <c r="H259" s="7907" t="s">
        <v>18</v>
      </c>
      <c r="I259" s="7907" t="s">
        <v>864</v>
      </c>
    </row>
    <row customHeight="1" ht="11.25">
      <c r="A260" s="7907" t="s">
        <v>2276</v>
      </c>
      <c r="B260" s="7907" t="s">
        <v>14</v>
      </c>
      <c r="C260" s="7907" t="s">
        <v>2409</v>
      </c>
      <c r="D260" s="7907" t="s">
        <v>2410</v>
      </c>
      <c r="E260" s="7907" t="s">
        <v>2411</v>
      </c>
      <c r="F260" s="7907" t="s">
        <v>2412</v>
      </c>
      <c r="G260" s="7907" t="s">
        <v>2413</v>
      </c>
      <c r="H260" s="7907" t="s">
        <v>18</v>
      </c>
      <c r="I260" s="7907" t="s">
        <v>864</v>
      </c>
    </row>
    <row customHeight="1" ht="11.25">
      <c r="A261" s="7907" t="s">
        <v>2276</v>
      </c>
      <c r="B261" s="7907" t="s">
        <v>14</v>
      </c>
      <c r="C261" s="7907" t="s">
        <v>2414</v>
      </c>
      <c r="D261" s="7907" t="s">
        <v>2415</v>
      </c>
      <c r="E261" s="7907" t="s">
        <v>2416</v>
      </c>
      <c r="F261" s="7907" t="s">
        <v>2338</v>
      </c>
      <c r="G261" s="7907" t="s">
        <v>18</v>
      </c>
      <c r="H261" s="7907" t="s">
        <v>18</v>
      </c>
      <c r="I261" s="7907" t="s">
        <v>864</v>
      </c>
    </row>
    <row customHeight="1" ht="11.25">
      <c r="A262" s="7907" t="s">
        <v>2276</v>
      </c>
      <c r="B262" s="7907" t="s">
        <v>14</v>
      </c>
      <c r="C262" s="7907" t="s">
        <v>2417</v>
      </c>
      <c r="D262" s="7907" t="s">
        <v>2415</v>
      </c>
      <c r="E262" s="7907" t="s">
        <v>2418</v>
      </c>
      <c r="F262" s="7907" t="s">
        <v>2370</v>
      </c>
      <c r="G262" s="7907" t="s">
        <v>2419</v>
      </c>
      <c r="H262" s="7907" t="s">
        <v>18</v>
      </c>
      <c r="I262" s="7907" t="s">
        <v>864</v>
      </c>
    </row>
    <row customHeight="1" ht="11.25">
      <c r="A263" s="7907" t="s">
        <v>2276</v>
      </c>
      <c r="B263" s="7907" t="s">
        <v>14</v>
      </c>
      <c r="C263" s="7907" t="s">
        <v>2904</v>
      </c>
      <c r="D263" s="7907" t="s">
        <v>2905</v>
      </c>
      <c r="E263" s="7907" t="s">
        <v>2906</v>
      </c>
      <c r="F263" s="7907" t="s">
        <v>2449</v>
      </c>
      <c r="G263" s="7907" t="s">
        <v>2907</v>
      </c>
      <c r="H263" s="7907" t="s">
        <v>18</v>
      </c>
      <c r="I263" s="7907" t="s">
        <v>864</v>
      </c>
    </row>
    <row customHeight="1" ht="11.25">
      <c r="A264" s="7907" t="s">
        <v>2276</v>
      </c>
      <c r="B264" s="7907" t="s">
        <v>14</v>
      </c>
      <c r="C264" s="7907" t="s">
        <v>2908</v>
      </c>
      <c r="D264" s="7907" t="s">
        <v>2909</v>
      </c>
      <c r="E264" s="7907" t="s">
        <v>2910</v>
      </c>
      <c r="F264" s="7907" t="s">
        <v>2423</v>
      </c>
      <c r="G264" s="7907" t="s">
        <v>18</v>
      </c>
      <c r="H264" s="7907" t="s">
        <v>18</v>
      </c>
      <c r="I264" s="7907" t="s">
        <v>864</v>
      </c>
    </row>
    <row customHeight="1" ht="11.25">
      <c r="A265" s="7907" t="s">
        <v>2276</v>
      </c>
      <c r="B265" s="7907" t="s">
        <v>14</v>
      </c>
      <c r="C265" s="7907" t="s">
        <v>2911</v>
      </c>
      <c r="D265" s="7907" t="s">
        <v>2912</v>
      </c>
      <c r="E265" s="7907" t="s">
        <v>2913</v>
      </c>
      <c r="F265" s="7907" t="s">
        <v>2487</v>
      </c>
      <c r="G265" s="7907" t="s">
        <v>18</v>
      </c>
      <c r="H265" s="7907" t="s">
        <v>18</v>
      </c>
      <c r="I265" s="7907" t="s">
        <v>864</v>
      </c>
    </row>
    <row customHeight="1" ht="11.25">
      <c r="A266" s="7907" t="s">
        <v>2276</v>
      </c>
      <c r="B266" s="7907" t="s">
        <v>14</v>
      </c>
      <c r="C266" s="7907" t="s">
        <v>2424</v>
      </c>
      <c r="D266" s="7907" t="s">
        <v>2425</v>
      </c>
      <c r="E266" s="7907" t="s">
        <v>2426</v>
      </c>
      <c r="F266" s="7907" t="s">
        <v>2366</v>
      </c>
      <c r="G266" s="7907" t="s">
        <v>2427</v>
      </c>
      <c r="H266" s="7907" t="s">
        <v>18</v>
      </c>
      <c r="I266" s="7907" t="s">
        <v>864</v>
      </c>
    </row>
    <row customHeight="1" ht="11.25">
      <c r="A267" s="7907" t="s">
        <v>2276</v>
      </c>
      <c r="B267" s="7907" t="s">
        <v>14</v>
      </c>
      <c r="C267" s="7907" t="s">
        <v>2428</v>
      </c>
      <c r="D267" s="7907" t="s">
        <v>2429</v>
      </c>
      <c r="E267" s="7907" t="s">
        <v>2430</v>
      </c>
      <c r="F267" s="7907" t="s">
        <v>2412</v>
      </c>
      <c r="G267" s="7907" t="s">
        <v>18</v>
      </c>
      <c r="H267" s="7907" t="s">
        <v>18</v>
      </c>
      <c r="I267" s="7907" t="s">
        <v>864</v>
      </c>
    </row>
    <row customHeight="1" ht="11.25">
      <c r="A268" s="7907" t="s">
        <v>2276</v>
      </c>
      <c r="B268" s="7907" t="s">
        <v>14</v>
      </c>
      <c r="C268" s="7907" t="s">
        <v>2435</v>
      </c>
      <c r="D268" s="7907" t="s">
        <v>2436</v>
      </c>
      <c r="E268" s="7907" t="s">
        <v>2437</v>
      </c>
      <c r="F268" s="7907" t="s">
        <v>2391</v>
      </c>
      <c r="G268" s="7907" t="s">
        <v>18</v>
      </c>
      <c r="H268" s="7907" t="s">
        <v>18</v>
      </c>
      <c r="I268" s="7907" t="s">
        <v>864</v>
      </c>
    </row>
    <row customHeight="1" ht="11.25">
      <c r="A269" s="7907" t="s">
        <v>2276</v>
      </c>
      <c r="B269" s="7907" t="s">
        <v>14</v>
      </c>
      <c r="C269" s="7907" t="s">
        <v>2438</v>
      </c>
      <c r="D269" s="7907" t="s">
        <v>2439</v>
      </c>
      <c r="E269" s="7907" t="s">
        <v>2440</v>
      </c>
      <c r="F269" s="7907" t="s">
        <v>2441</v>
      </c>
      <c r="G269" s="7907" t="s">
        <v>18</v>
      </c>
      <c r="H269" s="7907" t="s">
        <v>18</v>
      </c>
      <c r="I269" s="7907" t="s">
        <v>864</v>
      </c>
    </row>
    <row customHeight="1" ht="11.25">
      <c r="A270" s="7907" t="s">
        <v>2276</v>
      </c>
      <c r="B270" s="7907" t="s">
        <v>14</v>
      </c>
      <c r="C270" s="7907" t="s">
        <v>2442</v>
      </c>
      <c r="D270" s="7907" t="s">
        <v>2443</v>
      </c>
      <c r="E270" s="7907" t="s">
        <v>2444</v>
      </c>
      <c r="F270" s="7907" t="s">
        <v>2423</v>
      </c>
      <c r="G270" s="7907" t="s">
        <v>2445</v>
      </c>
      <c r="H270" s="7907" t="s">
        <v>18</v>
      </c>
      <c r="I270" s="7907" t="s">
        <v>864</v>
      </c>
    </row>
    <row customHeight="1" ht="11.25">
      <c r="A271" s="7907" t="s">
        <v>2276</v>
      </c>
      <c r="B271" s="7907" t="s">
        <v>14</v>
      </c>
      <c r="C271" s="7907" t="s">
        <v>2446</v>
      </c>
      <c r="D271" s="7907" t="s">
        <v>2447</v>
      </c>
      <c r="E271" s="7907" t="s">
        <v>2448</v>
      </c>
      <c r="F271" s="7907" t="s">
        <v>2449</v>
      </c>
      <c r="G271" s="7907" t="s">
        <v>18</v>
      </c>
      <c r="H271" s="7907" t="s">
        <v>18</v>
      </c>
      <c r="I271" s="7907" t="s">
        <v>864</v>
      </c>
    </row>
    <row customHeight="1" ht="11.25">
      <c r="A272" s="7907" t="s">
        <v>2276</v>
      </c>
      <c r="B272" s="7907" t="s">
        <v>14</v>
      </c>
      <c r="C272" s="7907" t="s">
        <v>2450</v>
      </c>
      <c r="D272" s="7907" t="s">
        <v>2451</v>
      </c>
      <c r="E272" s="7907" t="s">
        <v>2452</v>
      </c>
      <c r="F272" s="7907" t="s">
        <v>2449</v>
      </c>
      <c r="G272" s="7907" t="s">
        <v>2453</v>
      </c>
      <c r="H272" s="7907" t="s">
        <v>18</v>
      </c>
      <c r="I272" s="7907" t="s">
        <v>864</v>
      </c>
    </row>
    <row customHeight="1" ht="11.25">
      <c r="A273" s="7907" t="s">
        <v>2276</v>
      </c>
      <c r="B273" s="7907" t="s">
        <v>14</v>
      </c>
      <c r="C273" s="7907" t="s">
        <v>2454</v>
      </c>
      <c r="D273" s="7907" t="s">
        <v>2455</v>
      </c>
      <c r="E273" s="7907" t="s">
        <v>2456</v>
      </c>
      <c r="F273" s="7907" t="s">
        <v>2423</v>
      </c>
      <c r="G273" s="7907" t="s">
        <v>18</v>
      </c>
      <c r="H273" s="7907" t="s">
        <v>18</v>
      </c>
      <c r="I273" s="7907" t="s">
        <v>864</v>
      </c>
    </row>
    <row customHeight="1" ht="11.25">
      <c r="A274" s="7907" t="s">
        <v>2276</v>
      </c>
      <c r="B274" s="7907" t="s">
        <v>14</v>
      </c>
      <c r="C274" s="7907" t="s">
        <v>2457</v>
      </c>
      <c r="D274" s="7907" t="s">
        <v>2458</v>
      </c>
      <c r="E274" s="7907" t="s">
        <v>2459</v>
      </c>
      <c r="F274" s="7907" t="s">
        <v>2460</v>
      </c>
      <c r="G274" s="7907" t="s">
        <v>2461</v>
      </c>
      <c r="H274" s="7907" t="s">
        <v>18</v>
      </c>
      <c r="I274" s="7907" t="s">
        <v>864</v>
      </c>
    </row>
    <row customHeight="1" ht="11.25">
      <c r="A275" s="7907" t="s">
        <v>2276</v>
      </c>
      <c r="B275" s="7907" t="s">
        <v>14</v>
      </c>
      <c r="C275" s="7907" t="s">
        <v>2914</v>
      </c>
      <c r="D275" s="7907" t="s">
        <v>2915</v>
      </c>
      <c r="E275" s="7907" t="s">
        <v>2916</v>
      </c>
      <c r="F275" s="7907" t="s">
        <v>2423</v>
      </c>
      <c r="G275" s="7907" t="s">
        <v>2917</v>
      </c>
      <c r="H275" s="7907" t="s">
        <v>18</v>
      </c>
      <c r="I275" s="7907" t="s">
        <v>864</v>
      </c>
    </row>
    <row customHeight="1" ht="11.25">
      <c r="A276" s="7907" t="s">
        <v>2276</v>
      </c>
      <c r="B276" s="7907" t="s">
        <v>14</v>
      </c>
      <c r="C276" s="7907" t="s">
        <v>2918</v>
      </c>
      <c r="D276" s="7907" t="s">
        <v>2919</v>
      </c>
      <c r="E276" s="7907" t="s">
        <v>2920</v>
      </c>
      <c r="F276" s="7907" t="s">
        <v>2460</v>
      </c>
      <c r="G276" s="7907" t="s">
        <v>2921</v>
      </c>
      <c r="H276" s="7907" t="s">
        <v>18</v>
      </c>
      <c r="I276" s="7907" t="s">
        <v>864</v>
      </c>
    </row>
    <row customHeight="1" ht="11.25">
      <c r="A277" s="7907" t="s">
        <v>2276</v>
      </c>
      <c r="B277" s="7907" t="s">
        <v>14</v>
      </c>
      <c r="C277" s="7907" t="s">
        <v>2466</v>
      </c>
      <c r="D277" s="7907" t="s">
        <v>2467</v>
      </c>
      <c r="E277" s="7907" t="s">
        <v>2468</v>
      </c>
      <c r="F277" s="7907" t="s">
        <v>2469</v>
      </c>
      <c r="G277" s="7907" t="s">
        <v>18</v>
      </c>
      <c r="H277" s="7907" t="s">
        <v>18</v>
      </c>
      <c r="I277" s="7907" t="s">
        <v>864</v>
      </c>
    </row>
    <row customHeight="1" ht="11.25">
      <c r="A278" s="7907" t="s">
        <v>2276</v>
      </c>
      <c r="B278" s="7907" t="s">
        <v>14</v>
      </c>
      <c r="C278" s="7907" t="s">
        <v>2922</v>
      </c>
      <c r="D278" s="7907" t="s">
        <v>2923</v>
      </c>
      <c r="E278" s="7907" t="s">
        <v>2924</v>
      </c>
      <c r="F278" s="7907" t="s">
        <v>2460</v>
      </c>
      <c r="G278" s="7907" t="s">
        <v>18</v>
      </c>
      <c r="H278" s="7907" t="s">
        <v>18</v>
      </c>
      <c r="I278" s="7907" t="s">
        <v>864</v>
      </c>
    </row>
    <row customHeight="1" ht="11.25">
      <c r="A279" s="7907" t="s">
        <v>2276</v>
      </c>
      <c r="B279" s="7907" t="s">
        <v>14</v>
      </c>
      <c r="C279" s="7907" t="s">
        <v>2470</v>
      </c>
      <c r="D279" s="7907" t="s">
        <v>2471</v>
      </c>
      <c r="E279" s="7907" t="s">
        <v>2472</v>
      </c>
      <c r="F279" s="7907" t="s">
        <v>2460</v>
      </c>
      <c r="G279" s="7907" t="s">
        <v>2473</v>
      </c>
      <c r="H279" s="7907" t="s">
        <v>18</v>
      </c>
      <c r="I279" s="7907" t="s">
        <v>864</v>
      </c>
    </row>
    <row customHeight="1" ht="11.25">
      <c r="A280" s="7907" t="s">
        <v>2276</v>
      </c>
      <c r="B280" s="7907" t="s">
        <v>14</v>
      </c>
      <c r="C280" s="7907" t="s">
        <v>2474</v>
      </c>
      <c r="D280" s="7907" t="s">
        <v>2475</v>
      </c>
      <c r="E280" s="7907" t="s">
        <v>2476</v>
      </c>
      <c r="F280" s="7907" t="s">
        <v>2449</v>
      </c>
      <c r="G280" s="7907" t="s">
        <v>2477</v>
      </c>
      <c r="H280" s="7907" t="s">
        <v>18</v>
      </c>
      <c r="I280" s="7907" t="s">
        <v>864</v>
      </c>
    </row>
    <row customHeight="1" ht="11.25">
      <c r="A281" s="7907" t="s">
        <v>2276</v>
      </c>
      <c r="B281" s="7907" t="s">
        <v>14</v>
      </c>
      <c r="C281" s="7907" t="s">
        <v>2478</v>
      </c>
      <c r="D281" s="7907" t="s">
        <v>2479</v>
      </c>
      <c r="E281" s="7907" t="s">
        <v>2480</v>
      </c>
      <c r="F281" s="7907" t="s">
        <v>2449</v>
      </c>
      <c r="G281" s="7907" t="s">
        <v>18</v>
      </c>
      <c r="H281" s="7907" t="s">
        <v>18</v>
      </c>
      <c r="I281" s="7907" t="s">
        <v>864</v>
      </c>
    </row>
    <row customHeight="1" ht="11.25">
      <c r="A282" s="7907" t="s">
        <v>2276</v>
      </c>
      <c r="B282" s="7907" t="s">
        <v>14</v>
      </c>
      <c r="C282" s="7907" t="s">
        <v>2481</v>
      </c>
      <c r="D282" s="7907" t="s">
        <v>2482</v>
      </c>
      <c r="E282" s="7907" t="s">
        <v>2483</v>
      </c>
      <c r="F282" s="7907" t="s">
        <v>2370</v>
      </c>
      <c r="G282" s="7907" t="s">
        <v>18</v>
      </c>
      <c r="H282" s="7907" t="s">
        <v>18</v>
      </c>
      <c r="I282" s="7907" t="s">
        <v>864</v>
      </c>
    </row>
    <row customHeight="1" ht="11.25">
      <c r="A283" s="7907" t="s">
        <v>2276</v>
      </c>
      <c r="B283" s="7907" t="s">
        <v>14</v>
      </c>
      <c r="C283" s="7907" t="s">
        <v>2488</v>
      </c>
      <c r="D283" s="7907" t="s">
        <v>2489</v>
      </c>
      <c r="E283" s="7907" t="s">
        <v>2490</v>
      </c>
      <c r="F283" s="7907" t="s">
        <v>2449</v>
      </c>
      <c r="G283" s="7907" t="s">
        <v>2491</v>
      </c>
      <c r="H283" s="7907" t="s">
        <v>18</v>
      </c>
      <c r="I283" s="7907" t="s">
        <v>864</v>
      </c>
    </row>
    <row customHeight="1" ht="11.25">
      <c r="A284" s="7907" t="s">
        <v>2276</v>
      </c>
      <c r="B284" s="7907" t="s">
        <v>14</v>
      </c>
      <c r="C284" s="7907" t="s">
        <v>2495</v>
      </c>
      <c r="D284" s="7907" t="s">
        <v>2496</v>
      </c>
      <c r="E284" s="7907" t="s">
        <v>2497</v>
      </c>
      <c r="F284" s="7907" t="s">
        <v>2460</v>
      </c>
      <c r="G284" s="7907" t="s">
        <v>18</v>
      </c>
      <c r="H284" s="7907" t="s">
        <v>18</v>
      </c>
      <c r="I284" s="7907" t="s">
        <v>864</v>
      </c>
    </row>
    <row customHeight="1" ht="11.25">
      <c r="A285" s="7907" t="s">
        <v>2276</v>
      </c>
      <c r="B285" s="7907" t="s">
        <v>14</v>
      </c>
      <c r="C285" s="7907" t="s">
        <v>2498</v>
      </c>
      <c r="D285" s="7907" t="s">
        <v>2499</v>
      </c>
      <c r="E285" s="7907" t="s">
        <v>2500</v>
      </c>
      <c r="F285" s="7907" t="s">
        <v>2487</v>
      </c>
      <c r="G285" s="7907" t="s">
        <v>18</v>
      </c>
      <c r="H285" s="7907" t="s">
        <v>18</v>
      </c>
      <c r="I285" s="7907" t="s">
        <v>864</v>
      </c>
    </row>
    <row customHeight="1" ht="11.25">
      <c r="A286" s="7907" t="s">
        <v>2276</v>
      </c>
      <c r="B286" s="7907" t="s">
        <v>14</v>
      </c>
      <c r="C286" s="7907" t="s">
        <v>2501</v>
      </c>
      <c r="D286" s="7907" t="s">
        <v>2502</v>
      </c>
      <c r="E286" s="7907" t="s">
        <v>2503</v>
      </c>
      <c r="F286" s="7907" t="s">
        <v>2449</v>
      </c>
      <c r="G286" s="7907" t="s">
        <v>2504</v>
      </c>
      <c r="H286" s="7907" t="s">
        <v>18</v>
      </c>
      <c r="I286" s="7907" t="s">
        <v>864</v>
      </c>
    </row>
    <row customHeight="1" ht="11.25">
      <c r="A287" s="7907" t="s">
        <v>2276</v>
      </c>
      <c r="B287" s="7907" t="s">
        <v>14</v>
      </c>
      <c r="C287" s="7907" t="s">
        <v>2505</v>
      </c>
      <c r="D287" s="7907" t="s">
        <v>2506</v>
      </c>
      <c r="E287" s="7907" t="s">
        <v>2507</v>
      </c>
      <c r="F287" s="7907" t="s">
        <v>2460</v>
      </c>
      <c r="G287" s="7907" t="s">
        <v>2508</v>
      </c>
      <c r="H287" s="7907" t="s">
        <v>18</v>
      </c>
      <c r="I287" s="7907" t="s">
        <v>864</v>
      </c>
    </row>
    <row customHeight="1" ht="11.25">
      <c r="A288" s="7907" t="s">
        <v>2276</v>
      </c>
      <c r="B288" s="7907" t="s">
        <v>14</v>
      </c>
      <c r="C288" s="7907" t="s">
        <v>2509</v>
      </c>
      <c r="D288" s="7907" t="s">
        <v>2506</v>
      </c>
      <c r="E288" s="7907" t="s">
        <v>2510</v>
      </c>
      <c r="F288" s="7907" t="s">
        <v>2338</v>
      </c>
      <c r="G288" s="7907" t="s">
        <v>2511</v>
      </c>
      <c r="H288" s="7907" t="s">
        <v>18</v>
      </c>
      <c r="I288" s="7907" t="s">
        <v>864</v>
      </c>
    </row>
    <row customHeight="1" ht="11.25">
      <c r="A289" s="7907" t="s">
        <v>2276</v>
      </c>
      <c r="B289" s="7907" t="s">
        <v>14</v>
      </c>
      <c r="C289" s="7907" t="s">
        <v>2512</v>
      </c>
      <c r="D289" s="7907" t="s">
        <v>2513</v>
      </c>
      <c r="E289" s="7907" t="s">
        <v>2514</v>
      </c>
      <c r="F289" s="7907" t="s">
        <v>2441</v>
      </c>
      <c r="G289" s="7907" t="s">
        <v>18</v>
      </c>
      <c r="H289" s="7907" t="s">
        <v>18</v>
      </c>
      <c r="I289" s="7907" t="s">
        <v>864</v>
      </c>
    </row>
    <row customHeight="1" ht="11.25">
      <c r="A290" s="7907" t="s">
        <v>2276</v>
      </c>
      <c r="B290" s="7907" t="s">
        <v>14</v>
      </c>
      <c r="C290" s="7907" t="s">
        <v>2515</v>
      </c>
      <c r="D290" s="7907" t="s">
        <v>2516</v>
      </c>
      <c r="E290" s="7907" t="s">
        <v>2517</v>
      </c>
      <c r="F290" s="7907" t="s">
        <v>2441</v>
      </c>
      <c r="G290" s="7907" t="s">
        <v>2518</v>
      </c>
      <c r="H290" s="7907" t="s">
        <v>18</v>
      </c>
      <c r="I290" s="7907" t="s">
        <v>864</v>
      </c>
    </row>
    <row customHeight="1" ht="11.25">
      <c r="A291" s="7907" t="s">
        <v>2276</v>
      </c>
      <c r="B291" s="7907" t="s">
        <v>14</v>
      </c>
      <c r="C291" s="7907" t="s">
        <v>2519</v>
      </c>
      <c r="D291" s="7907" t="s">
        <v>2520</v>
      </c>
      <c r="E291" s="7907" t="s">
        <v>2521</v>
      </c>
      <c r="F291" s="7907" t="s">
        <v>2403</v>
      </c>
      <c r="G291" s="7907" t="s">
        <v>18</v>
      </c>
      <c r="H291" s="7907" t="s">
        <v>18</v>
      </c>
      <c r="I291" s="7907" t="s">
        <v>864</v>
      </c>
    </row>
    <row customHeight="1" ht="11.25">
      <c r="A292" s="7907" t="s">
        <v>2276</v>
      </c>
      <c r="B292" s="7907" t="s">
        <v>14</v>
      </c>
      <c r="C292" s="7907" t="s">
        <v>2522</v>
      </c>
      <c r="D292" s="7907" t="s">
        <v>2523</v>
      </c>
      <c r="E292" s="7907" t="s">
        <v>2524</v>
      </c>
      <c r="F292" s="7907" t="s">
        <v>2412</v>
      </c>
      <c r="G292" s="7907" t="s">
        <v>2525</v>
      </c>
      <c r="H292" s="7907" t="s">
        <v>18</v>
      </c>
      <c r="I292" s="7907" t="s">
        <v>864</v>
      </c>
    </row>
    <row customHeight="1" ht="11.25">
      <c r="A293" s="7907" t="s">
        <v>2276</v>
      </c>
      <c r="B293" s="7907" t="s">
        <v>14</v>
      </c>
      <c r="C293" s="7907" t="s">
        <v>2526</v>
      </c>
      <c r="D293" s="7907" t="s">
        <v>2527</v>
      </c>
      <c r="E293" s="7907" t="s">
        <v>2528</v>
      </c>
      <c r="F293" s="7907" t="s">
        <v>2403</v>
      </c>
      <c r="G293" s="7907" t="s">
        <v>2529</v>
      </c>
      <c r="H293" s="7907" t="s">
        <v>18</v>
      </c>
      <c r="I293" s="7907" t="s">
        <v>864</v>
      </c>
    </row>
    <row customHeight="1" ht="11.25">
      <c r="A294" s="7907" t="s">
        <v>2276</v>
      </c>
      <c r="B294" s="7907" t="s">
        <v>14</v>
      </c>
      <c r="C294" s="7907" t="s">
        <v>2530</v>
      </c>
      <c r="D294" s="7907" t="s">
        <v>2531</v>
      </c>
      <c r="E294" s="7907" t="s">
        <v>2532</v>
      </c>
      <c r="F294" s="7907" t="s">
        <v>2423</v>
      </c>
      <c r="G294" s="7907" t="s">
        <v>2533</v>
      </c>
      <c r="H294" s="7907" t="s">
        <v>18</v>
      </c>
      <c r="I294" s="7907" t="s">
        <v>864</v>
      </c>
    </row>
    <row customHeight="1" ht="11.25">
      <c r="A295" s="7907" t="s">
        <v>2276</v>
      </c>
      <c r="B295" s="7907" t="s">
        <v>14</v>
      </c>
      <c r="C295" s="7907" t="s">
        <v>2925</v>
      </c>
      <c r="D295" s="7907" t="s">
        <v>2926</v>
      </c>
      <c r="E295" s="7907" t="s">
        <v>2927</v>
      </c>
      <c r="F295" s="7907" t="s">
        <v>48</v>
      </c>
      <c r="G295" s="7907" t="s">
        <v>18</v>
      </c>
      <c r="H295" s="7907" t="s">
        <v>18</v>
      </c>
      <c r="I295" s="7907" t="s">
        <v>864</v>
      </c>
    </row>
    <row customHeight="1" ht="11.25">
      <c r="A296" s="7907" t="s">
        <v>2276</v>
      </c>
      <c r="B296" s="7907" t="s">
        <v>14</v>
      </c>
      <c r="C296" s="7907" t="s">
        <v>2537</v>
      </c>
      <c r="D296" s="7907" t="s">
        <v>2538</v>
      </c>
      <c r="E296" s="7907" t="s">
        <v>2539</v>
      </c>
      <c r="F296" s="7907" t="s">
        <v>2469</v>
      </c>
      <c r="G296" s="7907" t="s">
        <v>18</v>
      </c>
      <c r="H296" s="7907" t="s">
        <v>18</v>
      </c>
      <c r="I296" s="7907" t="s">
        <v>864</v>
      </c>
    </row>
    <row customHeight="1" ht="11.25">
      <c r="A297" s="7907" t="s">
        <v>2276</v>
      </c>
      <c r="B297" s="7907" t="s">
        <v>14</v>
      </c>
      <c r="C297" s="7907" t="s">
        <v>2543</v>
      </c>
      <c r="D297" s="7907" t="s">
        <v>2544</v>
      </c>
      <c r="E297" s="7907" t="s">
        <v>2545</v>
      </c>
      <c r="F297" s="7907" t="s">
        <v>2338</v>
      </c>
      <c r="G297" s="7907" t="s">
        <v>2546</v>
      </c>
      <c r="H297" s="7907" t="s">
        <v>18</v>
      </c>
      <c r="I297" s="7907" t="s">
        <v>864</v>
      </c>
    </row>
    <row customHeight="1" ht="11.25">
      <c r="A298" s="7907" t="s">
        <v>2276</v>
      </c>
      <c r="B298" s="7907" t="s">
        <v>14</v>
      </c>
      <c r="C298" s="7907" t="s">
        <v>2550</v>
      </c>
      <c r="D298" s="7907" t="s">
        <v>2551</v>
      </c>
      <c r="E298" s="7907" t="s">
        <v>2552</v>
      </c>
      <c r="F298" s="7907" t="s">
        <v>2449</v>
      </c>
      <c r="G298" s="7907" t="s">
        <v>18</v>
      </c>
      <c r="H298" s="7907" t="s">
        <v>18</v>
      </c>
      <c r="I298" s="7907" t="s">
        <v>864</v>
      </c>
    </row>
    <row customHeight="1" ht="11.25">
      <c r="A299" s="7907" t="s">
        <v>2276</v>
      </c>
      <c r="B299" s="7907" t="s">
        <v>14</v>
      </c>
      <c r="C299" s="7907" t="s">
        <v>2556</v>
      </c>
      <c r="D299" s="7907" t="s">
        <v>2557</v>
      </c>
      <c r="E299" s="7907" t="s">
        <v>2373</v>
      </c>
      <c r="F299" s="7907" t="s">
        <v>2558</v>
      </c>
      <c r="G299" s="7907" t="s">
        <v>18</v>
      </c>
      <c r="H299" s="7907" t="s">
        <v>18</v>
      </c>
      <c r="I299" s="7907" t="s">
        <v>864</v>
      </c>
    </row>
    <row customHeight="1" ht="11.25">
      <c r="A300" s="7907" t="s">
        <v>2276</v>
      </c>
      <c r="B300" s="7907" t="s">
        <v>14</v>
      </c>
      <c r="C300" s="7907" t="s">
        <v>2563</v>
      </c>
      <c r="D300" s="7907" t="s">
        <v>2564</v>
      </c>
      <c r="E300" s="7907" t="s">
        <v>2565</v>
      </c>
      <c r="F300" s="7907" t="s">
        <v>2566</v>
      </c>
      <c r="G300" s="7907" t="s">
        <v>2567</v>
      </c>
      <c r="H300" s="7907" t="s">
        <v>18</v>
      </c>
      <c r="I300" s="7907" t="s">
        <v>864</v>
      </c>
    </row>
    <row customHeight="1" ht="11.25">
      <c r="A301" s="7907" t="s">
        <v>2276</v>
      </c>
      <c r="B301" s="7907" t="s">
        <v>14</v>
      </c>
      <c r="C301" s="7907" t="s">
        <v>2568</v>
      </c>
      <c r="D301" s="7907" t="s">
        <v>2569</v>
      </c>
      <c r="E301" s="7907" t="s">
        <v>2570</v>
      </c>
      <c r="F301" s="7907" t="s">
        <v>2338</v>
      </c>
      <c r="G301" s="7907" t="s">
        <v>18</v>
      </c>
      <c r="H301" s="7907" t="s">
        <v>18</v>
      </c>
      <c r="I301" s="7907" t="s">
        <v>864</v>
      </c>
    </row>
    <row customHeight="1" ht="11.25">
      <c r="A302" s="7907" t="s">
        <v>2276</v>
      </c>
      <c r="B302" s="7907" t="s">
        <v>14</v>
      </c>
      <c r="C302" s="7907" t="s">
        <v>2571</v>
      </c>
      <c r="D302" s="7907" t="s">
        <v>2572</v>
      </c>
      <c r="E302" s="7907" t="s">
        <v>2573</v>
      </c>
      <c r="F302" s="7907" t="s">
        <v>2403</v>
      </c>
      <c r="G302" s="7907" t="s">
        <v>18</v>
      </c>
      <c r="H302" s="7907" t="s">
        <v>18</v>
      </c>
      <c r="I302" s="7907" t="s">
        <v>864</v>
      </c>
    </row>
    <row customHeight="1" ht="11.25">
      <c r="A303" s="7907" t="s">
        <v>2276</v>
      </c>
      <c r="B303" s="7907" t="s">
        <v>14</v>
      </c>
      <c r="C303" s="7907" t="s">
        <v>2574</v>
      </c>
      <c r="D303" s="7907" t="s">
        <v>2575</v>
      </c>
      <c r="E303" s="7907" t="s">
        <v>2576</v>
      </c>
      <c r="F303" s="7907" t="s">
        <v>2403</v>
      </c>
      <c r="G303" s="7907" t="s">
        <v>18</v>
      </c>
      <c r="H303" s="7907" t="s">
        <v>18</v>
      </c>
      <c r="I303" s="7907" t="s">
        <v>864</v>
      </c>
    </row>
    <row customHeight="1" ht="11.25">
      <c r="A304" s="7907" t="s">
        <v>2276</v>
      </c>
      <c r="B304" s="7907" t="s">
        <v>14</v>
      </c>
      <c r="C304" s="7907" t="s">
        <v>2928</v>
      </c>
      <c r="D304" s="7907" t="s">
        <v>2929</v>
      </c>
      <c r="E304" s="7907" t="s">
        <v>2930</v>
      </c>
      <c r="F304" s="7907" t="s">
        <v>2608</v>
      </c>
      <c r="G304" s="7907" t="s">
        <v>18</v>
      </c>
      <c r="H304" s="7907" t="s">
        <v>18</v>
      </c>
      <c r="I304" s="7907" t="s">
        <v>864</v>
      </c>
    </row>
    <row customHeight="1" ht="11.25">
      <c r="A305" s="7907" t="s">
        <v>2276</v>
      </c>
      <c r="B305" s="7907" t="s">
        <v>14</v>
      </c>
      <c r="C305" s="7907" t="s">
        <v>2931</v>
      </c>
      <c r="D305" s="7907" t="s">
        <v>2932</v>
      </c>
      <c r="E305" s="7907" t="s">
        <v>2933</v>
      </c>
      <c r="F305" s="7907" t="s">
        <v>48</v>
      </c>
      <c r="G305" s="7907" t="s">
        <v>2934</v>
      </c>
      <c r="H305" s="7907" t="s">
        <v>18</v>
      </c>
      <c r="I305" s="7907" t="s">
        <v>864</v>
      </c>
    </row>
    <row customHeight="1" ht="11.25">
      <c r="A306" s="7907" t="s">
        <v>2276</v>
      </c>
      <c r="B306" s="7907" t="s">
        <v>14</v>
      </c>
      <c r="C306" s="7907" t="s">
        <v>2935</v>
      </c>
      <c r="D306" s="7907" t="s">
        <v>2936</v>
      </c>
      <c r="E306" s="7907" t="s">
        <v>2937</v>
      </c>
      <c r="F306" s="7907" t="s">
        <v>2608</v>
      </c>
      <c r="G306" s="7907" t="s">
        <v>18</v>
      </c>
      <c r="H306" s="7907" t="s">
        <v>18</v>
      </c>
      <c r="I306" s="7907" t="s">
        <v>864</v>
      </c>
    </row>
    <row customHeight="1" ht="11.25">
      <c r="A307" s="7907" t="s">
        <v>2276</v>
      </c>
      <c r="B307" s="7907" t="s">
        <v>14</v>
      </c>
      <c r="C307" s="7907" t="s">
        <v>2938</v>
      </c>
      <c r="D307" s="7907" t="s">
        <v>2936</v>
      </c>
      <c r="E307" s="7907" t="s">
        <v>2939</v>
      </c>
      <c r="F307" s="7907" t="s">
        <v>2370</v>
      </c>
      <c r="G307" s="7907" t="s">
        <v>18</v>
      </c>
      <c r="H307" s="7907" t="s">
        <v>18</v>
      </c>
      <c r="I307" s="7907" t="s">
        <v>864</v>
      </c>
    </row>
    <row customHeight="1" ht="11.25">
      <c r="A308" s="7907" t="s">
        <v>2276</v>
      </c>
      <c r="B308" s="7907" t="s">
        <v>14</v>
      </c>
      <c r="C308" s="7907" t="s">
        <v>2940</v>
      </c>
      <c r="D308" s="7907" t="s">
        <v>2941</v>
      </c>
      <c r="E308" s="7907" t="s">
        <v>2942</v>
      </c>
      <c r="F308" s="7907" t="s">
        <v>2366</v>
      </c>
      <c r="G308" s="7907" t="s">
        <v>18</v>
      </c>
      <c r="H308" s="7907" t="s">
        <v>18</v>
      </c>
      <c r="I308" s="7907" t="s">
        <v>864</v>
      </c>
    </row>
    <row customHeight="1" ht="11.25">
      <c r="A309" s="7907" t="s">
        <v>2276</v>
      </c>
      <c r="B309" s="7907" t="s">
        <v>14</v>
      </c>
      <c r="C309" s="7907" t="s">
        <v>2943</v>
      </c>
      <c r="D309" s="7907" t="s">
        <v>2944</v>
      </c>
      <c r="E309" s="7907" t="s">
        <v>2945</v>
      </c>
      <c r="F309" s="7907" t="s">
        <v>2608</v>
      </c>
      <c r="G309" s="7907" t="s">
        <v>2946</v>
      </c>
      <c r="H309" s="7907" t="s">
        <v>18</v>
      </c>
      <c r="I309" s="7907" t="s">
        <v>864</v>
      </c>
    </row>
    <row customHeight="1" ht="11.25">
      <c r="A310" s="7907" t="s">
        <v>2276</v>
      </c>
      <c r="B310" s="7907" t="s">
        <v>14</v>
      </c>
      <c r="C310" s="7907" t="s">
        <v>2602</v>
      </c>
      <c r="D310" s="7907" t="s">
        <v>2603</v>
      </c>
      <c r="E310" s="7907" t="s">
        <v>2604</v>
      </c>
      <c r="F310" s="7907" t="s">
        <v>2449</v>
      </c>
      <c r="G310" s="7907" t="s">
        <v>18</v>
      </c>
      <c r="H310" s="7907" t="s">
        <v>18</v>
      </c>
      <c r="I310" s="7907" t="s">
        <v>864</v>
      </c>
    </row>
    <row customHeight="1" ht="11.25">
      <c r="A311" s="7907" t="s">
        <v>2276</v>
      </c>
      <c r="B311" s="7907" t="s">
        <v>14</v>
      </c>
      <c r="C311" s="7907" t="s">
        <v>2605</v>
      </c>
      <c r="D311" s="7907" t="s">
        <v>2606</v>
      </c>
      <c r="E311" s="7907" t="s">
        <v>2607</v>
      </c>
      <c r="F311" s="7907" t="s">
        <v>2608</v>
      </c>
      <c r="G311" s="7907" t="s">
        <v>18</v>
      </c>
      <c r="H311" s="7907" t="s">
        <v>18</v>
      </c>
      <c r="I311" s="7907" t="s">
        <v>864</v>
      </c>
    </row>
    <row customHeight="1" ht="11.25">
      <c r="A312" s="7907" t="s">
        <v>2276</v>
      </c>
      <c r="B312" s="7907" t="s">
        <v>14</v>
      </c>
      <c r="C312" s="7907" t="s">
        <v>2947</v>
      </c>
      <c r="D312" s="7907" t="s">
        <v>2948</v>
      </c>
      <c r="E312" s="7907" t="s">
        <v>2949</v>
      </c>
      <c r="F312" s="7907" t="s">
        <v>2460</v>
      </c>
      <c r="G312" s="7907" t="s">
        <v>2950</v>
      </c>
      <c r="H312" s="7907" t="s">
        <v>18</v>
      </c>
      <c r="I312" s="7907" t="s">
        <v>864</v>
      </c>
    </row>
    <row customHeight="1" ht="11.25">
      <c r="A313" s="7907" t="s">
        <v>2276</v>
      </c>
      <c r="B313" s="7907" t="s">
        <v>14</v>
      </c>
      <c r="C313" s="7907" t="s">
        <v>2625</v>
      </c>
      <c r="D313" s="7907" t="s">
        <v>2626</v>
      </c>
      <c r="E313" s="7907" t="s">
        <v>2627</v>
      </c>
      <c r="F313" s="7907" t="s">
        <v>2628</v>
      </c>
      <c r="G313" s="7907" t="s">
        <v>18</v>
      </c>
      <c r="H313" s="7907" t="s">
        <v>18</v>
      </c>
      <c r="I313" s="7907" t="s">
        <v>864</v>
      </c>
    </row>
    <row customHeight="1" ht="11.25">
      <c r="A314" s="7907" t="s">
        <v>2276</v>
      </c>
      <c r="B314" s="7907" t="s">
        <v>14</v>
      </c>
      <c r="C314" s="7907" t="s">
        <v>2629</v>
      </c>
      <c r="D314" s="7907" t="s">
        <v>2630</v>
      </c>
      <c r="E314" s="7907" t="s">
        <v>2631</v>
      </c>
      <c r="F314" s="7907" t="s">
        <v>2628</v>
      </c>
      <c r="G314" s="7907" t="s">
        <v>18</v>
      </c>
      <c r="H314" s="7907" t="s">
        <v>18</v>
      </c>
      <c r="I314" s="7907" t="s">
        <v>864</v>
      </c>
    </row>
    <row customHeight="1" ht="11.25">
      <c r="A315" s="7907" t="s">
        <v>2276</v>
      </c>
      <c r="B315" s="7907" t="s">
        <v>14</v>
      </c>
      <c r="C315" s="7907" t="s">
        <v>2951</v>
      </c>
      <c r="D315" s="7907" t="s">
        <v>2952</v>
      </c>
      <c r="E315" s="7907" t="s">
        <v>2953</v>
      </c>
      <c r="F315" s="7907" t="s">
        <v>2408</v>
      </c>
      <c r="G315" s="7907" t="s">
        <v>18</v>
      </c>
      <c r="H315" s="7907" t="s">
        <v>18</v>
      </c>
      <c r="I315" s="7907" t="s">
        <v>864</v>
      </c>
    </row>
    <row customHeight="1" ht="11.25">
      <c r="A316" s="7907" t="s">
        <v>2276</v>
      </c>
      <c r="B316" s="7907" t="s">
        <v>14</v>
      </c>
      <c r="C316" s="7907" t="s">
        <v>2644</v>
      </c>
      <c r="D316" s="7907" t="s">
        <v>2645</v>
      </c>
      <c r="E316" s="7907" t="s">
        <v>2646</v>
      </c>
      <c r="F316" s="7907" t="s">
        <v>2628</v>
      </c>
      <c r="G316" s="7907" t="s">
        <v>2647</v>
      </c>
      <c r="H316" s="7907" t="s">
        <v>18</v>
      </c>
      <c r="I316" s="7907" t="s">
        <v>864</v>
      </c>
    </row>
    <row customHeight="1" ht="11.25">
      <c r="A317" s="7907" t="s">
        <v>2276</v>
      </c>
      <c r="B317" s="7907" t="s">
        <v>14</v>
      </c>
      <c r="C317" s="7907" t="s">
        <v>2648</v>
      </c>
      <c r="D317" s="7907" t="s">
        <v>2649</v>
      </c>
      <c r="E317" s="7907" t="s">
        <v>2650</v>
      </c>
      <c r="F317" s="7907" t="s">
        <v>2449</v>
      </c>
      <c r="G317" s="7907" t="s">
        <v>18</v>
      </c>
      <c r="H317" s="7907" t="s">
        <v>18</v>
      </c>
      <c r="I317" s="7907" t="s">
        <v>864</v>
      </c>
    </row>
    <row customHeight="1" ht="11.25">
      <c r="A318" s="7907" t="s">
        <v>2276</v>
      </c>
      <c r="B318" s="7907" t="s">
        <v>14</v>
      </c>
      <c r="C318" s="7907" t="s">
        <v>2651</v>
      </c>
      <c r="D318" s="7907" t="s">
        <v>2652</v>
      </c>
      <c r="E318" s="7907" t="s">
        <v>2653</v>
      </c>
      <c r="F318" s="7907" t="s">
        <v>2449</v>
      </c>
      <c r="G318" s="7907" t="s">
        <v>2654</v>
      </c>
      <c r="H318" s="7907" t="s">
        <v>18</v>
      </c>
      <c r="I318" s="7907" t="s">
        <v>864</v>
      </c>
    </row>
    <row customHeight="1" ht="11.25">
      <c r="A319" s="7907" t="s">
        <v>2276</v>
      </c>
      <c r="B319" s="7907" t="s">
        <v>14</v>
      </c>
      <c r="C319" s="7907" t="s">
        <v>2655</v>
      </c>
      <c r="D319" s="7907" t="s">
        <v>2656</v>
      </c>
      <c r="E319" s="7907" t="s">
        <v>2657</v>
      </c>
      <c r="F319" s="7907" t="s">
        <v>2449</v>
      </c>
      <c r="G319" s="7907" t="s">
        <v>18</v>
      </c>
      <c r="H319" s="7907" t="s">
        <v>18</v>
      </c>
      <c r="I319" s="7907" t="s">
        <v>864</v>
      </c>
    </row>
    <row customHeight="1" ht="11.25">
      <c r="A320" s="7907" t="s">
        <v>2276</v>
      </c>
      <c r="B320" s="7907" t="s">
        <v>14</v>
      </c>
      <c r="C320" s="7907" t="s">
        <v>2661</v>
      </c>
      <c r="D320" s="7907" t="s">
        <v>2662</v>
      </c>
      <c r="E320" s="7907" t="s">
        <v>2663</v>
      </c>
      <c r="F320" s="7907" t="s">
        <v>2460</v>
      </c>
      <c r="G320" s="7907" t="s">
        <v>2664</v>
      </c>
      <c r="H320" s="7907" t="s">
        <v>18</v>
      </c>
      <c r="I320" s="7907" t="s">
        <v>864</v>
      </c>
    </row>
    <row customHeight="1" ht="11.25">
      <c r="A321" s="7907" t="s">
        <v>2276</v>
      </c>
      <c r="B321" s="7907" t="s">
        <v>14</v>
      </c>
      <c r="C321" s="7907" t="s">
        <v>2857</v>
      </c>
      <c r="D321" s="7907" t="s">
        <v>2858</v>
      </c>
      <c r="E321" s="7907" t="s">
        <v>2859</v>
      </c>
      <c r="F321" s="7907" t="s">
        <v>2338</v>
      </c>
      <c r="G321" s="7907" t="s">
        <v>18</v>
      </c>
      <c r="H321" s="7907" t="s">
        <v>18</v>
      </c>
      <c r="I321" s="7907" t="s">
        <v>864</v>
      </c>
    </row>
    <row customHeight="1" ht="11.25">
      <c r="A322" s="7907" t="s">
        <v>2276</v>
      </c>
      <c r="B322" s="7907" t="s">
        <v>14</v>
      </c>
      <c r="C322" s="7907" t="s">
        <v>2954</v>
      </c>
      <c r="D322" s="7907" t="s">
        <v>2955</v>
      </c>
      <c r="E322" s="7907" t="s">
        <v>2956</v>
      </c>
      <c r="F322" s="7907" t="s">
        <v>2449</v>
      </c>
      <c r="G322" s="7907" t="s">
        <v>18</v>
      </c>
      <c r="H322" s="7907" t="s">
        <v>18</v>
      </c>
      <c r="I322" s="7907" t="s">
        <v>864</v>
      </c>
    </row>
    <row customHeight="1" ht="11.25">
      <c r="A323" s="7907" t="s">
        <v>2276</v>
      </c>
      <c r="B323" s="7907" t="s">
        <v>14</v>
      </c>
      <c r="C323" s="7907" t="s">
        <v>2957</v>
      </c>
      <c r="D323" s="7907" t="s">
        <v>2958</v>
      </c>
      <c r="E323" s="7907" t="s">
        <v>2959</v>
      </c>
      <c r="F323" s="7907" t="s">
        <v>2366</v>
      </c>
      <c r="G323" s="7907" t="s">
        <v>18</v>
      </c>
      <c r="H323" s="7907" t="s">
        <v>18</v>
      </c>
      <c r="I323" s="7907" t="s">
        <v>864</v>
      </c>
    </row>
    <row customHeight="1" ht="11.25">
      <c r="A324" s="7907" t="s">
        <v>2276</v>
      </c>
      <c r="B324" s="7907" t="s">
        <v>14</v>
      </c>
      <c r="C324" s="7907" t="s">
        <v>2960</v>
      </c>
      <c r="D324" s="7907" t="s">
        <v>2961</v>
      </c>
      <c r="E324" s="7907" t="s">
        <v>2962</v>
      </c>
      <c r="F324" s="7907" t="s">
        <v>2449</v>
      </c>
      <c r="G324" s="7907" t="s">
        <v>18</v>
      </c>
      <c r="H324" s="7907" t="s">
        <v>18</v>
      </c>
      <c r="I324" s="7907" t="s">
        <v>864</v>
      </c>
    </row>
    <row customHeight="1" ht="11.25">
      <c r="A325" s="7907" t="s">
        <v>2276</v>
      </c>
      <c r="B325" s="7907" t="s">
        <v>14</v>
      </c>
      <c r="C325" s="7907" t="s">
        <v>2668</v>
      </c>
      <c r="D325" s="7907" t="s">
        <v>2669</v>
      </c>
      <c r="E325" s="7907" t="s">
        <v>2670</v>
      </c>
      <c r="F325" s="7907" t="s">
        <v>2608</v>
      </c>
      <c r="G325" s="7907" t="s">
        <v>18</v>
      </c>
      <c r="H325" s="7907" t="s">
        <v>18</v>
      </c>
      <c r="I325" s="7907" t="s">
        <v>864</v>
      </c>
    </row>
    <row customHeight="1" ht="11.25">
      <c r="A326" s="7907" t="s">
        <v>2276</v>
      </c>
      <c r="B326" s="7907" t="s">
        <v>14</v>
      </c>
      <c r="C326" s="7907" t="s">
        <v>2671</v>
      </c>
      <c r="D326" s="7907" t="s">
        <v>2672</v>
      </c>
      <c r="E326" s="7907" t="s">
        <v>2673</v>
      </c>
      <c r="F326" s="7907" t="s">
        <v>2608</v>
      </c>
      <c r="G326" s="7907" t="s">
        <v>18</v>
      </c>
      <c r="H326" s="7907" t="s">
        <v>18</v>
      </c>
      <c r="I326" s="7907" t="s">
        <v>864</v>
      </c>
    </row>
    <row customHeight="1" ht="11.25">
      <c r="A327" s="7907" t="s">
        <v>2276</v>
      </c>
      <c r="B327" s="7907" t="s">
        <v>14</v>
      </c>
      <c r="C327" s="7907" t="s">
        <v>2681</v>
      </c>
      <c r="D327" s="7907" t="s">
        <v>2682</v>
      </c>
      <c r="E327" s="7907" t="s">
        <v>2683</v>
      </c>
      <c r="F327" s="7907" t="s">
        <v>2370</v>
      </c>
      <c r="G327" s="7907" t="s">
        <v>18</v>
      </c>
      <c r="H327" s="7907" t="s">
        <v>18</v>
      </c>
      <c r="I327" s="7907" t="s">
        <v>864</v>
      </c>
    </row>
    <row customHeight="1" ht="11.25">
      <c r="A328" s="7907" t="s">
        <v>2276</v>
      </c>
      <c r="B328" s="7907" t="s">
        <v>14</v>
      </c>
      <c r="C328" s="7907" t="s">
        <v>2963</v>
      </c>
      <c r="D328" s="7907" t="s">
        <v>2964</v>
      </c>
      <c r="E328" s="7907" t="s">
        <v>2965</v>
      </c>
      <c r="F328" s="7907" t="s">
        <v>2460</v>
      </c>
      <c r="G328" s="7907" t="s">
        <v>2966</v>
      </c>
      <c r="H328" s="7907" t="s">
        <v>18</v>
      </c>
      <c r="I328" s="7907" t="s">
        <v>864</v>
      </c>
    </row>
    <row customHeight="1" ht="11.25">
      <c r="A329" s="7907" t="s">
        <v>2276</v>
      </c>
      <c r="B329" s="7907" t="s">
        <v>14</v>
      </c>
      <c r="C329" s="7907" t="s">
        <v>2967</v>
      </c>
      <c r="D329" s="7907" t="s">
        <v>2968</v>
      </c>
      <c r="E329" s="7907" t="s">
        <v>2969</v>
      </c>
      <c r="F329" s="7907" t="s">
        <v>2403</v>
      </c>
      <c r="G329" s="7907" t="s">
        <v>2970</v>
      </c>
      <c r="H329" s="7907" t="s">
        <v>18</v>
      </c>
      <c r="I329" s="7907" t="s">
        <v>864</v>
      </c>
    </row>
    <row customHeight="1" ht="11.25">
      <c r="A330" s="7907" t="s">
        <v>2276</v>
      </c>
      <c r="B330" s="7907" t="s">
        <v>14</v>
      </c>
      <c r="C330" s="7907" t="s">
        <v>2687</v>
      </c>
      <c r="D330" s="7907" t="s">
        <v>2688</v>
      </c>
      <c r="E330" s="7907" t="s">
        <v>2689</v>
      </c>
      <c r="F330" s="7907" t="s">
        <v>2449</v>
      </c>
      <c r="G330" s="7907" t="s">
        <v>2690</v>
      </c>
      <c r="H330" s="7907" t="s">
        <v>18</v>
      </c>
      <c r="I330" s="7907" t="s">
        <v>864</v>
      </c>
    </row>
    <row customHeight="1" ht="11.25">
      <c r="A331" s="7907" t="s">
        <v>2276</v>
      </c>
      <c r="B331" s="7907" t="s">
        <v>14</v>
      </c>
      <c r="C331" s="7907" t="s">
        <v>2971</v>
      </c>
      <c r="D331" s="7907" t="s">
        <v>2972</v>
      </c>
      <c r="E331" s="7907" t="s">
        <v>2973</v>
      </c>
      <c r="F331" s="7907" t="s">
        <v>2566</v>
      </c>
      <c r="G331" s="7907" t="s">
        <v>18</v>
      </c>
      <c r="H331" s="7907" t="s">
        <v>18</v>
      </c>
      <c r="I331" s="7907" t="s">
        <v>864</v>
      </c>
    </row>
    <row customHeight="1" ht="11.25">
      <c r="A332" s="7907" t="s">
        <v>2276</v>
      </c>
      <c r="B332" s="7907" t="s">
        <v>14</v>
      </c>
      <c r="C332" s="7907" t="s">
        <v>2694</v>
      </c>
      <c r="D332" s="7907" t="s">
        <v>2695</v>
      </c>
      <c r="E332" s="7907" t="s">
        <v>2696</v>
      </c>
      <c r="F332" s="7907" t="s">
        <v>2441</v>
      </c>
      <c r="G332" s="7907" t="s">
        <v>2697</v>
      </c>
      <c r="H332" s="7907" t="s">
        <v>18</v>
      </c>
      <c r="I332" s="7907" t="s">
        <v>864</v>
      </c>
    </row>
    <row customHeight="1" ht="11.25">
      <c r="A333" s="7907" t="s">
        <v>2276</v>
      </c>
      <c r="B333" s="7907" t="s">
        <v>14</v>
      </c>
      <c r="C333" s="7907" t="s">
        <v>2698</v>
      </c>
      <c r="D333" s="7907" t="s">
        <v>2699</v>
      </c>
      <c r="E333" s="7907" t="s">
        <v>2700</v>
      </c>
      <c r="F333" s="7907" t="s">
        <v>2403</v>
      </c>
      <c r="G333" s="7907" t="s">
        <v>2701</v>
      </c>
      <c r="H333" s="7907" t="s">
        <v>18</v>
      </c>
      <c r="I333" s="7907" t="s">
        <v>864</v>
      </c>
    </row>
    <row customHeight="1" ht="11.25">
      <c r="A334" s="7907" t="s">
        <v>2276</v>
      </c>
      <c r="B334" s="7907" t="s">
        <v>14</v>
      </c>
      <c r="C334" s="7907" t="s">
        <v>2702</v>
      </c>
      <c r="D334" s="7907" t="s">
        <v>2703</v>
      </c>
      <c r="E334" s="7907" t="s">
        <v>2704</v>
      </c>
      <c r="F334" s="7907" t="s">
        <v>2460</v>
      </c>
      <c r="G334" s="7907" t="s">
        <v>2705</v>
      </c>
      <c r="H334" s="7907" t="s">
        <v>18</v>
      </c>
      <c r="I334" s="7907" t="s">
        <v>864</v>
      </c>
    </row>
    <row customHeight="1" ht="11.25">
      <c r="A335" s="7907" t="s">
        <v>2276</v>
      </c>
      <c r="B335" s="7907" t="s">
        <v>14</v>
      </c>
      <c r="C335" s="7907" t="s">
        <v>2718</v>
      </c>
      <c r="D335" s="7907" t="s">
        <v>2719</v>
      </c>
      <c r="E335" s="7907" t="s">
        <v>2720</v>
      </c>
      <c r="F335" s="7907" t="s">
        <v>2449</v>
      </c>
      <c r="G335" s="7907" t="s">
        <v>18</v>
      </c>
      <c r="H335" s="7907" t="s">
        <v>18</v>
      </c>
      <c r="I335" s="7907" t="s">
        <v>864</v>
      </c>
    </row>
    <row customHeight="1" ht="11.25">
      <c r="A336" s="7907" t="s">
        <v>2276</v>
      </c>
      <c r="B336" s="7907" t="s">
        <v>14</v>
      </c>
      <c r="C336" s="7907" t="s">
        <v>2721</v>
      </c>
      <c r="D336" s="7907" t="s">
        <v>2722</v>
      </c>
      <c r="E336" s="7907" t="s">
        <v>2723</v>
      </c>
      <c r="F336" s="7907" t="s">
        <v>2391</v>
      </c>
      <c r="G336" s="7907" t="s">
        <v>18</v>
      </c>
      <c r="H336" s="7907" t="s">
        <v>18</v>
      </c>
      <c r="I336" s="7907" t="s">
        <v>864</v>
      </c>
    </row>
    <row customHeight="1" ht="11.25">
      <c r="A337" s="7907" t="s">
        <v>2276</v>
      </c>
      <c r="B337" s="7907" t="s">
        <v>14</v>
      </c>
      <c r="C337" s="7907" t="s">
        <v>2724</v>
      </c>
      <c r="D337" s="7907" t="s">
        <v>2725</v>
      </c>
      <c r="E337" s="7907" t="s">
        <v>2726</v>
      </c>
      <c r="F337" s="7907" t="s">
        <v>2353</v>
      </c>
      <c r="G337" s="7907" t="s">
        <v>18</v>
      </c>
      <c r="H337" s="7907" t="s">
        <v>18</v>
      </c>
      <c r="I337" s="7907" t="s">
        <v>864</v>
      </c>
    </row>
    <row customHeight="1" ht="11.25">
      <c r="A338" s="7907" t="s">
        <v>2276</v>
      </c>
      <c r="B338" s="7907" t="s">
        <v>14</v>
      </c>
      <c r="C338" s="7907" t="s">
        <v>2727</v>
      </c>
      <c r="D338" s="7907" t="s">
        <v>2728</v>
      </c>
      <c r="E338" s="7907" t="s">
        <v>2729</v>
      </c>
      <c r="F338" s="7907" t="s">
        <v>2408</v>
      </c>
      <c r="G338" s="7907" t="s">
        <v>2730</v>
      </c>
      <c r="H338" s="7907" t="s">
        <v>18</v>
      </c>
      <c r="I338" s="7907" t="s">
        <v>864</v>
      </c>
    </row>
    <row customHeight="1" ht="11.25">
      <c r="A339" s="7907" t="s">
        <v>2276</v>
      </c>
      <c r="B339" s="7907" t="s">
        <v>14</v>
      </c>
      <c r="C339" s="7907" t="s">
        <v>2731</v>
      </c>
      <c r="D339" s="7907" t="s">
        <v>2732</v>
      </c>
      <c r="E339" s="7907" t="s">
        <v>2733</v>
      </c>
      <c r="F339" s="7907" t="s">
        <v>2403</v>
      </c>
      <c r="G339" s="7907" t="s">
        <v>2734</v>
      </c>
      <c r="H339" s="7907" t="s">
        <v>18</v>
      </c>
      <c r="I339" s="7907" t="s">
        <v>864</v>
      </c>
    </row>
    <row customHeight="1" ht="11.25">
      <c r="A340" s="7907" t="s">
        <v>2276</v>
      </c>
      <c r="B340" s="7907" t="s">
        <v>14</v>
      </c>
      <c r="C340" s="7907" t="s">
        <v>2974</v>
      </c>
      <c r="D340" s="7907" t="s">
        <v>2975</v>
      </c>
      <c r="E340" s="7907" t="s">
        <v>2976</v>
      </c>
      <c r="F340" s="7907" t="s">
        <v>2608</v>
      </c>
      <c r="G340" s="7907" t="s">
        <v>18</v>
      </c>
      <c r="H340" s="7907" t="s">
        <v>18</v>
      </c>
      <c r="I340" s="7907" t="s">
        <v>864</v>
      </c>
    </row>
    <row customHeight="1" ht="11.25">
      <c r="A341" s="7907" t="s">
        <v>2276</v>
      </c>
      <c r="B341" s="7907" t="s">
        <v>14</v>
      </c>
      <c r="C341" s="7907" t="s">
        <v>2751</v>
      </c>
      <c r="D341" s="7907" t="s">
        <v>2752</v>
      </c>
      <c r="E341" s="7907" t="s">
        <v>2753</v>
      </c>
      <c r="F341" s="7907" t="s">
        <v>2412</v>
      </c>
      <c r="G341" s="7907" t="s">
        <v>2754</v>
      </c>
      <c r="H341" s="7907" t="s">
        <v>18</v>
      </c>
      <c r="I341" s="7907" t="s">
        <v>864</v>
      </c>
    </row>
    <row customHeight="1" ht="11.25">
      <c r="A342" s="7907" t="s">
        <v>2276</v>
      </c>
      <c r="B342" s="7907" t="s">
        <v>14</v>
      </c>
      <c r="C342" s="7907" t="s">
        <v>2758</v>
      </c>
      <c r="D342" s="7907" t="s">
        <v>2759</v>
      </c>
      <c r="E342" s="7907" t="s">
        <v>2760</v>
      </c>
      <c r="F342" s="7907" t="s">
        <v>2628</v>
      </c>
      <c r="G342" s="7907" t="s">
        <v>18</v>
      </c>
      <c r="H342" s="7907" t="s">
        <v>18</v>
      </c>
      <c r="I342" s="7907" t="s">
        <v>864</v>
      </c>
    </row>
    <row customHeight="1" ht="11.25">
      <c r="A343" s="7907" t="s">
        <v>2276</v>
      </c>
      <c r="B343" s="7907" t="s">
        <v>14</v>
      </c>
      <c r="C343" s="7907" t="s">
        <v>2977</v>
      </c>
      <c r="D343" s="7907" t="s">
        <v>2978</v>
      </c>
      <c r="E343" s="7907" t="s">
        <v>2979</v>
      </c>
      <c r="F343" s="7907" t="s">
        <v>2423</v>
      </c>
      <c r="G343" s="7907" t="s">
        <v>2980</v>
      </c>
      <c r="H343" s="7907" t="s">
        <v>18</v>
      </c>
      <c r="I343" s="7907" t="s">
        <v>864</v>
      </c>
    </row>
    <row customHeight="1" ht="11.25">
      <c r="A344" s="7907" t="s">
        <v>2276</v>
      </c>
      <c r="B344" s="7907" t="s">
        <v>14</v>
      </c>
      <c r="C344" s="7907" t="s">
        <v>2765</v>
      </c>
      <c r="D344" s="7907" t="s">
        <v>2766</v>
      </c>
      <c r="E344" s="7907" t="s">
        <v>2767</v>
      </c>
      <c r="F344" s="7907" t="s">
        <v>2423</v>
      </c>
      <c r="G344" s="7907" t="s">
        <v>18</v>
      </c>
      <c r="H344" s="7907" t="s">
        <v>18</v>
      </c>
      <c r="I344" s="7907" t="s">
        <v>864</v>
      </c>
    </row>
    <row customHeight="1" ht="11.25">
      <c r="A345" s="7907" t="s">
        <v>2276</v>
      </c>
      <c r="B345" s="7907" t="s">
        <v>14</v>
      </c>
      <c r="C345" s="7907" t="s">
        <v>2768</v>
      </c>
      <c r="D345" s="7907" t="s">
        <v>2769</v>
      </c>
      <c r="E345" s="7907" t="s">
        <v>2770</v>
      </c>
      <c r="F345" s="7907" t="s">
        <v>2423</v>
      </c>
      <c r="G345" s="7907" t="s">
        <v>18</v>
      </c>
      <c r="H345" s="7907" t="s">
        <v>18</v>
      </c>
      <c r="I345" s="7907" t="s">
        <v>864</v>
      </c>
    </row>
    <row customHeight="1" ht="11.25">
      <c r="A346" s="7907" t="s">
        <v>2276</v>
      </c>
      <c r="B346" s="7907" t="s">
        <v>14</v>
      </c>
      <c r="C346" s="7907" t="s">
        <v>2771</v>
      </c>
      <c r="D346" s="7907" t="s">
        <v>2772</v>
      </c>
      <c r="E346" s="7907" t="s">
        <v>2773</v>
      </c>
      <c r="F346" s="7907" t="s">
        <v>2449</v>
      </c>
      <c r="G346" s="7907" t="s">
        <v>2774</v>
      </c>
      <c r="H346" s="7907" t="s">
        <v>18</v>
      </c>
      <c r="I346" s="7907" t="s">
        <v>864</v>
      </c>
    </row>
    <row customHeight="1" ht="11.25">
      <c r="A347" s="7907" t="s">
        <v>2276</v>
      </c>
      <c r="B347" s="7907" t="s">
        <v>14</v>
      </c>
      <c r="C347" s="7907" t="s">
        <v>2775</v>
      </c>
      <c r="D347" s="7907" t="s">
        <v>2776</v>
      </c>
      <c r="E347" s="7907" t="s">
        <v>2777</v>
      </c>
      <c r="F347" s="7907" t="s">
        <v>48</v>
      </c>
      <c r="G347" s="7907" t="s">
        <v>18</v>
      </c>
      <c r="H347" s="7907" t="s">
        <v>18</v>
      </c>
      <c r="I347" s="7907" t="s">
        <v>864</v>
      </c>
    </row>
    <row customHeight="1" ht="11.25">
      <c r="A348" s="7907" t="s">
        <v>2276</v>
      </c>
      <c r="B348" s="7907" t="s">
        <v>14</v>
      </c>
      <c r="C348" s="7907" t="s">
        <v>2778</v>
      </c>
      <c r="D348" s="7907" t="s">
        <v>2779</v>
      </c>
      <c r="E348" s="7907" t="s">
        <v>2780</v>
      </c>
      <c r="F348" s="7907" t="s">
        <v>2469</v>
      </c>
      <c r="G348" s="7907" t="s">
        <v>2781</v>
      </c>
      <c r="H348" s="7907" t="s">
        <v>18</v>
      </c>
      <c r="I348" s="7907" t="s">
        <v>864</v>
      </c>
    </row>
    <row customHeight="1" ht="11.25">
      <c r="A349" s="7907" t="s">
        <v>2276</v>
      </c>
      <c r="B349" s="7907" t="s">
        <v>14</v>
      </c>
      <c r="C349" s="7907" t="s">
        <v>2782</v>
      </c>
      <c r="D349" s="7907" t="s">
        <v>2783</v>
      </c>
      <c r="E349" s="7907" t="s">
        <v>2784</v>
      </c>
      <c r="F349" s="7907" t="s">
        <v>2403</v>
      </c>
      <c r="G349" s="7907" t="s">
        <v>2785</v>
      </c>
      <c r="H349" s="7907" t="s">
        <v>18</v>
      </c>
      <c r="I349" s="7907" t="s">
        <v>864</v>
      </c>
    </row>
    <row customHeight="1" ht="11.25">
      <c r="A350" s="7907" t="s">
        <v>2276</v>
      </c>
      <c r="B350" s="7907" t="s">
        <v>14</v>
      </c>
      <c r="C350" s="7907" t="s">
        <v>2789</v>
      </c>
      <c r="D350" s="7907" t="s">
        <v>2790</v>
      </c>
      <c r="E350" s="7907" t="s">
        <v>2791</v>
      </c>
      <c r="F350" s="7907" t="s">
        <v>2628</v>
      </c>
      <c r="G350" s="7907" t="s">
        <v>18</v>
      </c>
      <c r="H350" s="7907" t="s">
        <v>18</v>
      </c>
      <c r="I350" s="7907" t="s">
        <v>864</v>
      </c>
    </row>
    <row customHeight="1" ht="11.25">
      <c r="A351" s="7907" t="s">
        <v>2276</v>
      </c>
      <c r="B351" s="7907" t="s">
        <v>14</v>
      </c>
      <c r="C351" s="7907" t="s">
        <v>2792</v>
      </c>
      <c r="D351" s="7907" t="s">
        <v>2793</v>
      </c>
      <c r="E351" s="7907" t="s">
        <v>2794</v>
      </c>
      <c r="F351" s="7907" t="s">
        <v>2399</v>
      </c>
      <c r="G351" s="7907" t="s">
        <v>18</v>
      </c>
      <c r="H351" s="7907" t="s">
        <v>18</v>
      </c>
      <c r="I351" s="7907" t="s">
        <v>864</v>
      </c>
    </row>
    <row customHeight="1" ht="11.25">
      <c r="A352" s="7907" t="s">
        <v>2276</v>
      </c>
      <c r="B352" s="7907" t="s">
        <v>14</v>
      </c>
      <c r="C352" s="7907" t="s">
        <v>2981</v>
      </c>
      <c r="D352" s="7907" t="s">
        <v>2982</v>
      </c>
      <c r="E352" s="7907" t="s">
        <v>2983</v>
      </c>
      <c r="F352" s="7907" t="s">
        <v>2423</v>
      </c>
      <c r="G352" s="7907" t="s">
        <v>2984</v>
      </c>
      <c r="H352" s="7907" t="s">
        <v>18</v>
      </c>
      <c r="I352" s="7907" t="s">
        <v>864</v>
      </c>
    </row>
    <row customHeight="1" ht="11.25">
      <c r="A353" s="7907" t="s">
        <v>2276</v>
      </c>
      <c r="B353" s="7907" t="s">
        <v>14</v>
      </c>
      <c r="C353" s="7907" t="s">
        <v>2799</v>
      </c>
      <c r="D353" s="7907" t="s">
        <v>2800</v>
      </c>
      <c r="E353" s="7907" t="s">
        <v>2801</v>
      </c>
      <c r="F353" s="7907" t="s">
        <v>2628</v>
      </c>
      <c r="G353" s="7907" t="s">
        <v>18</v>
      </c>
      <c r="H353" s="7907" t="s">
        <v>18</v>
      </c>
      <c r="I353" s="7907" t="s">
        <v>864</v>
      </c>
    </row>
    <row customHeight="1" ht="11.25">
      <c r="A354" s="7907" t="s">
        <v>2276</v>
      </c>
      <c r="B354" s="7907" t="s">
        <v>14</v>
      </c>
      <c r="C354" s="7907" t="s">
        <v>2985</v>
      </c>
      <c r="D354" s="7907" t="s">
        <v>2986</v>
      </c>
      <c r="E354" s="7907" t="s">
        <v>2987</v>
      </c>
      <c r="F354" s="7907" t="s">
        <v>2423</v>
      </c>
      <c r="G354" s="7907" t="s">
        <v>2988</v>
      </c>
      <c r="H354" s="7907" t="s">
        <v>18</v>
      </c>
      <c r="I354" s="7907" t="s">
        <v>864</v>
      </c>
    </row>
    <row customHeight="1" ht="11.25">
      <c r="A355" s="7907" t="s">
        <v>2276</v>
      </c>
      <c r="B355" s="7907" t="s">
        <v>14</v>
      </c>
      <c r="C355" s="7907" t="s">
        <v>2989</v>
      </c>
      <c r="D355" s="7907" t="s">
        <v>2990</v>
      </c>
      <c r="E355" s="7907" t="s">
        <v>2991</v>
      </c>
      <c r="F355" s="7907" t="s">
        <v>2566</v>
      </c>
      <c r="G355" s="7907" t="s">
        <v>2992</v>
      </c>
      <c r="H355" s="7907" t="s">
        <v>18</v>
      </c>
      <c r="I355" s="7907" t="s">
        <v>864</v>
      </c>
    </row>
    <row customHeight="1" ht="11.25">
      <c r="A356" s="7907" t="s">
        <v>2276</v>
      </c>
      <c r="B356" s="7907" t="s">
        <v>14</v>
      </c>
      <c r="C356" s="7907" t="s">
        <v>2993</v>
      </c>
      <c r="D356" s="7907" t="s">
        <v>2994</v>
      </c>
      <c r="E356" s="7907" t="s">
        <v>2995</v>
      </c>
      <c r="F356" s="7907" t="s">
        <v>2329</v>
      </c>
      <c r="G356" s="7907" t="s">
        <v>2996</v>
      </c>
      <c r="H356" s="7907" t="s">
        <v>18</v>
      </c>
      <c r="I356" s="7907" t="s">
        <v>864</v>
      </c>
    </row>
    <row customHeight="1" ht="11.25">
      <c r="A357" s="7907" t="s">
        <v>2276</v>
      </c>
      <c r="B357" s="7907" t="s">
        <v>14</v>
      </c>
      <c r="C357" s="7907" t="s">
        <v>2806</v>
      </c>
      <c r="D357" s="7907" t="s">
        <v>2807</v>
      </c>
      <c r="E357" s="7907" t="s">
        <v>2808</v>
      </c>
      <c r="F357" s="7907" t="s">
        <v>2353</v>
      </c>
      <c r="G357" s="7907" t="s">
        <v>2809</v>
      </c>
      <c r="H357" s="7907" t="s">
        <v>18</v>
      </c>
      <c r="I357" s="7907" t="s">
        <v>864</v>
      </c>
    </row>
    <row customHeight="1" ht="11.25">
      <c r="A358" s="7907" t="s">
        <v>2276</v>
      </c>
      <c r="B358" s="7907" t="s">
        <v>14</v>
      </c>
      <c r="C358" s="7907" t="s">
        <v>2810</v>
      </c>
      <c r="D358" s="7907" t="s">
        <v>2811</v>
      </c>
      <c r="E358" s="7907" t="s">
        <v>2812</v>
      </c>
      <c r="F358" s="7907" t="s">
        <v>2441</v>
      </c>
      <c r="G358" s="7907" t="s">
        <v>18</v>
      </c>
      <c r="H358" s="7907" t="s">
        <v>18</v>
      </c>
      <c r="I358" s="7907" t="s">
        <v>864</v>
      </c>
    </row>
    <row customHeight="1" ht="11.25">
      <c r="A359" s="7907" t="s">
        <v>2276</v>
      </c>
      <c r="B359" s="7907" t="s">
        <v>14</v>
      </c>
      <c r="C359" s="7907" t="s">
        <v>2997</v>
      </c>
      <c r="D359" s="7907" t="s">
        <v>2998</v>
      </c>
      <c r="E359" s="7907" t="s">
        <v>2373</v>
      </c>
      <c r="F359" s="7907" t="s">
        <v>2999</v>
      </c>
      <c r="G359" s="7907" t="s">
        <v>3000</v>
      </c>
      <c r="H359" s="7907" t="s">
        <v>18</v>
      </c>
      <c r="I359" s="7907" t="s">
        <v>864</v>
      </c>
    </row>
    <row customHeight="1" ht="11.25">
      <c r="A360" s="7907" t="s">
        <v>2276</v>
      </c>
      <c r="B360" s="7907" t="s">
        <v>14</v>
      </c>
      <c r="C360" s="7907" t="s">
        <v>3001</v>
      </c>
      <c r="D360" s="7907" t="s">
        <v>3002</v>
      </c>
      <c r="E360" s="7907" t="s">
        <v>3003</v>
      </c>
      <c r="F360" s="7907" t="s">
        <v>2366</v>
      </c>
      <c r="G360" s="7907" t="s">
        <v>18</v>
      </c>
      <c r="H360" s="7907" t="s">
        <v>18</v>
      </c>
      <c r="I360" s="7907" t="s">
        <v>864</v>
      </c>
    </row>
    <row customHeight="1" ht="11.25">
      <c r="A361" s="7907" t="s">
        <v>2276</v>
      </c>
      <c r="B361" s="7907" t="s">
        <v>14</v>
      </c>
      <c r="C361" s="7907" t="s">
        <v>3004</v>
      </c>
      <c r="D361" s="7907" t="s">
        <v>3005</v>
      </c>
      <c r="E361" s="7907" t="s">
        <v>3006</v>
      </c>
      <c r="F361" s="7907" t="s">
        <v>2403</v>
      </c>
      <c r="G361" s="7907" t="s">
        <v>18</v>
      </c>
      <c r="H361" s="7907" t="s">
        <v>18</v>
      </c>
      <c r="I361" s="7907" t="s">
        <v>864</v>
      </c>
    </row>
    <row customHeight="1" ht="11.25">
      <c r="A362" s="7907" t="s">
        <v>2276</v>
      </c>
      <c r="B362" s="7907" t="s">
        <v>14</v>
      </c>
      <c r="C362" s="7907" t="s">
        <v>2813</v>
      </c>
      <c r="D362" s="7907" t="s">
        <v>2814</v>
      </c>
      <c r="E362" s="7907" t="s">
        <v>2815</v>
      </c>
      <c r="F362" s="7907" t="s">
        <v>2816</v>
      </c>
      <c r="G362" s="7907" t="s">
        <v>2817</v>
      </c>
      <c r="H362" s="7907" t="s">
        <v>18</v>
      </c>
      <c r="I362" s="7907" t="s">
        <v>864</v>
      </c>
    </row>
    <row customHeight="1" ht="11.25">
      <c r="A363" s="7907" t="s">
        <v>2276</v>
      </c>
      <c r="B363" s="7907" t="s">
        <v>14</v>
      </c>
      <c r="C363" s="7907" t="s">
        <v>2821</v>
      </c>
      <c r="D363" s="7907" t="s">
        <v>2822</v>
      </c>
      <c r="E363" s="7907" t="s">
        <v>2823</v>
      </c>
      <c r="F363" s="7907" t="s">
        <v>2441</v>
      </c>
      <c r="G363" s="7907" t="s">
        <v>18</v>
      </c>
      <c r="H363" s="7907" t="s">
        <v>18</v>
      </c>
      <c r="I363" s="7907" t="s">
        <v>864</v>
      </c>
    </row>
    <row customHeight="1" ht="11.25">
      <c r="A364" s="7907" t="s">
        <v>2276</v>
      </c>
      <c r="B364" s="7907" t="s">
        <v>14</v>
      </c>
      <c r="C364" s="7907" t="s">
        <v>2824</v>
      </c>
      <c r="D364" s="7907" t="s">
        <v>2825</v>
      </c>
      <c r="E364" s="7907" t="s">
        <v>2826</v>
      </c>
      <c r="F364" s="7907" t="s">
        <v>48</v>
      </c>
      <c r="G364" s="7907" t="s">
        <v>18</v>
      </c>
      <c r="H364" s="7907" t="s">
        <v>18</v>
      </c>
      <c r="I364" s="7907" t="s">
        <v>864</v>
      </c>
    </row>
    <row customHeight="1" ht="11.25">
      <c r="A365" s="7907" t="s">
        <v>2276</v>
      </c>
      <c r="B365" s="7907" t="s">
        <v>14</v>
      </c>
      <c r="C365" s="7907" t="s">
        <v>2827</v>
      </c>
      <c r="D365" s="7907" t="s">
        <v>2828</v>
      </c>
      <c r="E365" s="7907" t="s">
        <v>2829</v>
      </c>
      <c r="F365" s="7907" t="s">
        <v>2342</v>
      </c>
      <c r="G365" s="7907" t="s">
        <v>2830</v>
      </c>
      <c r="H365" s="7907" t="s">
        <v>18</v>
      </c>
      <c r="I365" s="7907" t="s">
        <v>864</v>
      </c>
    </row>
    <row customHeight="1" ht="11.25">
      <c r="A366" s="7907" t="s">
        <v>2276</v>
      </c>
      <c r="B366" s="7907" t="s">
        <v>14</v>
      </c>
      <c r="C366" s="7907" t="s">
        <v>2834</v>
      </c>
      <c r="D366" s="7907" t="s">
        <v>2835</v>
      </c>
      <c r="E366" s="7907" t="s">
        <v>2836</v>
      </c>
      <c r="F366" s="7907" t="s">
        <v>2837</v>
      </c>
      <c r="G366" s="7907" t="s">
        <v>18</v>
      </c>
      <c r="H366" s="7907" t="s">
        <v>18</v>
      </c>
      <c r="I366" s="7907" t="s">
        <v>864</v>
      </c>
    </row>
    <row customHeight="1" ht="11.25">
      <c r="A367" s="7907" t="s">
        <v>2276</v>
      </c>
      <c r="B367" s="7907" t="s">
        <v>14</v>
      </c>
      <c r="C367" s="7907" t="s">
        <v>2845</v>
      </c>
      <c r="D367" s="7907" t="s">
        <v>2846</v>
      </c>
      <c r="E367" s="7907" t="s">
        <v>2847</v>
      </c>
      <c r="F367" s="7907" t="s">
        <v>2848</v>
      </c>
      <c r="G367" s="7907" t="s">
        <v>2849</v>
      </c>
      <c r="H367" s="7907" t="s">
        <v>18</v>
      </c>
      <c r="I367" s="7907" t="s">
        <v>864</v>
      </c>
    </row>
    <row customHeight="1" ht="11.25">
      <c r="A368" s="7907" t="s">
        <v>2276</v>
      </c>
      <c r="B368" s="7907" t="s">
        <v>14</v>
      </c>
      <c r="C368" s="7907" t="s">
        <v>2854</v>
      </c>
      <c r="D368" s="7907" t="s">
        <v>2855</v>
      </c>
      <c r="E368" s="7907" t="s">
        <v>2856</v>
      </c>
      <c r="F368" s="7907" t="s">
        <v>2449</v>
      </c>
      <c r="G368" s="7907" t="s">
        <v>18</v>
      </c>
      <c r="H368" s="7907" t="s">
        <v>18</v>
      </c>
      <c r="I368" s="7907" t="s">
        <v>864</v>
      </c>
    </row>
    <row customHeight="1" ht="11.25">
      <c r="A369" s="7907" t="s">
        <v>2276</v>
      </c>
      <c r="B369" s="7907" t="s">
        <v>14</v>
      </c>
      <c r="C369" s="7907" t="s">
        <v>2860</v>
      </c>
      <c r="D369" s="7907" t="s">
        <v>2861</v>
      </c>
      <c r="E369" s="7907" t="s">
        <v>2862</v>
      </c>
      <c r="F369" s="7907" t="s">
        <v>2608</v>
      </c>
      <c r="G369" s="7907" t="s">
        <v>2863</v>
      </c>
      <c r="H369" s="7907" t="s">
        <v>18</v>
      </c>
      <c r="I369" s="7907" t="s">
        <v>916</v>
      </c>
    </row>
    <row customHeight="1" ht="11.25">
      <c r="A370" s="7907" t="s">
        <v>2276</v>
      </c>
      <c r="B370" s="7907" t="s">
        <v>14</v>
      </c>
      <c r="C370" s="7907" t="s">
        <v>2864</v>
      </c>
      <c r="D370" s="7907" t="s">
        <v>2865</v>
      </c>
      <c r="E370" s="7907" t="s">
        <v>2866</v>
      </c>
      <c r="F370" s="7907" t="s">
        <v>2867</v>
      </c>
      <c r="G370" s="7907" t="s">
        <v>18</v>
      </c>
      <c r="H370" s="7907" t="s">
        <v>18</v>
      </c>
      <c r="I370" s="7907" t="s">
        <v>916</v>
      </c>
    </row>
    <row customHeight="1" ht="11.25">
      <c r="A371" s="7907" t="s">
        <v>2276</v>
      </c>
      <c r="B371" s="7907" t="s">
        <v>14</v>
      </c>
      <c r="C371" s="7907" t="s">
        <v>2868</v>
      </c>
      <c r="D371" s="7907" t="s">
        <v>2869</v>
      </c>
      <c r="E371" s="7907" t="s">
        <v>2870</v>
      </c>
      <c r="F371" s="7907" t="s">
        <v>2871</v>
      </c>
      <c r="G371" s="7907" t="s">
        <v>18</v>
      </c>
      <c r="H371" s="7907" t="s">
        <v>18</v>
      </c>
      <c r="I371" s="7907" t="s">
        <v>916</v>
      </c>
    </row>
    <row customHeight="1" ht="11.25">
      <c r="A372" s="7907" t="s">
        <v>2276</v>
      </c>
      <c r="B372" s="7907" t="s">
        <v>14</v>
      </c>
      <c r="C372" s="7907" t="s">
        <v>2277</v>
      </c>
      <c r="D372" s="7907" t="s">
        <v>2278</v>
      </c>
      <c r="E372" s="7907" t="s">
        <v>2279</v>
      </c>
      <c r="F372" s="7907" t="s">
        <v>2280</v>
      </c>
      <c r="G372" s="7907" t="s">
        <v>2281</v>
      </c>
      <c r="H372" s="7907" t="s">
        <v>18</v>
      </c>
      <c r="I372" s="7907" t="s">
        <v>916</v>
      </c>
    </row>
    <row customHeight="1" ht="11.25">
      <c r="A373" s="7907" t="s">
        <v>2276</v>
      </c>
      <c r="B373" s="7907" t="s">
        <v>14</v>
      </c>
      <c r="C373" s="7907" t="s">
        <v>2286</v>
      </c>
      <c r="D373" s="7907" t="s">
        <v>43</v>
      </c>
      <c r="E373" s="7907" t="s">
        <v>46</v>
      </c>
      <c r="F373" s="7907" t="s">
        <v>48</v>
      </c>
      <c r="G373" s="7907" t="s">
        <v>2287</v>
      </c>
      <c r="H373" s="7907" t="s">
        <v>18</v>
      </c>
      <c r="I373" s="7907" t="s">
        <v>916</v>
      </c>
    </row>
    <row customHeight="1" ht="11.25">
      <c r="A374" s="7907" t="s">
        <v>2276</v>
      </c>
      <c r="B374" s="7907" t="s">
        <v>14</v>
      </c>
      <c r="C374" s="7907" t="s">
        <v>2290</v>
      </c>
      <c r="D374" s="7907" t="s">
        <v>2291</v>
      </c>
      <c r="E374" s="7907" t="s">
        <v>46</v>
      </c>
      <c r="F374" s="7907" t="s">
        <v>2292</v>
      </c>
      <c r="G374" s="7907" t="s">
        <v>18</v>
      </c>
      <c r="H374" s="7907" t="s">
        <v>18</v>
      </c>
      <c r="I374" s="7907" t="s">
        <v>916</v>
      </c>
    </row>
    <row customHeight="1" ht="11.25">
      <c r="A375" s="7907" t="s">
        <v>2276</v>
      </c>
      <c r="B375" s="7907" t="s">
        <v>14</v>
      </c>
      <c r="C375" s="7907" t="s">
        <v>2302</v>
      </c>
      <c r="D375" s="7907" t="s">
        <v>2303</v>
      </c>
      <c r="E375" s="7907" t="s">
        <v>46</v>
      </c>
      <c r="F375" s="7907" t="s">
        <v>2304</v>
      </c>
      <c r="G375" s="7907" t="s">
        <v>18</v>
      </c>
      <c r="H375" s="7907" t="s">
        <v>18</v>
      </c>
      <c r="I375" s="7907" t="s">
        <v>916</v>
      </c>
    </row>
    <row customHeight="1" ht="11.25">
      <c r="A376" s="7907" t="s">
        <v>2276</v>
      </c>
      <c r="B376" s="7907" t="s">
        <v>14</v>
      </c>
      <c r="C376" s="7907" t="s">
        <v>2320</v>
      </c>
      <c r="D376" s="7907" t="s">
        <v>2321</v>
      </c>
      <c r="E376" s="7907" t="s">
        <v>46</v>
      </c>
      <c r="F376" s="7907" t="s">
        <v>2322</v>
      </c>
      <c r="G376" s="7907" t="s">
        <v>18</v>
      </c>
      <c r="H376" s="7907" t="s">
        <v>18</v>
      </c>
      <c r="I376" s="7907" t="s">
        <v>916</v>
      </c>
    </row>
    <row customHeight="1" ht="11.25">
      <c r="A377" s="7907" t="s">
        <v>2276</v>
      </c>
      <c r="B377" s="7907" t="s">
        <v>14</v>
      </c>
      <c r="C377" s="7907" t="s">
        <v>3007</v>
      </c>
      <c r="D377" s="7907" t="s">
        <v>3008</v>
      </c>
      <c r="E377" s="7907" t="s">
        <v>3009</v>
      </c>
      <c r="F377" s="7907" t="s">
        <v>2487</v>
      </c>
      <c r="G377" s="7907" t="s">
        <v>18</v>
      </c>
      <c r="H377" s="7907" t="s">
        <v>18</v>
      </c>
      <c r="I377" s="7907" t="s">
        <v>916</v>
      </c>
    </row>
    <row customHeight="1" ht="11.25">
      <c r="A378" s="7907" t="s">
        <v>2276</v>
      </c>
      <c r="B378" s="7907" t="s">
        <v>14</v>
      </c>
      <c r="C378" s="7907" t="s">
        <v>2872</v>
      </c>
      <c r="D378" s="7907" t="s">
        <v>2873</v>
      </c>
      <c r="E378" s="7907" t="s">
        <v>2874</v>
      </c>
      <c r="F378" s="7907" t="s">
        <v>2628</v>
      </c>
      <c r="G378" s="7907" t="s">
        <v>18</v>
      </c>
      <c r="H378" s="7907" t="s">
        <v>18</v>
      </c>
      <c r="I378" s="7907" t="s">
        <v>916</v>
      </c>
    </row>
    <row customHeight="1" ht="11.25">
      <c r="A379" s="7907" t="s">
        <v>2276</v>
      </c>
      <c r="B379" s="7907" t="s">
        <v>14</v>
      </c>
      <c r="C379" s="7907" t="s">
        <v>2323</v>
      </c>
      <c r="D379" s="7907" t="s">
        <v>2324</v>
      </c>
      <c r="E379" s="7907" t="s">
        <v>2325</v>
      </c>
      <c r="F379" s="7907" t="s">
        <v>2285</v>
      </c>
      <c r="G379" s="7907" t="s">
        <v>18</v>
      </c>
      <c r="H379" s="7907" t="s">
        <v>18</v>
      </c>
      <c r="I379" s="7907" t="s">
        <v>916</v>
      </c>
    </row>
    <row customHeight="1" ht="11.25">
      <c r="A380" s="7907" t="s">
        <v>2276</v>
      </c>
      <c r="B380" s="7907" t="s">
        <v>14</v>
      </c>
      <c r="C380" s="7907" t="s">
        <v>2326</v>
      </c>
      <c r="D380" s="7907" t="s">
        <v>2327</v>
      </c>
      <c r="E380" s="7907" t="s">
        <v>2328</v>
      </c>
      <c r="F380" s="7907" t="s">
        <v>2329</v>
      </c>
      <c r="G380" s="7907" t="s">
        <v>2330</v>
      </c>
      <c r="H380" s="7907" t="s">
        <v>18</v>
      </c>
      <c r="I380" s="7907" t="s">
        <v>916</v>
      </c>
    </row>
    <row customHeight="1" ht="11.25">
      <c r="A381" s="7907" t="s">
        <v>2276</v>
      </c>
      <c r="B381" s="7907" t="s">
        <v>14</v>
      </c>
      <c r="C381" s="7907" t="s">
        <v>2335</v>
      </c>
      <c r="D381" s="7907" t="s">
        <v>2336</v>
      </c>
      <c r="E381" s="7907" t="s">
        <v>2337</v>
      </c>
      <c r="F381" s="7907" t="s">
        <v>2338</v>
      </c>
      <c r="G381" s="7907" t="s">
        <v>18</v>
      </c>
      <c r="H381" s="7907" t="s">
        <v>18</v>
      </c>
      <c r="I381" s="7907" t="s">
        <v>916</v>
      </c>
    </row>
    <row customHeight="1" ht="11.25">
      <c r="A382" s="7907" t="s">
        <v>2276</v>
      </c>
      <c r="B382" s="7907" t="s">
        <v>14</v>
      </c>
      <c r="C382" s="7907" t="s">
        <v>2343</v>
      </c>
      <c r="D382" s="7907" t="s">
        <v>2344</v>
      </c>
      <c r="E382" s="7907" t="s">
        <v>2345</v>
      </c>
      <c r="F382" s="7907" t="s">
        <v>2329</v>
      </c>
      <c r="G382" s="7907" t="s">
        <v>18</v>
      </c>
      <c r="H382" s="7907" t="s">
        <v>18</v>
      </c>
      <c r="I382" s="7907" t="s">
        <v>916</v>
      </c>
    </row>
    <row customHeight="1" ht="11.25">
      <c r="A383" s="7907" t="s">
        <v>2276</v>
      </c>
      <c r="B383" s="7907" t="s">
        <v>14</v>
      </c>
      <c r="C383" s="7907" t="s">
        <v>2879</v>
      </c>
      <c r="D383" s="7907" t="s">
        <v>2880</v>
      </c>
      <c r="E383" s="7907" t="s">
        <v>2881</v>
      </c>
      <c r="F383" s="7907" t="s">
        <v>2449</v>
      </c>
      <c r="G383" s="7907" t="s">
        <v>18</v>
      </c>
      <c r="H383" s="7907" t="s">
        <v>18</v>
      </c>
      <c r="I383" s="7907" t="s">
        <v>916</v>
      </c>
    </row>
    <row customHeight="1" ht="11.25">
      <c r="A384" s="7907" t="s">
        <v>2276</v>
      </c>
      <c r="B384" s="7907" t="s">
        <v>14</v>
      </c>
      <c r="C384" s="7907" t="s">
        <v>2367</v>
      </c>
      <c r="D384" s="7907" t="s">
        <v>2368</v>
      </c>
      <c r="E384" s="7907" t="s">
        <v>2369</v>
      </c>
      <c r="F384" s="7907" t="s">
        <v>2370</v>
      </c>
      <c r="G384" s="7907" t="s">
        <v>18</v>
      </c>
      <c r="H384" s="7907" t="s">
        <v>18</v>
      </c>
      <c r="I384" s="7907" t="s">
        <v>916</v>
      </c>
    </row>
    <row customHeight="1" ht="11.25">
      <c r="A385" s="7907" t="s">
        <v>2276</v>
      </c>
      <c r="B385" s="7907" t="s">
        <v>14</v>
      </c>
      <c r="C385" s="7907" t="s">
        <v>2371</v>
      </c>
      <c r="D385" s="7907" t="s">
        <v>2372</v>
      </c>
      <c r="E385" s="7907" t="s">
        <v>2373</v>
      </c>
      <c r="F385" s="7907" t="s">
        <v>2374</v>
      </c>
      <c r="G385" s="7907" t="s">
        <v>18</v>
      </c>
      <c r="H385" s="7907" t="s">
        <v>18</v>
      </c>
      <c r="I385" s="7907" t="s">
        <v>916</v>
      </c>
    </row>
    <row customHeight="1" ht="11.25">
      <c r="A386" s="7907" t="s">
        <v>2276</v>
      </c>
      <c r="B386" s="7907" t="s">
        <v>14</v>
      </c>
      <c r="C386" s="7907" t="s">
        <v>3010</v>
      </c>
      <c r="D386" s="7907" t="s">
        <v>3011</v>
      </c>
      <c r="E386" s="7907" t="s">
        <v>3012</v>
      </c>
      <c r="F386" s="7907" t="s">
        <v>2329</v>
      </c>
      <c r="G386" s="7907" t="s">
        <v>18</v>
      </c>
      <c r="H386" s="7907" t="s">
        <v>18</v>
      </c>
      <c r="I386" s="7907" t="s">
        <v>916</v>
      </c>
    </row>
    <row customHeight="1" ht="11.25">
      <c r="A387" s="7907" t="s">
        <v>2276</v>
      </c>
      <c r="B387" s="7907" t="s">
        <v>14</v>
      </c>
      <c r="C387" s="7907" t="s">
        <v>2382</v>
      </c>
      <c r="D387" s="7907" t="s">
        <v>2383</v>
      </c>
      <c r="E387" s="7907" t="s">
        <v>2384</v>
      </c>
      <c r="F387" s="7907" t="s">
        <v>48</v>
      </c>
      <c r="G387" s="7907" t="s">
        <v>2385</v>
      </c>
      <c r="H387" s="7907" t="s">
        <v>18</v>
      </c>
      <c r="I387" s="7907" t="s">
        <v>916</v>
      </c>
    </row>
    <row customHeight="1" ht="11.25">
      <c r="A388" s="7907" t="s">
        <v>2276</v>
      </c>
      <c r="B388" s="7907" t="s">
        <v>14</v>
      </c>
      <c r="C388" s="7907" t="s">
        <v>18</v>
      </c>
      <c r="D388" s="7907" t="s">
        <v>2386</v>
      </c>
      <c r="E388" s="7907" t="s">
        <v>2387</v>
      </c>
      <c r="F388" s="7907" t="s">
        <v>48</v>
      </c>
      <c r="G388" s="7907" t="s">
        <v>18</v>
      </c>
      <c r="H388" s="7907" t="s">
        <v>18</v>
      </c>
      <c r="I388" s="7907" t="s">
        <v>916</v>
      </c>
    </row>
    <row customHeight="1" ht="11.25">
      <c r="A389" s="7907" t="s">
        <v>2276</v>
      </c>
      <c r="B389" s="7907" t="s">
        <v>14</v>
      </c>
      <c r="C389" s="7907" t="s">
        <v>2388</v>
      </c>
      <c r="D389" s="7907" t="s">
        <v>2389</v>
      </c>
      <c r="E389" s="7907" t="s">
        <v>2390</v>
      </c>
      <c r="F389" s="7907" t="s">
        <v>2391</v>
      </c>
      <c r="G389" s="7907" t="s">
        <v>2392</v>
      </c>
      <c r="H389" s="7907" t="s">
        <v>18</v>
      </c>
      <c r="I389" s="7907" t="s">
        <v>916</v>
      </c>
    </row>
    <row customHeight="1" ht="11.25">
      <c r="A390" s="7907" t="s">
        <v>2276</v>
      </c>
      <c r="B390" s="7907" t="s">
        <v>14</v>
      </c>
      <c r="C390" s="7907" t="s">
        <v>2393</v>
      </c>
      <c r="D390" s="7907" t="s">
        <v>2394</v>
      </c>
      <c r="E390" s="7907" t="s">
        <v>2395</v>
      </c>
      <c r="F390" s="7907" t="s">
        <v>2391</v>
      </c>
      <c r="G390" s="7907" t="s">
        <v>18</v>
      </c>
      <c r="H390" s="7907" t="s">
        <v>18</v>
      </c>
      <c r="I390" s="7907" t="s">
        <v>916</v>
      </c>
    </row>
    <row customHeight="1" ht="11.25">
      <c r="A391" s="7907" t="s">
        <v>2276</v>
      </c>
      <c r="B391" s="7907" t="s">
        <v>14</v>
      </c>
      <c r="C391" s="7907" t="s">
        <v>2396</v>
      </c>
      <c r="D391" s="7907" t="s">
        <v>2397</v>
      </c>
      <c r="E391" s="7907" t="s">
        <v>2398</v>
      </c>
      <c r="F391" s="7907" t="s">
        <v>2399</v>
      </c>
      <c r="G391" s="7907" t="s">
        <v>18</v>
      </c>
      <c r="H391" s="7907" t="s">
        <v>18</v>
      </c>
      <c r="I391" s="7907" t="s">
        <v>916</v>
      </c>
    </row>
    <row customHeight="1" ht="11.25">
      <c r="A392" s="7907" t="s">
        <v>2276</v>
      </c>
      <c r="B392" s="7907" t="s">
        <v>14</v>
      </c>
      <c r="C392" s="7907" t="s">
        <v>2409</v>
      </c>
      <c r="D392" s="7907" t="s">
        <v>2410</v>
      </c>
      <c r="E392" s="7907" t="s">
        <v>2411</v>
      </c>
      <c r="F392" s="7907" t="s">
        <v>2412</v>
      </c>
      <c r="G392" s="7907" t="s">
        <v>2413</v>
      </c>
      <c r="H392" s="7907" t="s">
        <v>18</v>
      </c>
      <c r="I392" s="7907" t="s">
        <v>916</v>
      </c>
    </row>
    <row customHeight="1" ht="11.25">
      <c r="A393" s="7907" t="s">
        <v>2276</v>
      </c>
      <c r="B393" s="7907" t="s">
        <v>14</v>
      </c>
      <c r="C393" s="7907" t="s">
        <v>2414</v>
      </c>
      <c r="D393" s="7907" t="s">
        <v>2415</v>
      </c>
      <c r="E393" s="7907" t="s">
        <v>2416</v>
      </c>
      <c r="F393" s="7907" t="s">
        <v>2338</v>
      </c>
      <c r="G393" s="7907" t="s">
        <v>18</v>
      </c>
      <c r="H393" s="7907" t="s">
        <v>18</v>
      </c>
      <c r="I393" s="7907" t="s">
        <v>916</v>
      </c>
    </row>
    <row customHeight="1" ht="11.25">
      <c r="A394" s="7907" t="s">
        <v>2276</v>
      </c>
      <c r="B394" s="7907" t="s">
        <v>14</v>
      </c>
      <c r="C394" s="7907" t="s">
        <v>2417</v>
      </c>
      <c r="D394" s="7907" t="s">
        <v>2415</v>
      </c>
      <c r="E394" s="7907" t="s">
        <v>2418</v>
      </c>
      <c r="F394" s="7907" t="s">
        <v>2370</v>
      </c>
      <c r="G394" s="7907" t="s">
        <v>2419</v>
      </c>
      <c r="H394" s="7907" t="s">
        <v>18</v>
      </c>
      <c r="I394" s="7907" t="s">
        <v>916</v>
      </c>
    </row>
    <row customHeight="1" ht="11.25">
      <c r="A395" s="7907" t="s">
        <v>2276</v>
      </c>
      <c r="B395" s="7907" t="s">
        <v>14</v>
      </c>
      <c r="C395" s="7907" t="s">
        <v>2904</v>
      </c>
      <c r="D395" s="7907" t="s">
        <v>2905</v>
      </c>
      <c r="E395" s="7907" t="s">
        <v>2906</v>
      </c>
      <c r="F395" s="7907" t="s">
        <v>2449</v>
      </c>
      <c r="G395" s="7907" t="s">
        <v>2907</v>
      </c>
      <c r="H395" s="7907" t="s">
        <v>18</v>
      </c>
      <c r="I395" s="7907" t="s">
        <v>916</v>
      </c>
    </row>
    <row customHeight="1" ht="11.25">
      <c r="A396" s="7907" t="s">
        <v>2276</v>
      </c>
      <c r="B396" s="7907" t="s">
        <v>14</v>
      </c>
      <c r="C396" s="7907" t="s">
        <v>2908</v>
      </c>
      <c r="D396" s="7907" t="s">
        <v>2909</v>
      </c>
      <c r="E396" s="7907" t="s">
        <v>2910</v>
      </c>
      <c r="F396" s="7907" t="s">
        <v>2423</v>
      </c>
      <c r="G396" s="7907" t="s">
        <v>18</v>
      </c>
      <c r="H396" s="7907" t="s">
        <v>18</v>
      </c>
      <c r="I396" s="7907" t="s">
        <v>916</v>
      </c>
    </row>
    <row customHeight="1" ht="11.25">
      <c r="A397" s="7907" t="s">
        <v>2276</v>
      </c>
      <c r="B397" s="7907" t="s">
        <v>14</v>
      </c>
      <c r="C397" s="7907" t="s">
        <v>2911</v>
      </c>
      <c r="D397" s="7907" t="s">
        <v>2912</v>
      </c>
      <c r="E397" s="7907" t="s">
        <v>2913</v>
      </c>
      <c r="F397" s="7907" t="s">
        <v>2487</v>
      </c>
      <c r="G397" s="7907" t="s">
        <v>18</v>
      </c>
      <c r="H397" s="7907" t="s">
        <v>18</v>
      </c>
      <c r="I397" s="7907" t="s">
        <v>916</v>
      </c>
    </row>
    <row customHeight="1" ht="11.25">
      <c r="A398" s="7907" t="s">
        <v>2276</v>
      </c>
      <c r="B398" s="7907" t="s">
        <v>14</v>
      </c>
      <c r="C398" s="7907" t="s">
        <v>2424</v>
      </c>
      <c r="D398" s="7907" t="s">
        <v>2425</v>
      </c>
      <c r="E398" s="7907" t="s">
        <v>2426</v>
      </c>
      <c r="F398" s="7907" t="s">
        <v>2366</v>
      </c>
      <c r="G398" s="7907" t="s">
        <v>2427</v>
      </c>
      <c r="H398" s="7907" t="s">
        <v>18</v>
      </c>
      <c r="I398" s="7907" t="s">
        <v>916</v>
      </c>
    </row>
    <row customHeight="1" ht="11.25">
      <c r="A399" s="7907" t="s">
        <v>2276</v>
      </c>
      <c r="B399" s="7907" t="s">
        <v>14</v>
      </c>
      <c r="C399" s="7907" t="s">
        <v>2435</v>
      </c>
      <c r="D399" s="7907" t="s">
        <v>2436</v>
      </c>
      <c r="E399" s="7907" t="s">
        <v>2437</v>
      </c>
      <c r="F399" s="7907" t="s">
        <v>2391</v>
      </c>
      <c r="G399" s="7907" t="s">
        <v>18</v>
      </c>
      <c r="H399" s="7907" t="s">
        <v>18</v>
      </c>
      <c r="I399" s="7907" t="s">
        <v>916</v>
      </c>
    </row>
    <row customHeight="1" ht="11.25">
      <c r="A400" s="7907" t="s">
        <v>2276</v>
      </c>
      <c r="B400" s="7907" t="s">
        <v>14</v>
      </c>
      <c r="C400" s="7907" t="s">
        <v>2438</v>
      </c>
      <c r="D400" s="7907" t="s">
        <v>2439</v>
      </c>
      <c r="E400" s="7907" t="s">
        <v>2440</v>
      </c>
      <c r="F400" s="7907" t="s">
        <v>2441</v>
      </c>
      <c r="G400" s="7907" t="s">
        <v>18</v>
      </c>
      <c r="H400" s="7907" t="s">
        <v>18</v>
      </c>
      <c r="I400" s="7907" t="s">
        <v>916</v>
      </c>
    </row>
    <row customHeight="1" ht="11.25">
      <c r="A401" s="7907" t="s">
        <v>2276</v>
      </c>
      <c r="B401" s="7907" t="s">
        <v>14</v>
      </c>
      <c r="C401" s="7907" t="s">
        <v>2442</v>
      </c>
      <c r="D401" s="7907" t="s">
        <v>2443</v>
      </c>
      <c r="E401" s="7907" t="s">
        <v>2444</v>
      </c>
      <c r="F401" s="7907" t="s">
        <v>2423</v>
      </c>
      <c r="G401" s="7907" t="s">
        <v>2445</v>
      </c>
      <c r="H401" s="7907" t="s">
        <v>18</v>
      </c>
      <c r="I401" s="7907" t="s">
        <v>916</v>
      </c>
    </row>
    <row customHeight="1" ht="11.25">
      <c r="A402" s="7907" t="s">
        <v>2276</v>
      </c>
      <c r="B402" s="7907" t="s">
        <v>14</v>
      </c>
      <c r="C402" s="7907" t="s">
        <v>2446</v>
      </c>
      <c r="D402" s="7907" t="s">
        <v>2447</v>
      </c>
      <c r="E402" s="7907" t="s">
        <v>2448</v>
      </c>
      <c r="F402" s="7907" t="s">
        <v>2449</v>
      </c>
      <c r="G402" s="7907" t="s">
        <v>18</v>
      </c>
      <c r="H402" s="7907" t="s">
        <v>18</v>
      </c>
      <c r="I402" s="7907" t="s">
        <v>916</v>
      </c>
    </row>
    <row customHeight="1" ht="11.25">
      <c r="A403" s="7907" t="s">
        <v>2276</v>
      </c>
      <c r="B403" s="7907" t="s">
        <v>14</v>
      </c>
      <c r="C403" s="7907" t="s">
        <v>2450</v>
      </c>
      <c r="D403" s="7907" t="s">
        <v>2451</v>
      </c>
      <c r="E403" s="7907" t="s">
        <v>2452</v>
      </c>
      <c r="F403" s="7907" t="s">
        <v>2449</v>
      </c>
      <c r="G403" s="7907" t="s">
        <v>2453</v>
      </c>
      <c r="H403" s="7907" t="s">
        <v>18</v>
      </c>
      <c r="I403" s="7907" t="s">
        <v>916</v>
      </c>
    </row>
    <row customHeight="1" ht="11.25">
      <c r="A404" s="7907" t="s">
        <v>2276</v>
      </c>
      <c r="B404" s="7907" t="s">
        <v>14</v>
      </c>
      <c r="C404" s="7907" t="s">
        <v>2454</v>
      </c>
      <c r="D404" s="7907" t="s">
        <v>2455</v>
      </c>
      <c r="E404" s="7907" t="s">
        <v>2456</v>
      </c>
      <c r="F404" s="7907" t="s">
        <v>2423</v>
      </c>
      <c r="G404" s="7907" t="s">
        <v>18</v>
      </c>
      <c r="H404" s="7907" t="s">
        <v>18</v>
      </c>
      <c r="I404" s="7907" t="s">
        <v>916</v>
      </c>
    </row>
    <row customHeight="1" ht="11.25">
      <c r="A405" s="7907" t="s">
        <v>2276</v>
      </c>
      <c r="B405" s="7907" t="s">
        <v>14</v>
      </c>
      <c r="C405" s="7907" t="s">
        <v>2457</v>
      </c>
      <c r="D405" s="7907" t="s">
        <v>2458</v>
      </c>
      <c r="E405" s="7907" t="s">
        <v>2459</v>
      </c>
      <c r="F405" s="7907" t="s">
        <v>2460</v>
      </c>
      <c r="G405" s="7907" t="s">
        <v>2461</v>
      </c>
      <c r="H405" s="7907" t="s">
        <v>18</v>
      </c>
      <c r="I405" s="7907" t="s">
        <v>916</v>
      </c>
    </row>
    <row customHeight="1" ht="11.25">
      <c r="A406" s="7907" t="s">
        <v>2276</v>
      </c>
      <c r="B406" s="7907" t="s">
        <v>14</v>
      </c>
      <c r="C406" s="7907" t="s">
        <v>2914</v>
      </c>
      <c r="D406" s="7907" t="s">
        <v>2915</v>
      </c>
      <c r="E406" s="7907" t="s">
        <v>2916</v>
      </c>
      <c r="F406" s="7907" t="s">
        <v>2423</v>
      </c>
      <c r="G406" s="7907" t="s">
        <v>2917</v>
      </c>
      <c r="H406" s="7907" t="s">
        <v>18</v>
      </c>
      <c r="I406" s="7907" t="s">
        <v>916</v>
      </c>
    </row>
    <row customHeight="1" ht="11.25">
      <c r="A407" s="7907" t="s">
        <v>2276</v>
      </c>
      <c r="B407" s="7907" t="s">
        <v>14</v>
      </c>
      <c r="C407" s="7907" t="s">
        <v>2918</v>
      </c>
      <c r="D407" s="7907" t="s">
        <v>2919</v>
      </c>
      <c r="E407" s="7907" t="s">
        <v>2920</v>
      </c>
      <c r="F407" s="7907" t="s">
        <v>2460</v>
      </c>
      <c r="G407" s="7907" t="s">
        <v>2921</v>
      </c>
      <c r="H407" s="7907" t="s">
        <v>18</v>
      </c>
      <c r="I407" s="7907" t="s">
        <v>916</v>
      </c>
    </row>
    <row customHeight="1" ht="11.25">
      <c r="A408" s="7907" t="s">
        <v>2276</v>
      </c>
      <c r="B408" s="7907" t="s">
        <v>14</v>
      </c>
      <c r="C408" s="7907" t="s">
        <v>2466</v>
      </c>
      <c r="D408" s="7907" t="s">
        <v>2467</v>
      </c>
      <c r="E408" s="7907" t="s">
        <v>2468</v>
      </c>
      <c r="F408" s="7907" t="s">
        <v>2469</v>
      </c>
      <c r="G408" s="7907" t="s">
        <v>18</v>
      </c>
      <c r="H408" s="7907" t="s">
        <v>18</v>
      </c>
      <c r="I408" s="7907" t="s">
        <v>916</v>
      </c>
    </row>
    <row customHeight="1" ht="11.25">
      <c r="A409" s="7907" t="s">
        <v>2276</v>
      </c>
      <c r="B409" s="7907" t="s">
        <v>14</v>
      </c>
      <c r="C409" s="7907" t="s">
        <v>3013</v>
      </c>
      <c r="D409" s="7907" t="s">
        <v>3014</v>
      </c>
      <c r="E409" s="7907" t="s">
        <v>3015</v>
      </c>
      <c r="F409" s="7907" t="s">
        <v>2460</v>
      </c>
      <c r="G409" s="7907" t="s">
        <v>3016</v>
      </c>
      <c r="H409" s="7907" t="s">
        <v>18</v>
      </c>
      <c r="I409" s="7907" t="s">
        <v>916</v>
      </c>
    </row>
    <row customHeight="1" ht="11.25">
      <c r="A410" s="7907" t="s">
        <v>2276</v>
      </c>
      <c r="B410" s="7907" t="s">
        <v>14</v>
      </c>
      <c r="C410" s="7907" t="s">
        <v>2474</v>
      </c>
      <c r="D410" s="7907" t="s">
        <v>2475</v>
      </c>
      <c r="E410" s="7907" t="s">
        <v>2476</v>
      </c>
      <c r="F410" s="7907" t="s">
        <v>2449</v>
      </c>
      <c r="G410" s="7907" t="s">
        <v>2477</v>
      </c>
      <c r="H410" s="7907" t="s">
        <v>18</v>
      </c>
      <c r="I410" s="7907" t="s">
        <v>916</v>
      </c>
    </row>
    <row customHeight="1" ht="11.25">
      <c r="A411" s="7907" t="s">
        <v>2276</v>
      </c>
      <c r="B411" s="7907" t="s">
        <v>14</v>
      </c>
      <c r="C411" s="7907" t="s">
        <v>2478</v>
      </c>
      <c r="D411" s="7907" t="s">
        <v>2479</v>
      </c>
      <c r="E411" s="7907" t="s">
        <v>2480</v>
      </c>
      <c r="F411" s="7907" t="s">
        <v>2449</v>
      </c>
      <c r="G411" s="7907" t="s">
        <v>18</v>
      </c>
      <c r="H411" s="7907" t="s">
        <v>18</v>
      </c>
      <c r="I411" s="7907" t="s">
        <v>916</v>
      </c>
    </row>
    <row customHeight="1" ht="11.25">
      <c r="A412" s="7907" t="s">
        <v>2276</v>
      </c>
      <c r="B412" s="7907" t="s">
        <v>14</v>
      </c>
      <c r="C412" s="7907" t="s">
        <v>2481</v>
      </c>
      <c r="D412" s="7907" t="s">
        <v>2482</v>
      </c>
      <c r="E412" s="7907" t="s">
        <v>2483</v>
      </c>
      <c r="F412" s="7907" t="s">
        <v>2370</v>
      </c>
      <c r="G412" s="7907" t="s">
        <v>18</v>
      </c>
      <c r="H412" s="7907" t="s">
        <v>18</v>
      </c>
      <c r="I412" s="7907" t="s">
        <v>916</v>
      </c>
    </row>
    <row customHeight="1" ht="11.25">
      <c r="A413" s="7907" t="s">
        <v>2276</v>
      </c>
      <c r="B413" s="7907" t="s">
        <v>14</v>
      </c>
      <c r="C413" s="7907" t="s">
        <v>3017</v>
      </c>
      <c r="D413" s="7907" t="s">
        <v>3018</v>
      </c>
      <c r="E413" s="7907" t="s">
        <v>3019</v>
      </c>
      <c r="F413" s="7907" t="s">
        <v>2391</v>
      </c>
      <c r="G413" s="7907" t="s">
        <v>3020</v>
      </c>
      <c r="H413" s="7907" t="s">
        <v>18</v>
      </c>
      <c r="I413" s="7907" t="s">
        <v>916</v>
      </c>
    </row>
    <row customHeight="1" ht="11.25">
      <c r="A414" s="7907" t="s">
        <v>2276</v>
      </c>
      <c r="B414" s="7907" t="s">
        <v>14</v>
      </c>
      <c r="C414" s="7907" t="s">
        <v>2488</v>
      </c>
      <c r="D414" s="7907" t="s">
        <v>2489</v>
      </c>
      <c r="E414" s="7907" t="s">
        <v>2490</v>
      </c>
      <c r="F414" s="7907" t="s">
        <v>2449</v>
      </c>
      <c r="G414" s="7907" t="s">
        <v>2491</v>
      </c>
      <c r="H414" s="7907" t="s">
        <v>18</v>
      </c>
      <c r="I414" s="7907" t="s">
        <v>916</v>
      </c>
    </row>
    <row customHeight="1" ht="11.25">
      <c r="A415" s="7907" t="s">
        <v>2276</v>
      </c>
      <c r="B415" s="7907" t="s">
        <v>14</v>
      </c>
      <c r="C415" s="7907" t="s">
        <v>2495</v>
      </c>
      <c r="D415" s="7907" t="s">
        <v>2496</v>
      </c>
      <c r="E415" s="7907" t="s">
        <v>2497</v>
      </c>
      <c r="F415" s="7907" t="s">
        <v>2460</v>
      </c>
      <c r="G415" s="7907" t="s">
        <v>18</v>
      </c>
      <c r="H415" s="7907" t="s">
        <v>18</v>
      </c>
      <c r="I415" s="7907" t="s">
        <v>916</v>
      </c>
    </row>
    <row customHeight="1" ht="11.25">
      <c r="A416" s="7907" t="s">
        <v>2276</v>
      </c>
      <c r="B416" s="7907" t="s">
        <v>14</v>
      </c>
      <c r="C416" s="7907" t="s">
        <v>2498</v>
      </c>
      <c r="D416" s="7907" t="s">
        <v>2499</v>
      </c>
      <c r="E416" s="7907" t="s">
        <v>2500</v>
      </c>
      <c r="F416" s="7907" t="s">
        <v>2487</v>
      </c>
      <c r="G416" s="7907" t="s">
        <v>18</v>
      </c>
      <c r="H416" s="7907" t="s">
        <v>18</v>
      </c>
      <c r="I416" s="7907" t="s">
        <v>916</v>
      </c>
    </row>
    <row customHeight="1" ht="11.25">
      <c r="A417" s="7907" t="s">
        <v>2276</v>
      </c>
      <c r="B417" s="7907" t="s">
        <v>14</v>
      </c>
      <c r="C417" s="7907" t="s">
        <v>2501</v>
      </c>
      <c r="D417" s="7907" t="s">
        <v>2502</v>
      </c>
      <c r="E417" s="7907" t="s">
        <v>2503</v>
      </c>
      <c r="F417" s="7907" t="s">
        <v>2449</v>
      </c>
      <c r="G417" s="7907" t="s">
        <v>2504</v>
      </c>
      <c r="H417" s="7907" t="s">
        <v>18</v>
      </c>
      <c r="I417" s="7907" t="s">
        <v>916</v>
      </c>
    </row>
    <row customHeight="1" ht="11.25">
      <c r="A418" s="7907" t="s">
        <v>2276</v>
      </c>
      <c r="B418" s="7907" t="s">
        <v>14</v>
      </c>
      <c r="C418" s="7907" t="s">
        <v>2505</v>
      </c>
      <c r="D418" s="7907" t="s">
        <v>2506</v>
      </c>
      <c r="E418" s="7907" t="s">
        <v>2507</v>
      </c>
      <c r="F418" s="7907" t="s">
        <v>2460</v>
      </c>
      <c r="G418" s="7907" t="s">
        <v>2508</v>
      </c>
      <c r="H418" s="7907" t="s">
        <v>18</v>
      </c>
      <c r="I418" s="7907" t="s">
        <v>916</v>
      </c>
    </row>
    <row customHeight="1" ht="11.25">
      <c r="A419" s="7907" t="s">
        <v>2276</v>
      </c>
      <c r="B419" s="7907" t="s">
        <v>14</v>
      </c>
      <c r="C419" s="7907" t="s">
        <v>2509</v>
      </c>
      <c r="D419" s="7907" t="s">
        <v>2506</v>
      </c>
      <c r="E419" s="7907" t="s">
        <v>2510</v>
      </c>
      <c r="F419" s="7907" t="s">
        <v>2338</v>
      </c>
      <c r="G419" s="7907" t="s">
        <v>2511</v>
      </c>
      <c r="H419" s="7907" t="s">
        <v>18</v>
      </c>
      <c r="I419" s="7907" t="s">
        <v>916</v>
      </c>
    </row>
    <row customHeight="1" ht="11.25">
      <c r="A420" s="7907" t="s">
        <v>2276</v>
      </c>
      <c r="B420" s="7907" t="s">
        <v>14</v>
      </c>
      <c r="C420" s="7907" t="s">
        <v>2512</v>
      </c>
      <c r="D420" s="7907" t="s">
        <v>2513</v>
      </c>
      <c r="E420" s="7907" t="s">
        <v>2514</v>
      </c>
      <c r="F420" s="7907" t="s">
        <v>2441</v>
      </c>
      <c r="G420" s="7907" t="s">
        <v>18</v>
      </c>
      <c r="H420" s="7907" t="s">
        <v>18</v>
      </c>
      <c r="I420" s="7907" t="s">
        <v>916</v>
      </c>
    </row>
    <row customHeight="1" ht="11.25">
      <c r="A421" s="7907" t="s">
        <v>2276</v>
      </c>
      <c r="B421" s="7907" t="s">
        <v>14</v>
      </c>
      <c r="C421" s="7907" t="s">
        <v>2515</v>
      </c>
      <c r="D421" s="7907" t="s">
        <v>2516</v>
      </c>
      <c r="E421" s="7907" t="s">
        <v>2517</v>
      </c>
      <c r="F421" s="7907" t="s">
        <v>2441</v>
      </c>
      <c r="G421" s="7907" t="s">
        <v>2518</v>
      </c>
      <c r="H421" s="7907" t="s">
        <v>18</v>
      </c>
      <c r="I421" s="7907" t="s">
        <v>916</v>
      </c>
    </row>
    <row customHeight="1" ht="11.25">
      <c r="A422" s="7907" t="s">
        <v>2276</v>
      </c>
      <c r="B422" s="7907" t="s">
        <v>14</v>
      </c>
      <c r="C422" s="7907" t="s">
        <v>2519</v>
      </c>
      <c r="D422" s="7907" t="s">
        <v>2520</v>
      </c>
      <c r="E422" s="7907" t="s">
        <v>2521</v>
      </c>
      <c r="F422" s="7907" t="s">
        <v>2403</v>
      </c>
      <c r="G422" s="7907" t="s">
        <v>18</v>
      </c>
      <c r="H422" s="7907" t="s">
        <v>18</v>
      </c>
      <c r="I422" s="7907" t="s">
        <v>916</v>
      </c>
    </row>
    <row customHeight="1" ht="11.25">
      <c r="A423" s="7907" t="s">
        <v>2276</v>
      </c>
      <c r="B423" s="7907" t="s">
        <v>14</v>
      </c>
      <c r="C423" s="7907" t="s">
        <v>2530</v>
      </c>
      <c r="D423" s="7907" t="s">
        <v>2531</v>
      </c>
      <c r="E423" s="7907" t="s">
        <v>2532</v>
      </c>
      <c r="F423" s="7907" t="s">
        <v>2423</v>
      </c>
      <c r="G423" s="7907" t="s">
        <v>2533</v>
      </c>
      <c r="H423" s="7907" t="s">
        <v>18</v>
      </c>
      <c r="I423" s="7907" t="s">
        <v>916</v>
      </c>
    </row>
    <row customHeight="1" ht="11.25">
      <c r="A424" s="7907" t="s">
        <v>2276</v>
      </c>
      <c r="B424" s="7907" t="s">
        <v>14</v>
      </c>
      <c r="C424" s="7907" t="s">
        <v>2925</v>
      </c>
      <c r="D424" s="7907" t="s">
        <v>2926</v>
      </c>
      <c r="E424" s="7907" t="s">
        <v>2927</v>
      </c>
      <c r="F424" s="7907" t="s">
        <v>48</v>
      </c>
      <c r="G424" s="7907" t="s">
        <v>18</v>
      </c>
      <c r="H424" s="7907" t="s">
        <v>18</v>
      </c>
      <c r="I424" s="7907" t="s">
        <v>916</v>
      </c>
    </row>
    <row customHeight="1" ht="11.25">
      <c r="A425" s="7907" t="s">
        <v>2276</v>
      </c>
      <c r="B425" s="7907" t="s">
        <v>14</v>
      </c>
      <c r="C425" s="7907" t="s">
        <v>2537</v>
      </c>
      <c r="D425" s="7907" t="s">
        <v>2538</v>
      </c>
      <c r="E425" s="7907" t="s">
        <v>2539</v>
      </c>
      <c r="F425" s="7907" t="s">
        <v>2469</v>
      </c>
      <c r="G425" s="7907" t="s">
        <v>18</v>
      </c>
      <c r="H425" s="7907" t="s">
        <v>18</v>
      </c>
      <c r="I425" s="7907" t="s">
        <v>916</v>
      </c>
    </row>
    <row customHeight="1" ht="11.25">
      <c r="A426" s="7907" t="s">
        <v>2276</v>
      </c>
      <c r="B426" s="7907" t="s">
        <v>14</v>
      </c>
      <c r="C426" s="7907" t="s">
        <v>2543</v>
      </c>
      <c r="D426" s="7907" t="s">
        <v>2544</v>
      </c>
      <c r="E426" s="7907" t="s">
        <v>2545</v>
      </c>
      <c r="F426" s="7907" t="s">
        <v>2338</v>
      </c>
      <c r="G426" s="7907" t="s">
        <v>2546</v>
      </c>
      <c r="H426" s="7907" t="s">
        <v>18</v>
      </c>
      <c r="I426" s="7907" t="s">
        <v>916</v>
      </c>
    </row>
    <row customHeight="1" ht="11.25">
      <c r="A427" s="7907" t="s">
        <v>2276</v>
      </c>
      <c r="B427" s="7907" t="s">
        <v>14</v>
      </c>
      <c r="C427" s="7907" t="s">
        <v>2550</v>
      </c>
      <c r="D427" s="7907" t="s">
        <v>2551</v>
      </c>
      <c r="E427" s="7907" t="s">
        <v>2552</v>
      </c>
      <c r="F427" s="7907" t="s">
        <v>2449</v>
      </c>
      <c r="G427" s="7907" t="s">
        <v>18</v>
      </c>
      <c r="H427" s="7907" t="s">
        <v>18</v>
      </c>
      <c r="I427" s="7907" t="s">
        <v>916</v>
      </c>
    </row>
    <row customHeight="1" ht="11.25">
      <c r="A428" s="7907" t="s">
        <v>2276</v>
      </c>
      <c r="B428" s="7907" t="s">
        <v>14</v>
      </c>
      <c r="C428" s="7907" t="s">
        <v>2563</v>
      </c>
      <c r="D428" s="7907" t="s">
        <v>2564</v>
      </c>
      <c r="E428" s="7907" t="s">
        <v>2565</v>
      </c>
      <c r="F428" s="7907" t="s">
        <v>2566</v>
      </c>
      <c r="G428" s="7907" t="s">
        <v>2567</v>
      </c>
      <c r="H428" s="7907" t="s">
        <v>18</v>
      </c>
      <c r="I428" s="7907" t="s">
        <v>916</v>
      </c>
    </row>
    <row customHeight="1" ht="11.25">
      <c r="A429" s="7907" t="s">
        <v>2276</v>
      </c>
      <c r="B429" s="7907" t="s">
        <v>14</v>
      </c>
      <c r="C429" s="7907" t="s">
        <v>2568</v>
      </c>
      <c r="D429" s="7907" t="s">
        <v>2569</v>
      </c>
      <c r="E429" s="7907" t="s">
        <v>2570</v>
      </c>
      <c r="F429" s="7907" t="s">
        <v>2338</v>
      </c>
      <c r="G429" s="7907" t="s">
        <v>18</v>
      </c>
      <c r="H429" s="7907" t="s">
        <v>18</v>
      </c>
      <c r="I429" s="7907" t="s">
        <v>916</v>
      </c>
    </row>
    <row customHeight="1" ht="11.25">
      <c r="A430" s="7907" t="s">
        <v>2276</v>
      </c>
      <c r="B430" s="7907" t="s">
        <v>14</v>
      </c>
      <c r="C430" s="7907" t="s">
        <v>2574</v>
      </c>
      <c r="D430" s="7907" t="s">
        <v>2575</v>
      </c>
      <c r="E430" s="7907" t="s">
        <v>2576</v>
      </c>
      <c r="F430" s="7907" t="s">
        <v>2403</v>
      </c>
      <c r="G430" s="7907" t="s">
        <v>18</v>
      </c>
      <c r="H430" s="7907" t="s">
        <v>18</v>
      </c>
      <c r="I430" s="7907" t="s">
        <v>916</v>
      </c>
    </row>
    <row customHeight="1" ht="11.25">
      <c r="A431" s="7907" t="s">
        <v>2276</v>
      </c>
      <c r="B431" s="7907" t="s">
        <v>14</v>
      </c>
      <c r="C431" s="7907" t="s">
        <v>2580</v>
      </c>
      <c r="D431" s="7907" t="s">
        <v>2581</v>
      </c>
      <c r="E431" s="7907" t="s">
        <v>2582</v>
      </c>
      <c r="F431" s="7907" t="s">
        <v>48</v>
      </c>
      <c r="G431" s="7907" t="s">
        <v>2583</v>
      </c>
      <c r="H431" s="7907" t="s">
        <v>18</v>
      </c>
      <c r="I431" s="7907" t="s">
        <v>916</v>
      </c>
    </row>
    <row customHeight="1" ht="11.25">
      <c r="A432" s="7907" t="s">
        <v>2276</v>
      </c>
      <c r="B432" s="7907" t="s">
        <v>14</v>
      </c>
      <c r="C432" s="7907" t="s">
        <v>2928</v>
      </c>
      <c r="D432" s="7907" t="s">
        <v>2929</v>
      </c>
      <c r="E432" s="7907" t="s">
        <v>2930</v>
      </c>
      <c r="F432" s="7907" t="s">
        <v>2608</v>
      </c>
      <c r="G432" s="7907" t="s">
        <v>18</v>
      </c>
      <c r="H432" s="7907" t="s">
        <v>18</v>
      </c>
      <c r="I432" s="7907" t="s">
        <v>916</v>
      </c>
    </row>
    <row customHeight="1" ht="11.25">
      <c r="A433" s="7907" t="s">
        <v>2276</v>
      </c>
      <c r="B433" s="7907" t="s">
        <v>14</v>
      </c>
      <c r="C433" s="7907" t="s">
        <v>2931</v>
      </c>
      <c r="D433" s="7907" t="s">
        <v>2932</v>
      </c>
      <c r="E433" s="7907" t="s">
        <v>2933</v>
      </c>
      <c r="F433" s="7907" t="s">
        <v>48</v>
      </c>
      <c r="G433" s="7907" t="s">
        <v>2934</v>
      </c>
      <c r="H433" s="7907" t="s">
        <v>18</v>
      </c>
      <c r="I433" s="7907" t="s">
        <v>916</v>
      </c>
    </row>
    <row customHeight="1" ht="11.25">
      <c r="A434" s="7907" t="s">
        <v>2276</v>
      </c>
      <c r="B434" s="7907" t="s">
        <v>14</v>
      </c>
      <c r="C434" s="7907" t="s">
        <v>2935</v>
      </c>
      <c r="D434" s="7907" t="s">
        <v>2936</v>
      </c>
      <c r="E434" s="7907" t="s">
        <v>2937</v>
      </c>
      <c r="F434" s="7907" t="s">
        <v>2608</v>
      </c>
      <c r="G434" s="7907" t="s">
        <v>18</v>
      </c>
      <c r="H434" s="7907" t="s">
        <v>18</v>
      </c>
      <c r="I434" s="7907" t="s">
        <v>916</v>
      </c>
    </row>
    <row customHeight="1" ht="11.25">
      <c r="A435" s="7907" t="s">
        <v>2276</v>
      </c>
      <c r="B435" s="7907" t="s">
        <v>14</v>
      </c>
      <c r="C435" s="7907" t="s">
        <v>2938</v>
      </c>
      <c r="D435" s="7907" t="s">
        <v>2936</v>
      </c>
      <c r="E435" s="7907" t="s">
        <v>2939</v>
      </c>
      <c r="F435" s="7907" t="s">
        <v>2370</v>
      </c>
      <c r="G435" s="7907" t="s">
        <v>18</v>
      </c>
      <c r="H435" s="7907" t="s">
        <v>18</v>
      </c>
      <c r="I435" s="7907" t="s">
        <v>916</v>
      </c>
    </row>
    <row customHeight="1" ht="11.25">
      <c r="A436" s="7907" t="s">
        <v>2276</v>
      </c>
      <c r="B436" s="7907" t="s">
        <v>14</v>
      </c>
      <c r="C436" s="7907" t="s">
        <v>2940</v>
      </c>
      <c r="D436" s="7907" t="s">
        <v>2941</v>
      </c>
      <c r="E436" s="7907" t="s">
        <v>2942</v>
      </c>
      <c r="F436" s="7907" t="s">
        <v>2366</v>
      </c>
      <c r="G436" s="7907" t="s">
        <v>18</v>
      </c>
      <c r="H436" s="7907" t="s">
        <v>18</v>
      </c>
      <c r="I436" s="7907" t="s">
        <v>916</v>
      </c>
    </row>
    <row customHeight="1" ht="11.25">
      <c r="A437" s="7907" t="s">
        <v>2276</v>
      </c>
      <c r="B437" s="7907" t="s">
        <v>14</v>
      </c>
      <c r="C437" s="7907" t="s">
        <v>2602</v>
      </c>
      <c r="D437" s="7907" t="s">
        <v>2603</v>
      </c>
      <c r="E437" s="7907" t="s">
        <v>2604</v>
      </c>
      <c r="F437" s="7907" t="s">
        <v>2449</v>
      </c>
      <c r="G437" s="7907" t="s">
        <v>18</v>
      </c>
      <c r="H437" s="7907" t="s">
        <v>18</v>
      </c>
      <c r="I437" s="7907" t="s">
        <v>916</v>
      </c>
    </row>
    <row customHeight="1" ht="11.25">
      <c r="A438" s="7907" t="s">
        <v>2276</v>
      </c>
      <c r="B438" s="7907" t="s">
        <v>14</v>
      </c>
      <c r="C438" s="7907" t="s">
        <v>2605</v>
      </c>
      <c r="D438" s="7907" t="s">
        <v>2606</v>
      </c>
      <c r="E438" s="7907" t="s">
        <v>2607</v>
      </c>
      <c r="F438" s="7907" t="s">
        <v>2608</v>
      </c>
      <c r="G438" s="7907" t="s">
        <v>18</v>
      </c>
      <c r="H438" s="7907" t="s">
        <v>18</v>
      </c>
      <c r="I438" s="7907" t="s">
        <v>916</v>
      </c>
    </row>
    <row customHeight="1" ht="11.25">
      <c r="A439" s="7907" t="s">
        <v>2276</v>
      </c>
      <c r="B439" s="7907" t="s">
        <v>14</v>
      </c>
      <c r="C439" s="7907" t="s">
        <v>3021</v>
      </c>
      <c r="D439" s="7907" t="s">
        <v>3022</v>
      </c>
      <c r="E439" s="7907" t="s">
        <v>3023</v>
      </c>
      <c r="F439" s="7907" t="s">
        <v>2449</v>
      </c>
      <c r="G439" s="7907" t="s">
        <v>3024</v>
      </c>
      <c r="H439" s="7907" t="s">
        <v>18</v>
      </c>
      <c r="I439" s="7907" t="s">
        <v>916</v>
      </c>
    </row>
    <row customHeight="1" ht="11.25">
      <c r="A440" s="7907" t="s">
        <v>2276</v>
      </c>
      <c r="B440" s="7907" t="s">
        <v>14</v>
      </c>
      <c r="C440" s="7907" t="s">
        <v>2625</v>
      </c>
      <c r="D440" s="7907" t="s">
        <v>2626</v>
      </c>
      <c r="E440" s="7907" t="s">
        <v>2627</v>
      </c>
      <c r="F440" s="7907" t="s">
        <v>2628</v>
      </c>
      <c r="G440" s="7907" t="s">
        <v>18</v>
      </c>
      <c r="H440" s="7907" t="s">
        <v>18</v>
      </c>
      <c r="I440" s="7907" t="s">
        <v>916</v>
      </c>
    </row>
    <row customHeight="1" ht="11.25">
      <c r="A441" s="7907" t="s">
        <v>2276</v>
      </c>
      <c r="B441" s="7907" t="s">
        <v>14</v>
      </c>
      <c r="C441" s="7907" t="s">
        <v>2629</v>
      </c>
      <c r="D441" s="7907" t="s">
        <v>2630</v>
      </c>
      <c r="E441" s="7907" t="s">
        <v>2631</v>
      </c>
      <c r="F441" s="7907" t="s">
        <v>2628</v>
      </c>
      <c r="G441" s="7907" t="s">
        <v>18</v>
      </c>
      <c r="H441" s="7907" t="s">
        <v>18</v>
      </c>
      <c r="I441" s="7907" t="s">
        <v>916</v>
      </c>
    </row>
    <row customHeight="1" ht="11.25">
      <c r="A442" s="7907" t="s">
        <v>2276</v>
      </c>
      <c r="B442" s="7907" t="s">
        <v>14</v>
      </c>
      <c r="C442" s="7907" t="s">
        <v>2951</v>
      </c>
      <c r="D442" s="7907" t="s">
        <v>2952</v>
      </c>
      <c r="E442" s="7907" t="s">
        <v>2953</v>
      </c>
      <c r="F442" s="7907" t="s">
        <v>2408</v>
      </c>
      <c r="G442" s="7907" t="s">
        <v>18</v>
      </c>
      <c r="H442" s="7907" t="s">
        <v>18</v>
      </c>
      <c r="I442" s="7907" t="s">
        <v>916</v>
      </c>
    </row>
    <row customHeight="1" ht="11.25">
      <c r="A443" s="7907" t="s">
        <v>2276</v>
      </c>
      <c r="B443" s="7907" t="s">
        <v>14</v>
      </c>
      <c r="C443" s="7907" t="s">
        <v>2648</v>
      </c>
      <c r="D443" s="7907" t="s">
        <v>2649</v>
      </c>
      <c r="E443" s="7907" t="s">
        <v>2650</v>
      </c>
      <c r="F443" s="7907" t="s">
        <v>2449</v>
      </c>
      <c r="G443" s="7907" t="s">
        <v>18</v>
      </c>
      <c r="H443" s="7907" t="s">
        <v>18</v>
      </c>
      <c r="I443" s="7907" t="s">
        <v>916</v>
      </c>
    </row>
    <row customHeight="1" ht="11.25">
      <c r="A444" s="7907" t="s">
        <v>2276</v>
      </c>
      <c r="B444" s="7907" t="s">
        <v>14</v>
      </c>
      <c r="C444" s="7907" t="s">
        <v>2651</v>
      </c>
      <c r="D444" s="7907" t="s">
        <v>2652</v>
      </c>
      <c r="E444" s="7907" t="s">
        <v>2653</v>
      </c>
      <c r="F444" s="7907" t="s">
        <v>2449</v>
      </c>
      <c r="G444" s="7907" t="s">
        <v>2654</v>
      </c>
      <c r="H444" s="7907" t="s">
        <v>18</v>
      </c>
      <c r="I444" s="7907" t="s">
        <v>916</v>
      </c>
    </row>
    <row customHeight="1" ht="11.25">
      <c r="A445" s="7907" t="s">
        <v>2276</v>
      </c>
      <c r="B445" s="7907" t="s">
        <v>14</v>
      </c>
      <c r="C445" s="7907" t="s">
        <v>2655</v>
      </c>
      <c r="D445" s="7907" t="s">
        <v>2656</v>
      </c>
      <c r="E445" s="7907" t="s">
        <v>2657</v>
      </c>
      <c r="F445" s="7907" t="s">
        <v>2449</v>
      </c>
      <c r="G445" s="7907" t="s">
        <v>18</v>
      </c>
      <c r="H445" s="7907" t="s">
        <v>18</v>
      </c>
      <c r="I445" s="7907" t="s">
        <v>916</v>
      </c>
    </row>
    <row customHeight="1" ht="11.25">
      <c r="A446" s="7907" t="s">
        <v>2276</v>
      </c>
      <c r="B446" s="7907" t="s">
        <v>14</v>
      </c>
      <c r="C446" s="7907" t="s">
        <v>2661</v>
      </c>
      <c r="D446" s="7907" t="s">
        <v>2662</v>
      </c>
      <c r="E446" s="7907" t="s">
        <v>2663</v>
      </c>
      <c r="F446" s="7907" t="s">
        <v>2460</v>
      </c>
      <c r="G446" s="7907" t="s">
        <v>2664</v>
      </c>
      <c r="H446" s="7907" t="s">
        <v>18</v>
      </c>
      <c r="I446" s="7907" t="s">
        <v>916</v>
      </c>
    </row>
    <row customHeight="1" ht="11.25">
      <c r="A447" s="7907" t="s">
        <v>2276</v>
      </c>
      <c r="B447" s="7907" t="s">
        <v>14</v>
      </c>
      <c r="C447" s="7907" t="s">
        <v>2857</v>
      </c>
      <c r="D447" s="7907" t="s">
        <v>2858</v>
      </c>
      <c r="E447" s="7907" t="s">
        <v>2859</v>
      </c>
      <c r="F447" s="7907" t="s">
        <v>2338</v>
      </c>
      <c r="G447" s="7907" t="s">
        <v>18</v>
      </c>
      <c r="H447" s="7907" t="s">
        <v>18</v>
      </c>
      <c r="I447" s="7907" t="s">
        <v>916</v>
      </c>
    </row>
    <row customHeight="1" ht="11.25">
      <c r="A448" s="7907" t="s">
        <v>2276</v>
      </c>
      <c r="B448" s="7907" t="s">
        <v>14</v>
      </c>
      <c r="C448" s="7907" t="s">
        <v>2954</v>
      </c>
      <c r="D448" s="7907" t="s">
        <v>2955</v>
      </c>
      <c r="E448" s="7907" t="s">
        <v>2956</v>
      </c>
      <c r="F448" s="7907" t="s">
        <v>2449</v>
      </c>
      <c r="G448" s="7907" t="s">
        <v>18</v>
      </c>
      <c r="H448" s="7907" t="s">
        <v>18</v>
      </c>
      <c r="I448" s="7907" t="s">
        <v>916</v>
      </c>
    </row>
    <row customHeight="1" ht="11.25">
      <c r="A449" s="7907" t="s">
        <v>2276</v>
      </c>
      <c r="B449" s="7907" t="s">
        <v>14</v>
      </c>
      <c r="C449" s="7907" t="s">
        <v>2960</v>
      </c>
      <c r="D449" s="7907" t="s">
        <v>2961</v>
      </c>
      <c r="E449" s="7907" t="s">
        <v>2962</v>
      </c>
      <c r="F449" s="7907" t="s">
        <v>2449</v>
      </c>
      <c r="G449" s="7907" t="s">
        <v>18</v>
      </c>
      <c r="H449" s="7907" t="s">
        <v>18</v>
      </c>
      <c r="I449" s="7907" t="s">
        <v>916</v>
      </c>
    </row>
    <row customHeight="1" ht="11.25">
      <c r="A450" s="7907" t="s">
        <v>2276</v>
      </c>
      <c r="B450" s="7907" t="s">
        <v>14</v>
      </c>
      <c r="C450" s="7907" t="s">
        <v>2668</v>
      </c>
      <c r="D450" s="7907" t="s">
        <v>2669</v>
      </c>
      <c r="E450" s="7907" t="s">
        <v>2670</v>
      </c>
      <c r="F450" s="7907" t="s">
        <v>2608</v>
      </c>
      <c r="G450" s="7907" t="s">
        <v>18</v>
      </c>
      <c r="H450" s="7907" t="s">
        <v>18</v>
      </c>
      <c r="I450" s="7907" t="s">
        <v>916</v>
      </c>
    </row>
    <row customHeight="1" ht="11.25">
      <c r="A451" s="7907" t="s">
        <v>2276</v>
      </c>
      <c r="B451" s="7907" t="s">
        <v>14</v>
      </c>
      <c r="C451" s="7907" t="s">
        <v>2671</v>
      </c>
      <c r="D451" s="7907" t="s">
        <v>2672</v>
      </c>
      <c r="E451" s="7907" t="s">
        <v>2673</v>
      </c>
      <c r="F451" s="7907" t="s">
        <v>2608</v>
      </c>
      <c r="G451" s="7907" t="s">
        <v>18</v>
      </c>
      <c r="H451" s="7907" t="s">
        <v>18</v>
      </c>
      <c r="I451" s="7907" t="s">
        <v>916</v>
      </c>
    </row>
    <row customHeight="1" ht="11.25">
      <c r="A452" s="7907" t="s">
        <v>2276</v>
      </c>
      <c r="B452" s="7907" t="s">
        <v>14</v>
      </c>
      <c r="C452" s="7907" t="s">
        <v>3025</v>
      </c>
      <c r="D452" s="7907" t="s">
        <v>3026</v>
      </c>
      <c r="E452" s="7907" t="s">
        <v>3027</v>
      </c>
      <c r="F452" s="7907" t="s">
        <v>2449</v>
      </c>
      <c r="G452" s="7907" t="s">
        <v>18</v>
      </c>
      <c r="H452" s="7907" t="s">
        <v>18</v>
      </c>
      <c r="I452" s="7907" t="s">
        <v>916</v>
      </c>
    </row>
    <row customHeight="1" ht="11.25">
      <c r="A453" s="7907" t="s">
        <v>2276</v>
      </c>
      <c r="B453" s="7907" t="s">
        <v>14</v>
      </c>
      <c r="C453" s="7907" t="s">
        <v>2681</v>
      </c>
      <c r="D453" s="7907" t="s">
        <v>2682</v>
      </c>
      <c r="E453" s="7907" t="s">
        <v>2683</v>
      </c>
      <c r="F453" s="7907" t="s">
        <v>2370</v>
      </c>
      <c r="G453" s="7907" t="s">
        <v>18</v>
      </c>
      <c r="H453" s="7907" t="s">
        <v>18</v>
      </c>
      <c r="I453" s="7907" t="s">
        <v>916</v>
      </c>
    </row>
    <row customHeight="1" ht="11.25">
      <c r="A454" s="7907" t="s">
        <v>2276</v>
      </c>
      <c r="B454" s="7907" t="s">
        <v>14</v>
      </c>
      <c r="C454" s="7907" t="s">
        <v>2963</v>
      </c>
      <c r="D454" s="7907" t="s">
        <v>2964</v>
      </c>
      <c r="E454" s="7907" t="s">
        <v>2965</v>
      </c>
      <c r="F454" s="7907" t="s">
        <v>2460</v>
      </c>
      <c r="G454" s="7907" t="s">
        <v>2966</v>
      </c>
      <c r="H454" s="7907" t="s">
        <v>18</v>
      </c>
      <c r="I454" s="7907" t="s">
        <v>916</v>
      </c>
    </row>
    <row customHeight="1" ht="11.25">
      <c r="A455" s="7907" t="s">
        <v>2276</v>
      </c>
      <c r="B455" s="7907" t="s">
        <v>14</v>
      </c>
      <c r="C455" s="7907" t="s">
        <v>2967</v>
      </c>
      <c r="D455" s="7907" t="s">
        <v>2968</v>
      </c>
      <c r="E455" s="7907" t="s">
        <v>2969</v>
      </c>
      <c r="F455" s="7907" t="s">
        <v>2403</v>
      </c>
      <c r="G455" s="7907" t="s">
        <v>2970</v>
      </c>
      <c r="H455" s="7907" t="s">
        <v>18</v>
      </c>
      <c r="I455" s="7907" t="s">
        <v>916</v>
      </c>
    </row>
    <row customHeight="1" ht="11.25">
      <c r="A456" s="7907" t="s">
        <v>2276</v>
      </c>
      <c r="B456" s="7907" t="s">
        <v>14</v>
      </c>
      <c r="C456" s="7907" t="s">
        <v>3028</v>
      </c>
      <c r="D456" s="7907" t="s">
        <v>3029</v>
      </c>
      <c r="E456" s="7907" t="s">
        <v>3030</v>
      </c>
      <c r="F456" s="7907" t="s">
        <v>2391</v>
      </c>
      <c r="G456" s="7907" t="s">
        <v>18</v>
      </c>
      <c r="H456" s="7907" t="s">
        <v>18</v>
      </c>
      <c r="I456" s="7907" t="s">
        <v>916</v>
      </c>
    </row>
    <row customHeight="1" ht="11.25">
      <c r="A457" s="7907" t="s">
        <v>2276</v>
      </c>
      <c r="B457" s="7907" t="s">
        <v>14</v>
      </c>
      <c r="C457" s="7907" t="s">
        <v>2694</v>
      </c>
      <c r="D457" s="7907" t="s">
        <v>2695</v>
      </c>
      <c r="E457" s="7907" t="s">
        <v>2696</v>
      </c>
      <c r="F457" s="7907" t="s">
        <v>2441</v>
      </c>
      <c r="G457" s="7907" t="s">
        <v>2697</v>
      </c>
      <c r="H457" s="7907" t="s">
        <v>18</v>
      </c>
      <c r="I457" s="7907" t="s">
        <v>916</v>
      </c>
    </row>
    <row customHeight="1" ht="11.25">
      <c r="A458" s="7907" t="s">
        <v>2276</v>
      </c>
      <c r="B458" s="7907" t="s">
        <v>14</v>
      </c>
      <c r="C458" s="7907" t="s">
        <v>2718</v>
      </c>
      <c r="D458" s="7907" t="s">
        <v>2719</v>
      </c>
      <c r="E458" s="7907" t="s">
        <v>2720</v>
      </c>
      <c r="F458" s="7907" t="s">
        <v>2449</v>
      </c>
      <c r="G458" s="7907" t="s">
        <v>18</v>
      </c>
      <c r="H458" s="7907" t="s">
        <v>18</v>
      </c>
      <c r="I458" s="7907" t="s">
        <v>916</v>
      </c>
    </row>
    <row customHeight="1" ht="11.25">
      <c r="A459" s="7907" t="s">
        <v>2276</v>
      </c>
      <c r="B459" s="7907" t="s">
        <v>14</v>
      </c>
      <c r="C459" s="7907" t="s">
        <v>2721</v>
      </c>
      <c r="D459" s="7907" t="s">
        <v>2722</v>
      </c>
      <c r="E459" s="7907" t="s">
        <v>2723</v>
      </c>
      <c r="F459" s="7907" t="s">
        <v>2391</v>
      </c>
      <c r="G459" s="7907" t="s">
        <v>18</v>
      </c>
      <c r="H459" s="7907" t="s">
        <v>18</v>
      </c>
      <c r="I459" s="7907" t="s">
        <v>916</v>
      </c>
    </row>
    <row customHeight="1" ht="11.25">
      <c r="A460" s="7907" t="s">
        <v>2276</v>
      </c>
      <c r="B460" s="7907" t="s">
        <v>14</v>
      </c>
      <c r="C460" s="7907" t="s">
        <v>2727</v>
      </c>
      <c r="D460" s="7907" t="s">
        <v>2728</v>
      </c>
      <c r="E460" s="7907" t="s">
        <v>2729</v>
      </c>
      <c r="F460" s="7907" t="s">
        <v>2408</v>
      </c>
      <c r="G460" s="7907" t="s">
        <v>2730</v>
      </c>
      <c r="H460" s="7907" t="s">
        <v>18</v>
      </c>
      <c r="I460" s="7907" t="s">
        <v>916</v>
      </c>
    </row>
    <row customHeight="1" ht="11.25">
      <c r="A461" s="7907" t="s">
        <v>2276</v>
      </c>
      <c r="B461" s="7907" t="s">
        <v>14</v>
      </c>
      <c r="C461" s="7907" t="s">
        <v>2974</v>
      </c>
      <c r="D461" s="7907" t="s">
        <v>2975</v>
      </c>
      <c r="E461" s="7907" t="s">
        <v>2976</v>
      </c>
      <c r="F461" s="7907" t="s">
        <v>2608</v>
      </c>
      <c r="G461" s="7907" t="s">
        <v>18</v>
      </c>
      <c r="H461" s="7907" t="s">
        <v>18</v>
      </c>
      <c r="I461" s="7907" t="s">
        <v>916</v>
      </c>
    </row>
    <row customHeight="1" ht="11.25">
      <c r="A462" s="7907" t="s">
        <v>2276</v>
      </c>
      <c r="B462" s="7907" t="s">
        <v>14</v>
      </c>
      <c r="C462" s="7907" t="s">
        <v>2977</v>
      </c>
      <c r="D462" s="7907" t="s">
        <v>2978</v>
      </c>
      <c r="E462" s="7907" t="s">
        <v>2979</v>
      </c>
      <c r="F462" s="7907" t="s">
        <v>2423</v>
      </c>
      <c r="G462" s="7907" t="s">
        <v>2980</v>
      </c>
      <c r="H462" s="7907" t="s">
        <v>18</v>
      </c>
      <c r="I462" s="7907" t="s">
        <v>916</v>
      </c>
    </row>
    <row customHeight="1" ht="11.25">
      <c r="A463" s="7907" t="s">
        <v>2276</v>
      </c>
      <c r="B463" s="7907" t="s">
        <v>14</v>
      </c>
      <c r="C463" s="7907" t="s">
        <v>2765</v>
      </c>
      <c r="D463" s="7907" t="s">
        <v>2766</v>
      </c>
      <c r="E463" s="7907" t="s">
        <v>2767</v>
      </c>
      <c r="F463" s="7907" t="s">
        <v>2423</v>
      </c>
      <c r="G463" s="7907" t="s">
        <v>18</v>
      </c>
      <c r="H463" s="7907" t="s">
        <v>18</v>
      </c>
      <c r="I463" s="7907" t="s">
        <v>916</v>
      </c>
    </row>
    <row customHeight="1" ht="11.25">
      <c r="A464" s="7907" t="s">
        <v>2276</v>
      </c>
      <c r="B464" s="7907" t="s">
        <v>14</v>
      </c>
      <c r="C464" s="7907" t="s">
        <v>2771</v>
      </c>
      <c r="D464" s="7907" t="s">
        <v>2772</v>
      </c>
      <c r="E464" s="7907" t="s">
        <v>2773</v>
      </c>
      <c r="F464" s="7907" t="s">
        <v>2449</v>
      </c>
      <c r="G464" s="7907" t="s">
        <v>2774</v>
      </c>
      <c r="H464" s="7907" t="s">
        <v>18</v>
      </c>
      <c r="I464" s="7907" t="s">
        <v>916</v>
      </c>
    </row>
    <row customHeight="1" ht="11.25">
      <c r="A465" s="7907" t="s">
        <v>2276</v>
      </c>
      <c r="B465" s="7907" t="s">
        <v>14</v>
      </c>
      <c r="C465" s="7907" t="s">
        <v>2775</v>
      </c>
      <c r="D465" s="7907" t="s">
        <v>2776</v>
      </c>
      <c r="E465" s="7907" t="s">
        <v>2777</v>
      </c>
      <c r="F465" s="7907" t="s">
        <v>48</v>
      </c>
      <c r="G465" s="7907" t="s">
        <v>18</v>
      </c>
      <c r="H465" s="7907" t="s">
        <v>18</v>
      </c>
      <c r="I465" s="7907" t="s">
        <v>916</v>
      </c>
    </row>
    <row customHeight="1" ht="11.25">
      <c r="A466" s="7907" t="s">
        <v>2276</v>
      </c>
      <c r="B466" s="7907" t="s">
        <v>14</v>
      </c>
      <c r="C466" s="7907" t="s">
        <v>3031</v>
      </c>
      <c r="D466" s="7907" t="s">
        <v>3032</v>
      </c>
      <c r="E466" s="7907" t="s">
        <v>3033</v>
      </c>
      <c r="F466" s="7907" t="s">
        <v>2628</v>
      </c>
      <c r="G466" s="7907" t="s">
        <v>18</v>
      </c>
      <c r="H466" s="7907" t="s">
        <v>18</v>
      </c>
      <c r="I466" s="7907" t="s">
        <v>916</v>
      </c>
    </row>
    <row customHeight="1" ht="11.25">
      <c r="A467" s="7907" t="s">
        <v>2276</v>
      </c>
      <c r="B467" s="7907" t="s">
        <v>14</v>
      </c>
      <c r="C467" s="7907" t="s">
        <v>2789</v>
      </c>
      <c r="D467" s="7907" t="s">
        <v>2790</v>
      </c>
      <c r="E467" s="7907" t="s">
        <v>2791</v>
      </c>
      <c r="F467" s="7907" t="s">
        <v>2628</v>
      </c>
      <c r="G467" s="7907" t="s">
        <v>18</v>
      </c>
      <c r="H467" s="7907" t="s">
        <v>18</v>
      </c>
      <c r="I467" s="7907" t="s">
        <v>916</v>
      </c>
    </row>
    <row customHeight="1" ht="11.25">
      <c r="A468" s="7907" t="s">
        <v>2276</v>
      </c>
      <c r="B468" s="7907" t="s">
        <v>14</v>
      </c>
      <c r="C468" s="7907" t="s">
        <v>2792</v>
      </c>
      <c r="D468" s="7907" t="s">
        <v>2793</v>
      </c>
      <c r="E468" s="7907" t="s">
        <v>2794</v>
      </c>
      <c r="F468" s="7907" t="s">
        <v>2399</v>
      </c>
      <c r="G468" s="7907" t="s">
        <v>18</v>
      </c>
      <c r="H468" s="7907" t="s">
        <v>18</v>
      </c>
      <c r="I468" s="7907" t="s">
        <v>916</v>
      </c>
    </row>
    <row customHeight="1" ht="11.25">
      <c r="A469" s="7907" t="s">
        <v>2276</v>
      </c>
      <c r="B469" s="7907" t="s">
        <v>14</v>
      </c>
      <c r="C469" s="7907" t="s">
        <v>2981</v>
      </c>
      <c r="D469" s="7907" t="s">
        <v>2982</v>
      </c>
      <c r="E469" s="7907" t="s">
        <v>2983</v>
      </c>
      <c r="F469" s="7907" t="s">
        <v>2423</v>
      </c>
      <c r="G469" s="7907" t="s">
        <v>2984</v>
      </c>
      <c r="H469" s="7907" t="s">
        <v>18</v>
      </c>
      <c r="I469" s="7907" t="s">
        <v>916</v>
      </c>
    </row>
    <row customHeight="1" ht="11.25">
      <c r="A470" s="7907" t="s">
        <v>2276</v>
      </c>
      <c r="B470" s="7907" t="s">
        <v>14</v>
      </c>
      <c r="C470" s="7907" t="s">
        <v>2799</v>
      </c>
      <c r="D470" s="7907" t="s">
        <v>2800</v>
      </c>
      <c r="E470" s="7907" t="s">
        <v>2801</v>
      </c>
      <c r="F470" s="7907" t="s">
        <v>2628</v>
      </c>
      <c r="G470" s="7907" t="s">
        <v>18</v>
      </c>
      <c r="H470" s="7907" t="s">
        <v>18</v>
      </c>
      <c r="I470" s="7907" t="s">
        <v>916</v>
      </c>
    </row>
    <row customHeight="1" ht="11.25">
      <c r="A471" s="7907" t="s">
        <v>2276</v>
      </c>
      <c r="B471" s="7907" t="s">
        <v>14</v>
      </c>
      <c r="C471" s="7907" t="s">
        <v>2989</v>
      </c>
      <c r="D471" s="7907" t="s">
        <v>2990</v>
      </c>
      <c r="E471" s="7907" t="s">
        <v>2991</v>
      </c>
      <c r="F471" s="7907" t="s">
        <v>2566</v>
      </c>
      <c r="G471" s="7907" t="s">
        <v>2992</v>
      </c>
      <c r="H471" s="7907" t="s">
        <v>18</v>
      </c>
      <c r="I471" s="7907" t="s">
        <v>916</v>
      </c>
    </row>
    <row customHeight="1" ht="11.25">
      <c r="A472" s="7907" t="s">
        <v>2276</v>
      </c>
      <c r="B472" s="7907" t="s">
        <v>14</v>
      </c>
      <c r="C472" s="7907" t="s">
        <v>2810</v>
      </c>
      <c r="D472" s="7907" t="s">
        <v>2811</v>
      </c>
      <c r="E472" s="7907" t="s">
        <v>2812</v>
      </c>
      <c r="F472" s="7907" t="s">
        <v>2441</v>
      </c>
      <c r="G472" s="7907" t="s">
        <v>18</v>
      </c>
      <c r="H472" s="7907" t="s">
        <v>18</v>
      </c>
      <c r="I472" s="7907" t="s">
        <v>916</v>
      </c>
    </row>
    <row customHeight="1" ht="11.25">
      <c r="A473" s="7907" t="s">
        <v>2276</v>
      </c>
      <c r="B473" s="7907" t="s">
        <v>14</v>
      </c>
      <c r="C473" s="7907" t="s">
        <v>3034</v>
      </c>
      <c r="D473" s="7907" t="s">
        <v>3035</v>
      </c>
      <c r="E473" s="7907" t="s">
        <v>3036</v>
      </c>
      <c r="F473" s="7907" t="s">
        <v>2487</v>
      </c>
      <c r="G473" s="7907" t="s">
        <v>18</v>
      </c>
      <c r="H473" s="7907" t="s">
        <v>18</v>
      </c>
      <c r="I473" s="7907" t="s">
        <v>916</v>
      </c>
    </row>
    <row customHeight="1" ht="11.25">
      <c r="A474" s="7907" t="s">
        <v>2276</v>
      </c>
      <c r="B474" s="7907" t="s">
        <v>14</v>
      </c>
      <c r="C474" s="7907" t="s">
        <v>3001</v>
      </c>
      <c r="D474" s="7907" t="s">
        <v>3002</v>
      </c>
      <c r="E474" s="7907" t="s">
        <v>3003</v>
      </c>
      <c r="F474" s="7907" t="s">
        <v>2366</v>
      </c>
      <c r="G474" s="7907" t="s">
        <v>18</v>
      </c>
      <c r="H474" s="7907" t="s">
        <v>18</v>
      </c>
      <c r="I474" s="7907" t="s">
        <v>916</v>
      </c>
    </row>
    <row customHeight="1" ht="11.25">
      <c r="A475" s="7907" t="s">
        <v>2276</v>
      </c>
      <c r="B475" s="7907" t="s">
        <v>14</v>
      </c>
      <c r="C475" s="7907" t="s">
        <v>3037</v>
      </c>
      <c r="D475" s="7907" t="s">
        <v>3038</v>
      </c>
      <c r="E475" s="7907" t="s">
        <v>3039</v>
      </c>
      <c r="F475" s="7907" t="s">
        <v>2608</v>
      </c>
      <c r="G475" s="7907" t="s">
        <v>3040</v>
      </c>
      <c r="H475" s="7907" t="s">
        <v>18</v>
      </c>
      <c r="I475" s="7907" t="s">
        <v>916</v>
      </c>
    </row>
    <row customHeight="1" ht="11.25">
      <c r="A476" s="7907" t="s">
        <v>2276</v>
      </c>
      <c r="B476" s="7907" t="s">
        <v>14</v>
      </c>
      <c r="C476" s="7907" t="s">
        <v>2818</v>
      </c>
      <c r="D476" s="7907" t="s">
        <v>2819</v>
      </c>
      <c r="E476" s="7907" t="s">
        <v>2820</v>
      </c>
      <c r="F476" s="7907" t="s">
        <v>2487</v>
      </c>
      <c r="G476" s="7907" t="s">
        <v>18</v>
      </c>
      <c r="H476" s="7907" t="s">
        <v>18</v>
      </c>
      <c r="I476" s="7907" t="s">
        <v>916</v>
      </c>
    </row>
    <row customHeight="1" ht="11.25">
      <c r="A477" s="7907" t="s">
        <v>2276</v>
      </c>
      <c r="B477" s="7907" t="s">
        <v>14</v>
      </c>
      <c r="C477" s="7907" t="s">
        <v>2824</v>
      </c>
      <c r="D477" s="7907" t="s">
        <v>2825</v>
      </c>
      <c r="E477" s="7907" t="s">
        <v>2826</v>
      </c>
      <c r="F477" s="7907" t="s">
        <v>48</v>
      </c>
      <c r="G477" s="7907" t="s">
        <v>18</v>
      </c>
      <c r="H477" s="7907" t="s">
        <v>18</v>
      </c>
      <c r="I477" s="7907" t="s">
        <v>916</v>
      </c>
    </row>
    <row customHeight="1" ht="11.25">
      <c r="A478" s="7907" t="s">
        <v>2276</v>
      </c>
      <c r="B478" s="7907" t="s">
        <v>14</v>
      </c>
      <c r="C478" s="7907" t="s">
        <v>2827</v>
      </c>
      <c r="D478" s="7907" t="s">
        <v>2828</v>
      </c>
      <c r="E478" s="7907" t="s">
        <v>2829</v>
      </c>
      <c r="F478" s="7907" t="s">
        <v>2342</v>
      </c>
      <c r="G478" s="7907" t="s">
        <v>2830</v>
      </c>
      <c r="H478" s="7907" t="s">
        <v>18</v>
      </c>
      <c r="I478" s="7907" t="s">
        <v>916</v>
      </c>
    </row>
    <row customHeight="1" ht="11.25">
      <c r="A479" s="7907" t="s">
        <v>2276</v>
      </c>
      <c r="B479" s="7907" t="s">
        <v>14</v>
      </c>
      <c r="C479" s="7907" t="s">
        <v>2834</v>
      </c>
      <c r="D479" s="7907" t="s">
        <v>2835</v>
      </c>
      <c r="E479" s="7907" t="s">
        <v>2836</v>
      </c>
      <c r="F479" s="7907" t="s">
        <v>2837</v>
      </c>
      <c r="G479" s="7907" t="s">
        <v>18</v>
      </c>
      <c r="H479" s="7907" t="s">
        <v>18</v>
      </c>
      <c r="I479" s="7907" t="s">
        <v>916</v>
      </c>
    </row>
    <row customHeight="1" ht="11.25">
      <c r="A480" s="7907" t="s">
        <v>2276</v>
      </c>
      <c r="B480" s="7907" t="s">
        <v>14</v>
      </c>
      <c r="C480" s="7907" t="s">
        <v>2845</v>
      </c>
      <c r="D480" s="7907" t="s">
        <v>2846</v>
      </c>
      <c r="E480" s="7907" t="s">
        <v>2847</v>
      </c>
      <c r="F480" s="7907" t="s">
        <v>2848</v>
      </c>
      <c r="G480" s="7907" t="s">
        <v>2849</v>
      </c>
      <c r="H480" s="7907" t="s">
        <v>18</v>
      </c>
      <c r="I480" s="7907" t="s">
        <v>916</v>
      </c>
    </row>
    <row customHeight="1" ht="11.25">
      <c r="A481" s="7907" t="s">
        <v>2276</v>
      </c>
      <c r="B481" s="7907" t="s">
        <v>14</v>
      </c>
      <c r="C481" s="7907" t="s">
        <v>2854</v>
      </c>
      <c r="D481" s="7907" t="s">
        <v>2855</v>
      </c>
      <c r="E481" s="7907" t="s">
        <v>2856</v>
      </c>
      <c r="F481" s="7907" t="s">
        <v>2449</v>
      </c>
      <c r="G481" s="7907" t="s">
        <v>18</v>
      </c>
      <c r="H481" s="7907" t="s">
        <v>18</v>
      </c>
      <c r="I481" s="7907" t="s">
        <v>916</v>
      </c>
    </row>
    <row customHeight="1" ht="11.25">
      <c r="A482" s="7907" t="s">
        <v>2276</v>
      </c>
      <c r="B482" s="7907" t="s">
        <v>14</v>
      </c>
      <c r="C482" s="7907" t="s">
        <v>2331</v>
      </c>
      <c r="D482" s="7907" t="s">
        <v>2332</v>
      </c>
      <c r="E482" s="7907" t="s">
        <v>2333</v>
      </c>
      <c r="F482" s="7907" t="s">
        <v>2329</v>
      </c>
      <c r="G482" s="7907" t="s">
        <v>2334</v>
      </c>
      <c r="H482" s="7907" t="s">
        <v>18</v>
      </c>
      <c r="I482" s="7907" t="s">
        <v>1639</v>
      </c>
    </row>
    <row customHeight="1" ht="11.25">
      <c r="A483" s="7907" t="s">
        <v>2276</v>
      </c>
      <c r="B483" s="7907" t="s">
        <v>14</v>
      </c>
      <c r="C483" s="7907" t="s">
        <v>18</v>
      </c>
      <c r="D483" s="7907" t="s">
        <v>2386</v>
      </c>
      <c r="E483" s="7907" t="s">
        <v>2387</v>
      </c>
      <c r="F483" s="7907" t="s">
        <v>48</v>
      </c>
      <c r="G483" s="7907" t="s">
        <v>18</v>
      </c>
      <c r="H483" s="7907" t="s">
        <v>18</v>
      </c>
      <c r="I483" s="7907" t="s">
        <v>1639</v>
      </c>
    </row>
    <row customHeight="1" ht="11.25">
      <c r="A484" s="7907" t="s">
        <v>2276</v>
      </c>
      <c r="B484" s="7907" t="s">
        <v>14</v>
      </c>
      <c r="C484" s="7907" t="s">
        <v>3041</v>
      </c>
      <c r="D484" s="7907" t="s">
        <v>3042</v>
      </c>
      <c r="E484" s="7907" t="s">
        <v>3043</v>
      </c>
      <c r="F484" s="7907" t="s">
        <v>2487</v>
      </c>
      <c r="G484" s="7907" t="s">
        <v>18</v>
      </c>
      <c r="H484" s="7907" t="s">
        <v>18</v>
      </c>
      <c r="I484" s="7907" t="s">
        <v>1639</v>
      </c>
    </row>
    <row customHeight="1" ht="11.25">
      <c r="A485" s="7907" t="s">
        <v>2276</v>
      </c>
      <c r="B485" s="7907" t="s">
        <v>14</v>
      </c>
      <c r="C485" s="7907" t="s">
        <v>3044</v>
      </c>
      <c r="D485" s="7907" t="s">
        <v>3045</v>
      </c>
      <c r="E485" s="7907" t="s">
        <v>3046</v>
      </c>
      <c r="F485" s="7907" t="s">
        <v>2329</v>
      </c>
      <c r="G485" s="7907" t="s">
        <v>3047</v>
      </c>
      <c r="H485" s="7907" t="s">
        <v>18</v>
      </c>
      <c r="I485" s="7907" t="s">
        <v>1639</v>
      </c>
    </row>
    <row customHeight="1" ht="11.25">
      <c r="A486" s="7907" t="s">
        <v>2276</v>
      </c>
      <c r="B486" s="7907" t="s">
        <v>14</v>
      </c>
      <c r="C486" s="7907" t="s">
        <v>3048</v>
      </c>
      <c r="D486" s="7907" t="s">
        <v>3049</v>
      </c>
      <c r="E486" s="7907" t="s">
        <v>3050</v>
      </c>
      <c r="F486" s="7907" t="s">
        <v>48</v>
      </c>
      <c r="G486" s="7907" t="s">
        <v>18</v>
      </c>
      <c r="H486" s="7907" t="s">
        <v>18</v>
      </c>
      <c r="I486" s="7907" t="s">
        <v>1639</v>
      </c>
    </row>
    <row customHeight="1" ht="11.25">
      <c r="A487" s="7907" t="s">
        <v>2276</v>
      </c>
      <c r="B487" s="7907" t="s">
        <v>14</v>
      </c>
      <c r="C487" s="7907" t="s">
        <v>3051</v>
      </c>
      <c r="D487" s="7907" t="s">
        <v>3052</v>
      </c>
      <c r="E487" s="7907" t="s">
        <v>3053</v>
      </c>
      <c r="F487" s="7907" t="s">
        <v>2449</v>
      </c>
      <c r="G487" s="7907" t="s">
        <v>18</v>
      </c>
      <c r="H487" s="7907" t="s">
        <v>18</v>
      </c>
      <c r="I487" s="7907" t="s">
        <v>1639</v>
      </c>
    </row>
    <row customHeight="1" ht="11.25">
      <c r="A488" s="7907" t="s">
        <v>2276</v>
      </c>
      <c r="B488" s="7907" t="s">
        <v>14</v>
      </c>
      <c r="C488" s="7907" t="s">
        <v>3054</v>
      </c>
      <c r="D488" s="7907" t="s">
        <v>3055</v>
      </c>
      <c r="E488" s="7907" t="s">
        <v>3056</v>
      </c>
      <c r="F488" s="7907" t="s">
        <v>2329</v>
      </c>
      <c r="G488" s="7907" t="s">
        <v>18</v>
      </c>
      <c r="H488" s="7907" t="s">
        <v>18</v>
      </c>
      <c r="I488" s="7907" t="s">
        <v>1639</v>
      </c>
    </row>
    <row customHeight="1" ht="11.25">
      <c r="A489" s="7907" t="s">
        <v>2276</v>
      </c>
      <c r="B489" s="7907" t="s">
        <v>14</v>
      </c>
      <c r="C489" s="7907" t="s">
        <v>3057</v>
      </c>
      <c r="D489" s="7907" t="s">
        <v>3058</v>
      </c>
      <c r="E489" s="7907" t="s">
        <v>3059</v>
      </c>
      <c r="F489" s="7907" t="s">
        <v>2329</v>
      </c>
      <c r="G489" s="7907" t="s">
        <v>18</v>
      </c>
      <c r="H489" s="7907" t="s">
        <v>18</v>
      </c>
      <c r="I489" s="7907" t="s">
        <v>1639</v>
      </c>
    </row>
    <row customHeight="1" ht="11.25">
      <c r="A490" s="7907" t="s">
        <v>2276</v>
      </c>
      <c r="B490" s="7907" t="s">
        <v>14</v>
      </c>
      <c r="C490" s="7907" t="s">
        <v>3060</v>
      </c>
      <c r="D490" s="7907" t="s">
        <v>3061</v>
      </c>
      <c r="E490" s="7907" t="s">
        <v>3062</v>
      </c>
      <c r="F490" s="7907" t="s">
        <v>2391</v>
      </c>
      <c r="G490" s="7907" t="s">
        <v>18</v>
      </c>
      <c r="H490" s="7907" t="s">
        <v>18</v>
      </c>
      <c r="I490" s="7907" t="s">
        <v>1639</v>
      </c>
    </row>
    <row customHeight="1" ht="11.25">
      <c r="A491" s="7907" t="s">
        <v>2276</v>
      </c>
      <c r="B491" s="7907" t="s">
        <v>14</v>
      </c>
      <c r="C491" s="7907" t="s">
        <v>2743</v>
      </c>
      <c r="D491" s="7907" t="s">
        <v>2744</v>
      </c>
      <c r="E491" s="7907" t="s">
        <v>2745</v>
      </c>
      <c r="F491" s="7907" t="s">
        <v>2329</v>
      </c>
      <c r="G491" s="7907" t="s">
        <v>2746</v>
      </c>
      <c r="H491" s="7907" t="s">
        <v>18</v>
      </c>
      <c r="I491" s="7907" t="s">
        <v>1639</v>
      </c>
    </row>
    <row customHeight="1" ht="11.25">
      <c r="A492" s="7907" t="s">
        <v>2276</v>
      </c>
      <c r="B492" s="7907" t="s">
        <v>14</v>
      </c>
      <c r="C492" s="7907" t="s">
        <v>3063</v>
      </c>
      <c r="D492" s="7907" t="s">
        <v>3064</v>
      </c>
      <c r="E492" s="7907" t="s">
        <v>3065</v>
      </c>
      <c r="F492" s="7907" t="s">
        <v>2338</v>
      </c>
      <c r="G492" s="7907" t="s">
        <v>18</v>
      </c>
      <c r="H492" s="7907" t="s">
        <v>18</v>
      </c>
      <c r="I492" s="7907" t="s">
        <v>1639</v>
      </c>
    </row>
    <row customHeight="1" ht="11.25">
      <c r="A493" s="7907" t="s">
        <v>2276</v>
      </c>
      <c r="B493" s="7907" t="s">
        <v>14</v>
      </c>
      <c r="C493" s="7907" t="s">
        <v>3066</v>
      </c>
      <c r="D493" s="7907" t="s">
        <v>3067</v>
      </c>
      <c r="E493" s="7907" t="s">
        <v>3068</v>
      </c>
      <c r="F493" s="7907" t="s">
        <v>2566</v>
      </c>
      <c r="G493" s="7907" t="s">
        <v>3069</v>
      </c>
      <c r="H493" s="7907" t="s">
        <v>18</v>
      </c>
      <c r="I493" s="7907" t="s">
        <v>1639</v>
      </c>
    </row>
    <row customHeight="1" ht="11.25">
      <c r="A494" s="7907" t="s">
        <v>2276</v>
      </c>
      <c r="B494" s="7907" t="s">
        <v>14</v>
      </c>
      <c r="C494" s="7907" t="s">
        <v>3070</v>
      </c>
      <c r="D494" s="7907" t="s">
        <v>3071</v>
      </c>
      <c r="E494" s="7907" t="s">
        <v>3072</v>
      </c>
      <c r="F494" s="7907" t="s">
        <v>48</v>
      </c>
      <c r="G494" s="7907" t="s">
        <v>3073</v>
      </c>
      <c r="H494" s="7907" t="s">
        <v>18</v>
      </c>
      <c r="I494" s="7907" t="s">
        <v>1639</v>
      </c>
    </row>
    <row customHeight="1" ht="11.25">
      <c r="A495" s="7907" t="s">
        <v>2276</v>
      </c>
      <c r="B495" s="7907" t="s">
        <v>14</v>
      </c>
      <c r="C495" s="7907" t="s">
        <v>3074</v>
      </c>
      <c r="D495" s="7907" t="s">
        <v>3075</v>
      </c>
      <c r="E495" s="7907" t="s">
        <v>3076</v>
      </c>
      <c r="F495" s="7907" t="s">
        <v>2566</v>
      </c>
      <c r="G495" s="7907" t="s">
        <v>3077</v>
      </c>
      <c r="H495" s="7907" t="s">
        <v>18</v>
      </c>
      <c r="I495" s="7907" t="s">
        <v>1639</v>
      </c>
    </row>
    <row customHeight="1" ht="11.25">
      <c r="A496" s="7907" t="s">
        <v>2276</v>
      </c>
      <c r="B496" s="7907" t="s">
        <v>14</v>
      </c>
      <c r="C496" s="7907" t="s">
        <v>3078</v>
      </c>
      <c r="D496" s="7907" t="s">
        <v>3079</v>
      </c>
      <c r="E496" s="7907" t="s">
        <v>3080</v>
      </c>
      <c r="F496" s="7907" t="s">
        <v>2338</v>
      </c>
      <c r="G496" s="7907" t="s">
        <v>18</v>
      </c>
      <c r="H496" s="7907" t="s">
        <v>18</v>
      </c>
      <c r="I496" s="7907" t="s">
        <v>1639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38159-BF39-CCEC-7875-6C8C429F8DA1}" mc:Ignorable="x14ac xr xr2 xr3">
  <sheetPr>
    <tabColor rgb="FFFFCC99"/>
  </sheetPr>
  <dimension ref="A1:G242"/>
  <sheetViews>
    <sheetView topLeftCell="A1" showGridLines="0" workbookViewId="0">
      <selection activeCell="A1" sqref="A1"/>
    </sheetView>
  </sheetViews>
  <sheetFormatPr customHeight="1" defaultRowHeight="11.25"/>
  <cols>
    <col min="1" max="1" style="13600" width="9.140625"/>
  </cols>
  <sheetData>
    <row customHeight="1" ht="11.25">
      <c r="A1" s="503" t="s">
        <v>3081</v>
      </c>
      <c r="B1" s="192" t="s">
        <v>3082</v>
      </c>
      <c r="C1" s="192" t="s">
        <v>3083</v>
      </c>
      <c r="D1" s="192" t="s">
        <v>3084</v>
      </c>
      <c r="E1" s="96" t="s">
        <v>3085</v>
      </c>
      <c r="F1" s="96" t="s">
        <v>3086</v>
      </c>
      <c r="G1" s="96" t="s">
        <v>3087</v>
      </c>
    </row>
    <row customHeight="1" ht="11.25">
      <c r="A2" s="503" t="s">
        <v>14</v>
      </c>
      <c r="B2" s="0" t="s">
        <v>96</v>
      </c>
      <c r="C2" s="0" t="s">
        <v>3088</v>
      </c>
      <c r="D2" s="0" t="s">
        <v>96</v>
      </c>
      <c r="E2" s="0" t="s">
        <v>3088</v>
      </c>
      <c r="F2" s="0" t="s">
        <v>3089</v>
      </c>
      <c r="G2" s="0" t="s">
        <v>165</v>
      </c>
    </row>
    <row customHeight="1" ht="11.25">
      <c r="A3" s="503" t="s">
        <v>14</v>
      </c>
      <c r="B3" s="0" t="s">
        <v>96</v>
      </c>
      <c r="C3" s="0" t="s">
        <v>3088</v>
      </c>
      <c r="D3" s="0" t="s">
        <v>3090</v>
      </c>
      <c r="E3" s="0" t="s">
        <v>3091</v>
      </c>
      <c r="F3" s="0" t="s">
        <v>3092</v>
      </c>
      <c r="G3" s="0" t="s">
        <v>100</v>
      </c>
    </row>
    <row customHeight="1" ht="11.25">
      <c r="A4" s="503" t="s">
        <v>14</v>
      </c>
      <c r="B4" s="0" t="s">
        <v>96</v>
      </c>
      <c r="C4" s="0" t="s">
        <v>3088</v>
      </c>
      <c r="D4" s="0" t="s">
        <v>3093</v>
      </c>
      <c r="E4" s="0" t="s">
        <v>3094</v>
      </c>
      <c r="F4" s="0" t="s">
        <v>3092</v>
      </c>
      <c r="G4" s="0" t="s">
        <v>87</v>
      </c>
    </row>
    <row customHeight="1" ht="11.25">
      <c r="A5" s="503" t="s">
        <v>14</v>
      </c>
      <c r="B5" s="0" t="s">
        <v>96</v>
      </c>
      <c r="C5" s="0" t="s">
        <v>3088</v>
      </c>
      <c r="D5" s="0" t="s">
        <v>97</v>
      </c>
      <c r="E5" s="0" t="s">
        <v>98</v>
      </c>
      <c r="F5" s="0" t="s">
        <v>3095</v>
      </c>
      <c r="G5" s="0" t="s">
        <v>88</v>
      </c>
    </row>
    <row customHeight="1" ht="11.25">
      <c r="A6" s="503" t="s">
        <v>14</v>
      </c>
      <c r="B6" s="0" t="s">
        <v>96</v>
      </c>
      <c r="C6" s="0" t="s">
        <v>3088</v>
      </c>
      <c r="D6" s="0" t="s">
        <v>3096</v>
      </c>
      <c r="E6" s="0" t="s">
        <v>3097</v>
      </c>
      <c r="F6" s="0" t="s">
        <v>3092</v>
      </c>
      <c r="G6" s="0" t="s">
        <v>119</v>
      </c>
    </row>
    <row customHeight="1" ht="11.25">
      <c r="A7" s="503" t="s">
        <v>14</v>
      </c>
      <c r="B7" s="0" t="s">
        <v>96</v>
      </c>
      <c r="C7" s="0" t="s">
        <v>3088</v>
      </c>
      <c r="D7" s="0" t="s">
        <v>3098</v>
      </c>
      <c r="E7" s="0" t="s">
        <v>3099</v>
      </c>
      <c r="F7" s="0" t="s">
        <v>3092</v>
      </c>
      <c r="G7" s="0" t="s">
        <v>89</v>
      </c>
    </row>
    <row customHeight="1" ht="11.25">
      <c r="A8" s="503" t="s">
        <v>14</v>
      </c>
      <c r="B8" s="0" t="s">
        <v>96</v>
      </c>
      <c r="C8" s="0" t="s">
        <v>3088</v>
      </c>
      <c r="D8" s="0" t="s">
        <v>3100</v>
      </c>
      <c r="E8" s="0" t="s">
        <v>3101</v>
      </c>
      <c r="F8" s="0" t="s">
        <v>3092</v>
      </c>
      <c r="G8" s="0" t="s">
        <v>90</v>
      </c>
    </row>
    <row customHeight="1" ht="11.25">
      <c r="A9" s="503" t="s">
        <v>14</v>
      </c>
      <c r="B9" s="0" t="s">
        <v>96</v>
      </c>
      <c r="C9" s="0" t="s">
        <v>3088</v>
      </c>
      <c r="D9" s="0" t="s">
        <v>3102</v>
      </c>
      <c r="E9" s="0" t="s">
        <v>3103</v>
      </c>
      <c r="F9" s="0" t="s">
        <v>3092</v>
      </c>
      <c r="G9" s="0" t="s">
        <v>140</v>
      </c>
    </row>
    <row customHeight="1" ht="11.25">
      <c r="A10" s="503" t="s">
        <v>14</v>
      </c>
      <c r="B10" s="0" t="s">
        <v>96</v>
      </c>
      <c r="C10" s="0" t="s">
        <v>3088</v>
      </c>
      <c r="D10" s="0" t="s">
        <v>3104</v>
      </c>
      <c r="E10" s="0" t="s">
        <v>3105</v>
      </c>
      <c r="F10" s="0" t="s">
        <v>3092</v>
      </c>
      <c r="G10" s="0" t="s">
        <v>151</v>
      </c>
    </row>
    <row customHeight="1" ht="11.25">
      <c r="A11" s="503" t="s">
        <v>14</v>
      </c>
      <c r="B11" s="0" t="s">
        <v>96</v>
      </c>
      <c r="C11" s="0" t="s">
        <v>3088</v>
      </c>
      <c r="D11" s="0" t="s">
        <v>3106</v>
      </c>
      <c r="E11" s="0" t="s">
        <v>3107</v>
      </c>
      <c r="F11" s="0" t="s">
        <v>3108</v>
      </c>
      <c r="G11" s="0" t="s">
        <v>229</v>
      </c>
    </row>
    <row customHeight="1" ht="11.25">
      <c r="A12" s="503" t="s">
        <v>14</v>
      </c>
      <c r="B12" s="0" t="s">
        <v>96</v>
      </c>
      <c r="C12" s="0" t="s">
        <v>3088</v>
      </c>
      <c r="D12" s="0" t="s">
        <v>3109</v>
      </c>
      <c r="E12" s="0" t="s">
        <v>3110</v>
      </c>
      <c r="F12" s="0" t="s">
        <v>3092</v>
      </c>
      <c r="G12" s="0" t="s">
        <v>230</v>
      </c>
    </row>
    <row customHeight="1" ht="11.25">
      <c r="A13" s="503" t="s">
        <v>14</v>
      </c>
      <c r="B13" s="0" t="s">
        <v>3111</v>
      </c>
      <c r="C13" s="0" t="s">
        <v>3112</v>
      </c>
      <c r="D13" s="0" t="s">
        <v>3113</v>
      </c>
      <c r="E13" s="0" t="s">
        <v>3114</v>
      </c>
      <c r="F13" s="0" t="s">
        <v>3092</v>
      </c>
      <c r="G13" s="0" t="s">
        <v>231</v>
      </c>
    </row>
    <row customHeight="1" ht="11.25">
      <c r="A14" s="503" t="s">
        <v>14</v>
      </c>
      <c r="B14" s="0" t="s">
        <v>3111</v>
      </c>
      <c r="C14" s="0" t="s">
        <v>3112</v>
      </c>
      <c r="D14" s="0" t="s">
        <v>3111</v>
      </c>
      <c r="E14" s="0" t="s">
        <v>3112</v>
      </c>
      <c r="F14" s="0" t="s">
        <v>3089</v>
      </c>
      <c r="G14" s="0" t="s">
        <v>232</v>
      </c>
    </row>
    <row customHeight="1" ht="11.25">
      <c r="A15" s="503" t="s">
        <v>14</v>
      </c>
      <c r="B15" s="0" t="s">
        <v>3111</v>
      </c>
      <c r="C15" s="0" t="s">
        <v>3112</v>
      </c>
      <c r="D15" s="0" t="s">
        <v>3115</v>
      </c>
      <c r="E15" s="0" t="s">
        <v>3116</v>
      </c>
      <c r="F15" s="0" t="s">
        <v>3092</v>
      </c>
      <c r="G15" s="0" t="s">
        <v>233</v>
      </c>
    </row>
    <row customHeight="1" ht="11.25">
      <c r="A16" s="503" t="s">
        <v>14</v>
      </c>
      <c r="B16" s="0" t="s">
        <v>3111</v>
      </c>
      <c r="C16" s="0" t="s">
        <v>3112</v>
      </c>
      <c r="D16" s="0" t="s">
        <v>3117</v>
      </c>
      <c r="E16" s="0" t="s">
        <v>3118</v>
      </c>
      <c r="F16" s="0" t="s">
        <v>3119</v>
      </c>
      <c r="G16" s="0" t="s">
        <v>1483</v>
      </c>
    </row>
    <row customHeight="1" ht="11.25">
      <c r="A17" s="503" t="s">
        <v>14</v>
      </c>
      <c r="B17" s="0" t="s">
        <v>3111</v>
      </c>
      <c r="C17" s="0" t="s">
        <v>3112</v>
      </c>
      <c r="D17" s="0" t="s">
        <v>3120</v>
      </c>
      <c r="E17" s="0" t="s">
        <v>3121</v>
      </c>
      <c r="F17" s="0" t="s">
        <v>3092</v>
      </c>
      <c r="G17" s="0" t="s">
        <v>1489</v>
      </c>
    </row>
    <row customHeight="1" ht="11.25">
      <c r="A18" s="503" t="s">
        <v>14</v>
      </c>
      <c r="B18" s="0" t="s">
        <v>3111</v>
      </c>
      <c r="C18" s="0" t="s">
        <v>3112</v>
      </c>
      <c r="D18" s="0" t="s">
        <v>3122</v>
      </c>
      <c r="E18" s="0" t="s">
        <v>3123</v>
      </c>
      <c r="F18" s="0" t="s">
        <v>3092</v>
      </c>
      <c r="G18" s="0" t="s">
        <v>1500</v>
      </c>
    </row>
    <row customHeight="1" ht="11.25">
      <c r="A19" s="503" t="s">
        <v>14</v>
      </c>
      <c r="B19" s="0" t="s">
        <v>3124</v>
      </c>
      <c r="C19" s="0" t="s">
        <v>3125</v>
      </c>
      <c r="D19" s="0" t="s">
        <v>3124</v>
      </c>
      <c r="E19" s="0" t="s">
        <v>3125</v>
      </c>
      <c r="F19" s="0" t="s">
        <v>3089</v>
      </c>
      <c r="G19" s="0" t="s">
        <v>1514</v>
      </c>
    </row>
    <row customHeight="1" ht="11.25">
      <c r="A20" s="503" t="s">
        <v>14</v>
      </c>
      <c r="B20" s="0" t="s">
        <v>3124</v>
      </c>
      <c r="C20" s="0" t="s">
        <v>3125</v>
      </c>
      <c r="D20" s="0" t="s">
        <v>3126</v>
      </c>
      <c r="E20" s="0" t="s">
        <v>3127</v>
      </c>
      <c r="F20" s="0" t="s">
        <v>3092</v>
      </c>
      <c r="G20" s="0" t="s">
        <v>1526</v>
      </c>
    </row>
    <row customHeight="1" ht="11.25">
      <c r="A21" s="503" t="s">
        <v>14</v>
      </c>
      <c r="B21" s="0" t="s">
        <v>3124</v>
      </c>
      <c r="C21" s="0" t="s">
        <v>3125</v>
      </c>
      <c r="D21" s="0" t="s">
        <v>3128</v>
      </c>
      <c r="E21" s="0" t="s">
        <v>3129</v>
      </c>
      <c r="F21" s="0" t="s">
        <v>3095</v>
      </c>
      <c r="G21" s="0" t="s">
        <v>1535</v>
      </c>
    </row>
    <row customHeight="1" ht="11.25">
      <c r="A22" s="503" t="s">
        <v>14</v>
      </c>
      <c r="B22" s="0" t="s">
        <v>3124</v>
      </c>
      <c r="C22" s="0" t="s">
        <v>3125</v>
      </c>
      <c r="D22" s="0" t="s">
        <v>3130</v>
      </c>
      <c r="E22" s="0" t="s">
        <v>3131</v>
      </c>
      <c r="F22" s="0" t="s">
        <v>3092</v>
      </c>
      <c r="G22" s="0" t="s">
        <v>1551</v>
      </c>
    </row>
    <row customHeight="1" ht="11.25">
      <c r="A23" s="503" t="s">
        <v>14</v>
      </c>
      <c r="B23" s="0" t="s">
        <v>3124</v>
      </c>
      <c r="C23" s="0" t="s">
        <v>3125</v>
      </c>
      <c r="D23" s="0" t="s">
        <v>3132</v>
      </c>
      <c r="E23" s="0" t="s">
        <v>3133</v>
      </c>
      <c r="F23" s="0" t="s">
        <v>3092</v>
      </c>
      <c r="G23" s="0" t="s">
        <v>1558</v>
      </c>
    </row>
    <row customHeight="1" ht="11.25">
      <c r="A24" s="503" t="s">
        <v>14</v>
      </c>
      <c r="B24" s="0" t="s">
        <v>3124</v>
      </c>
      <c r="C24" s="0" t="s">
        <v>3125</v>
      </c>
      <c r="D24" s="0" t="s">
        <v>3134</v>
      </c>
      <c r="E24" s="0" t="s">
        <v>3135</v>
      </c>
      <c r="F24" s="0" t="s">
        <v>3092</v>
      </c>
      <c r="G24" s="0" t="s">
        <v>1566</v>
      </c>
    </row>
    <row customHeight="1" ht="11.25">
      <c r="A25" s="503" t="s">
        <v>14</v>
      </c>
      <c r="B25" s="0" t="s">
        <v>3124</v>
      </c>
      <c r="C25" s="0" t="s">
        <v>3125</v>
      </c>
      <c r="D25" s="0" t="s">
        <v>3136</v>
      </c>
      <c r="E25" s="0" t="s">
        <v>3137</v>
      </c>
      <c r="F25" s="0" t="s">
        <v>3092</v>
      </c>
      <c r="G25" s="0" t="s">
        <v>1573</v>
      </c>
    </row>
    <row customHeight="1" ht="11.25">
      <c r="A26" s="503" t="s">
        <v>14</v>
      </c>
      <c r="B26" s="0" t="s">
        <v>3124</v>
      </c>
      <c r="C26" s="0" t="s">
        <v>3125</v>
      </c>
      <c r="D26" s="0" t="s">
        <v>3138</v>
      </c>
      <c r="E26" s="0" t="s">
        <v>3139</v>
      </c>
      <c r="F26" s="0" t="s">
        <v>3092</v>
      </c>
      <c r="G26" s="0" t="s">
        <v>1577</v>
      </c>
    </row>
    <row customHeight="1" ht="11.25">
      <c r="A27" s="503" t="s">
        <v>14</v>
      </c>
      <c r="B27" s="0" t="s">
        <v>3124</v>
      </c>
      <c r="C27" s="0" t="s">
        <v>3125</v>
      </c>
      <c r="D27" s="0" t="s">
        <v>3140</v>
      </c>
      <c r="E27" s="0" t="s">
        <v>3141</v>
      </c>
      <c r="F27" s="0" t="s">
        <v>3092</v>
      </c>
      <c r="G27" s="0" t="s">
        <v>1582</v>
      </c>
    </row>
    <row customHeight="1" ht="11.25">
      <c r="A28" s="503" t="s">
        <v>14</v>
      </c>
      <c r="B28" s="0" t="s">
        <v>3124</v>
      </c>
      <c r="C28" s="0" t="s">
        <v>3125</v>
      </c>
      <c r="D28" s="0" t="s">
        <v>3142</v>
      </c>
      <c r="E28" s="0" t="s">
        <v>3143</v>
      </c>
      <c r="F28" s="0" t="s">
        <v>3092</v>
      </c>
      <c r="G28" s="0" t="s">
        <v>1590</v>
      </c>
    </row>
    <row customHeight="1" ht="11.25">
      <c r="A29" s="503" t="s">
        <v>14</v>
      </c>
      <c r="B29" s="0" t="s">
        <v>3144</v>
      </c>
      <c r="C29" s="0" t="s">
        <v>3145</v>
      </c>
      <c r="D29" s="0" t="s">
        <v>3144</v>
      </c>
      <c r="E29" s="0" t="s">
        <v>3145</v>
      </c>
      <c r="F29" s="0" t="s">
        <v>3089</v>
      </c>
      <c r="G29" s="0" t="s">
        <v>1592</v>
      </c>
    </row>
    <row customHeight="1" ht="11.25">
      <c r="A30" s="503" t="s">
        <v>14</v>
      </c>
      <c r="B30" s="0" t="s">
        <v>3144</v>
      </c>
      <c r="C30" s="0" t="s">
        <v>3145</v>
      </c>
      <c r="D30" s="0" t="s">
        <v>3146</v>
      </c>
      <c r="E30" s="0" t="s">
        <v>3147</v>
      </c>
      <c r="F30" s="0" t="s">
        <v>3092</v>
      </c>
      <c r="G30" s="0" t="s">
        <v>1595</v>
      </c>
    </row>
    <row customHeight="1" ht="11.25">
      <c r="A31" s="503" t="s">
        <v>14</v>
      </c>
      <c r="B31" s="0" t="s">
        <v>3144</v>
      </c>
      <c r="C31" s="0" t="s">
        <v>3145</v>
      </c>
      <c r="D31" s="0" t="s">
        <v>3148</v>
      </c>
      <c r="E31" s="0" t="s">
        <v>3149</v>
      </c>
      <c r="F31" s="0" t="s">
        <v>3092</v>
      </c>
      <c r="G31" s="0" t="s">
        <v>1601</v>
      </c>
    </row>
    <row customHeight="1" ht="11.25">
      <c r="A32" s="503" t="s">
        <v>14</v>
      </c>
      <c r="B32" s="0" t="s">
        <v>3144</v>
      </c>
      <c r="C32" s="0" t="s">
        <v>3145</v>
      </c>
      <c r="D32" s="0" t="s">
        <v>3150</v>
      </c>
      <c r="E32" s="0" t="s">
        <v>3151</v>
      </c>
      <c r="F32" s="0" t="s">
        <v>3092</v>
      </c>
      <c r="G32" s="0" t="s">
        <v>1603</v>
      </c>
    </row>
    <row customHeight="1" ht="11.25">
      <c r="A33" s="503" t="s">
        <v>14</v>
      </c>
      <c r="B33" s="0" t="s">
        <v>3144</v>
      </c>
      <c r="C33" s="0" t="s">
        <v>3145</v>
      </c>
      <c r="D33" s="0" t="s">
        <v>3152</v>
      </c>
      <c r="E33" s="0" t="s">
        <v>3153</v>
      </c>
      <c r="F33" s="0" t="s">
        <v>3108</v>
      </c>
      <c r="G33" s="0" t="s">
        <v>1605</v>
      </c>
    </row>
    <row customHeight="1" ht="11.25">
      <c r="A34" s="503" t="s">
        <v>14</v>
      </c>
      <c r="B34" s="0" t="s">
        <v>3144</v>
      </c>
      <c r="C34" s="0" t="s">
        <v>3145</v>
      </c>
      <c r="D34" s="0" t="s">
        <v>3154</v>
      </c>
      <c r="E34" s="0" t="s">
        <v>3155</v>
      </c>
      <c r="F34" s="0" t="s">
        <v>3108</v>
      </c>
      <c r="G34" s="0" t="s">
        <v>1607</v>
      </c>
    </row>
    <row customHeight="1" ht="11.25">
      <c r="A35" s="503" t="s">
        <v>14</v>
      </c>
      <c r="B35" s="0" t="s">
        <v>3144</v>
      </c>
      <c r="C35" s="0" t="s">
        <v>3145</v>
      </c>
      <c r="D35" s="0" t="s">
        <v>3156</v>
      </c>
      <c r="E35" s="0" t="s">
        <v>3157</v>
      </c>
      <c r="F35" s="0" t="s">
        <v>3108</v>
      </c>
      <c r="G35" s="0" t="s">
        <v>1612</v>
      </c>
    </row>
    <row customHeight="1" ht="11.25">
      <c r="A36" s="503" t="s">
        <v>14</v>
      </c>
      <c r="B36" s="0" t="s">
        <v>3144</v>
      </c>
      <c r="C36" s="0" t="s">
        <v>3145</v>
      </c>
      <c r="D36" s="0" t="s">
        <v>3158</v>
      </c>
      <c r="E36" s="0" t="s">
        <v>3159</v>
      </c>
      <c r="F36" s="0" t="s">
        <v>3092</v>
      </c>
      <c r="G36" s="0" t="s">
        <v>1617</v>
      </c>
    </row>
    <row customHeight="1" ht="11.25">
      <c r="A37" s="503" t="s">
        <v>14</v>
      </c>
      <c r="B37" s="0" t="s">
        <v>3144</v>
      </c>
      <c r="C37" s="0" t="s">
        <v>3145</v>
      </c>
      <c r="D37" s="0" t="s">
        <v>3160</v>
      </c>
      <c r="E37" s="0" t="s">
        <v>3161</v>
      </c>
      <c r="F37" s="0" t="s">
        <v>3092</v>
      </c>
      <c r="G37" s="0" t="s">
        <v>1621</v>
      </c>
    </row>
    <row customHeight="1" ht="11.25">
      <c r="A38" s="503" t="s">
        <v>14</v>
      </c>
      <c r="B38" s="0" t="s">
        <v>3144</v>
      </c>
      <c r="C38" s="0" t="s">
        <v>3145</v>
      </c>
      <c r="D38" s="0" t="s">
        <v>3162</v>
      </c>
      <c r="E38" s="0" t="s">
        <v>3163</v>
      </c>
      <c r="F38" s="0" t="s">
        <v>3092</v>
      </c>
      <c r="G38" s="0" t="s">
        <v>1629</v>
      </c>
    </row>
    <row customHeight="1" ht="11.25">
      <c r="A39" s="503" t="s">
        <v>14</v>
      </c>
      <c r="B39" s="0" t="s">
        <v>3144</v>
      </c>
      <c r="C39" s="0" t="s">
        <v>3145</v>
      </c>
      <c r="D39" s="0" t="s">
        <v>3164</v>
      </c>
      <c r="E39" s="0" t="s">
        <v>3165</v>
      </c>
      <c r="F39" s="0" t="s">
        <v>3092</v>
      </c>
      <c r="G39" s="0" t="s">
        <v>1635</v>
      </c>
    </row>
    <row customHeight="1" ht="11.25">
      <c r="A40" s="503" t="s">
        <v>14</v>
      </c>
      <c r="B40" s="0" t="s">
        <v>122</v>
      </c>
      <c r="C40" s="0" t="s">
        <v>3166</v>
      </c>
      <c r="D40" s="0" t="s">
        <v>3167</v>
      </c>
      <c r="E40" s="0" t="s">
        <v>3168</v>
      </c>
      <c r="F40" s="0" t="s">
        <v>3092</v>
      </c>
      <c r="G40" s="0" t="s">
        <v>1640</v>
      </c>
    </row>
    <row customHeight="1" ht="11.25">
      <c r="A41" s="503" t="s">
        <v>14</v>
      </c>
      <c r="B41" s="0" t="s">
        <v>122</v>
      </c>
      <c r="C41" s="0" t="s">
        <v>3166</v>
      </c>
      <c r="D41" s="0" t="s">
        <v>3169</v>
      </c>
      <c r="E41" s="0" t="s">
        <v>3170</v>
      </c>
      <c r="F41" s="0" t="s">
        <v>3092</v>
      </c>
      <c r="G41" s="0" t="s">
        <v>1644</v>
      </c>
    </row>
    <row customHeight="1" ht="11.25">
      <c r="A42" s="503" t="s">
        <v>14</v>
      </c>
      <c r="B42" s="0" t="s">
        <v>122</v>
      </c>
      <c r="C42" s="0" t="s">
        <v>3166</v>
      </c>
      <c r="D42" s="0" t="s">
        <v>122</v>
      </c>
      <c r="E42" s="0" t="s">
        <v>3166</v>
      </c>
      <c r="F42" s="0" t="s">
        <v>3089</v>
      </c>
      <c r="G42" s="0" t="s">
        <v>1647</v>
      </c>
    </row>
    <row customHeight="1" ht="11.25">
      <c r="A43" s="503" t="s">
        <v>14</v>
      </c>
      <c r="B43" s="0" t="s">
        <v>122</v>
      </c>
      <c r="C43" s="0" t="s">
        <v>3166</v>
      </c>
      <c r="D43" s="0" t="s">
        <v>3171</v>
      </c>
      <c r="E43" s="0" t="s">
        <v>3172</v>
      </c>
      <c r="F43" s="0" t="s">
        <v>3092</v>
      </c>
      <c r="G43" s="0" t="s">
        <v>1654</v>
      </c>
    </row>
    <row customHeight="1" ht="11.25">
      <c r="A44" s="503" t="s">
        <v>14</v>
      </c>
      <c r="B44" s="0" t="s">
        <v>122</v>
      </c>
      <c r="C44" s="0" t="s">
        <v>3166</v>
      </c>
      <c r="D44" s="0" t="s">
        <v>3173</v>
      </c>
      <c r="E44" s="0" t="s">
        <v>3174</v>
      </c>
      <c r="F44" s="0" t="s">
        <v>3119</v>
      </c>
      <c r="G44" s="0" t="s">
        <v>1663</v>
      </c>
    </row>
    <row customHeight="1" ht="11.25">
      <c r="A45" s="503" t="s">
        <v>14</v>
      </c>
      <c r="B45" s="0" t="s">
        <v>122</v>
      </c>
      <c r="C45" s="0" t="s">
        <v>3166</v>
      </c>
      <c r="D45" s="0" t="s">
        <v>3175</v>
      </c>
      <c r="E45" s="0" t="s">
        <v>3176</v>
      </c>
      <c r="F45" s="0" t="s">
        <v>3108</v>
      </c>
      <c r="G45" s="0" t="s">
        <v>1668</v>
      </c>
    </row>
    <row customHeight="1" ht="11.25">
      <c r="A46" s="503" t="s">
        <v>14</v>
      </c>
      <c r="B46" s="0" t="s">
        <v>122</v>
      </c>
      <c r="C46" s="0" t="s">
        <v>3166</v>
      </c>
      <c r="D46" s="0" t="s">
        <v>123</v>
      </c>
      <c r="E46" s="0" t="s">
        <v>124</v>
      </c>
      <c r="F46" s="0" t="s">
        <v>3108</v>
      </c>
      <c r="G46" s="0" t="s">
        <v>121</v>
      </c>
    </row>
    <row customHeight="1" ht="11.25">
      <c r="A47" s="503" t="s">
        <v>14</v>
      </c>
      <c r="B47" s="0" t="s">
        <v>122</v>
      </c>
      <c r="C47" s="0" t="s">
        <v>3166</v>
      </c>
      <c r="D47" s="0" t="s">
        <v>3177</v>
      </c>
      <c r="E47" s="0" t="s">
        <v>3178</v>
      </c>
      <c r="F47" s="0" t="s">
        <v>3092</v>
      </c>
      <c r="G47" s="0" t="s">
        <v>1676</v>
      </c>
    </row>
    <row customHeight="1" ht="11.25">
      <c r="A48" s="503" t="s">
        <v>14</v>
      </c>
      <c r="B48" s="0" t="s">
        <v>122</v>
      </c>
      <c r="C48" s="0" t="s">
        <v>3166</v>
      </c>
      <c r="D48" s="0" t="s">
        <v>3179</v>
      </c>
      <c r="E48" s="0" t="s">
        <v>3180</v>
      </c>
      <c r="F48" s="0" t="s">
        <v>3092</v>
      </c>
      <c r="G48" s="0" t="s">
        <v>1681</v>
      </c>
    </row>
    <row customHeight="1" ht="11.25">
      <c r="A49" s="503" t="s">
        <v>14</v>
      </c>
      <c r="B49" s="0" t="s">
        <v>122</v>
      </c>
      <c r="C49" s="0" t="s">
        <v>3166</v>
      </c>
      <c r="D49" s="0" t="s">
        <v>3181</v>
      </c>
      <c r="E49" s="0" t="s">
        <v>3182</v>
      </c>
      <c r="F49" s="0" t="s">
        <v>3092</v>
      </c>
      <c r="G49" s="0" t="s">
        <v>1684</v>
      </c>
    </row>
    <row customHeight="1" ht="11.25">
      <c r="A50" s="503" t="s">
        <v>14</v>
      </c>
      <c r="B50" s="0" t="s">
        <v>122</v>
      </c>
      <c r="C50" s="0" t="s">
        <v>3166</v>
      </c>
      <c r="D50" s="0" t="s">
        <v>3183</v>
      </c>
      <c r="E50" s="0" t="s">
        <v>3184</v>
      </c>
      <c r="F50" s="0" t="s">
        <v>3092</v>
      </c>
      <c r="G50" s="0" t="s">
        <v>1688</v>
      </c>
    </row>
    <row customHeight="1" ht="11.25">
      <c r="A51" s="503" t="s">
        <v>14</v>
      </c>
      <c r="B51" s="0" t="s">
        <v>122</v>
      </c>
      <c r="C51" s="0" t="s">
        <v>3166</v>
      </c>
      <c r="D51" s="0" t="s">
        <v>3185</v>
      </c>
      <c r="E51" s="0" t="s">
        <v>3186</v>
      </c>
      <c r="F51" s="0" t="s">
        <v>3092</v>
      </c>
      <c r="G51" s="0" t="s">
        <v>1693</v>
      </c>
    </row>
    <row customHeight="1" ht="11.25">
      <c r="A52" s="503" t="s">
        <v>14</v>
      </c>
      <c r="B52" s="0" t="s">
        <v>122</v>
      </c>
      <c r="C52" s="0" t="s">
        <v>3166</v>
      </c>
      <c r="D52" s="0" t="s">
        <v>3187</v>
      </c>
      <c r="E52" s="0" t="s">
        <v>3188</v>
      </c>
      <c r="F52" s="0" t="s">
        <v>3092</v>
      </c>
      <c r="G52" s="0" t="s">
        <v>1697</v>
      </c>
    </row>
    <row customHeight="1" ht="11.25">
      <c r="A53" s="503" t="s">
        <v>14</v>
      </c>
      <c r="B53" s="0" t="s">
        <v>122</v>
      </c>
      <c r="C53" s="0" t="s">
        <v>3166</v>
      </c>
      <c r="D53" s="0" t="s">
        <v>3189</v>
      </c>
      <c r="E53" s="0" t="s">
        <v>3190</v>
      </c>
      <c r="F53" s="0" t="s">
        <v>3092</v>
      </c>
      <c r="G53" s="0" t="s">
        <v>1699</v>
      </c>
    </row>
    <row customHeight="1" ht="11.25">
      <c r="A54" s="503" t="s">
        <v>14</v>
      </c>
      <c r="B54" s="0" t="s">
        <v>122</v>
      </c>
      <c r="C54" s="0" t="s">
        <v>3166</v>
      </c>
      <c r="D54" s="0" t="s">
        <v>3191</v>
      </c>
      <c r="E54" s="0" t="s">
        <v>3192</v>
      </c>
      <c r="F54" s="0" t="s">
        <v>3092</v>
      </c>
      <c r="G54" s="0" t="s">
        <v>1702</v>
      </c>
    </row>
    <row customHeight="1" ht="11.25">
      <c r="A55" s="503" t="s">
        <v>14</v>
      </c>
      <c r="B55" s="0" t="s">
        <v>3193</v>
      </c>
      <c r="C55" s="0" t="s">
        <v>3194</v>
      </c>
      <c r="D55" s="0" t="s">
        <v>3195</v>
      </c>
      <c r="E55" s="0" t="s">
        <v>3196</v>
      </c>
      <c r="F55" s="0" t="s">
        <v>3092</v>
      </c>
      <c r="G55" s="0" t="s">
        <v>1706</v>
      </c>
    </row>
    <row customHeight="1" ht="11.25">
      <c r="A56" s="503" t="s">
        <v>14</v>
      </c>
      <c r="B56" s="0" t="s">
        <v>3193</v>
      </c>
      <c r="C56" s="0" t="s">
        <v>3194</v>
      </c>
      <c r="D56" s="0" t="s">
        <v>3197</v>
      </c>
      <c r="E56" s="0" t="s">
        <v>3198</v>
      </c>
      <c r="F56" s="0" t="s">
        <v>3092</v>
      </c>
      <c r="G56" s="0" t="s">
        <v>1709</v>
      </c>
    </row>
    <row customHeight="1" ht="11.25">
      <c r="A57" s="503" t="s">
        <v>14</v>
      </c>
      <c r="B57" s="0" t="s">
        <v>3193</v>
      </c>
      <c r="C57" s="0" t="s">
        <v>3194</v>
      </c>
      <c r="D57" s="0" t="s">
        <v>3199</v>
      </c>
      <c r="E57" s="0" t="s">
        <v>3200</v>
      </c>
      <c r="F57" s="0" t="s">
        <v>3092</v>
      </c>
      <c r="G57" s="0" t="s">
        <v>1712</v>
      </c>
    </row>
    <row customHeight="1" ht="11.25">
      <c r="A58" s="503" t="s">
        <v>14</v>
      </c>
      <c r="B58" s="0" t="s">
        <v>3193</v>
      </c>
      <c r="C58" s="0" t="s">
        <v>3194</v>
      </c>
      <c r="D58" s="0" t="s">
        <v>3201</v>
      </c>
      <c r="E58" s="0" t="s">
        <v>3202</v>
      </c>
      <c r="F58" s="0" t="s">
        <v>3092</v>
      </c>
      <c r="G58" s="0" t="s">
        <v>1715</v>
      </c>
    </row>
    <row customHeight="1" ht="11.25">
      <c r="A59" s="503" t="s">
        <v>14</v>
      </c>
      <c r="B59" s="0" t="s">
        <v>3193</v>
      </c>
      <c r="C59" s="0" t="s">
        <v>3194</v>
      </c>
      <c r="D59" s="0" t="s">
        <v>3193</v>
      </c>
      <c r="E59" s="0" t="s">
        <v>3194</v>
      </c>
      <c r="F59" s="0" t="s">
        <v>3089</v>
      </c>
      <c r="G59" s="0" t="s">
        <v>1719</v>
      </c>
    </row>
    <row customHeight="1" ht="11.25">
      <c r="A60" s="503" t="s">
        <v>14</v>
      </c>
      <c r="B60" s="0" t="s">
        <v>3193</v>
      </c>
      <c r="C60" s="0" t="s">
        <v>3194</v>
      </c>
      <c r="D60" s="0" t="s">
        <v>3203</v>
      </c>
      <c r="E60" s="0" t="s">
        <v>3204</v>
      </c>
      <c r="F60" s="0" t="s">
        <v>3092</v>
      </c>
      <c r="G60" s="0" t="s">
        <v>1722</v>
      </c>
    </row>
    <row customHeight="1" ht="11.25">
      <c r="A61" s="503" t="s">
        <v>14</v>
      </c>
      <c r="B61" s="0" t="s">
        <v>3193</v>
      </c>
      <c r="C61" s="0" t="s">
        <v>3194</v>
      </c>
      <c r="D61" s="0" t="s">
        <v>3205</v>
      </c>
      <c r="E61" s="0" t="s">
        <v>3206</v>
      </c>
      <c r="F61" s="0" t="s">
        <v>3095</v>
      </c>
      <c r="G61" s="0" t="s">
        <v>3207</v>
      </c>
    </row>
    <row customHeight="1" ht="11.25">
      <c r="A62" s="503" t="s">
        <v>14</v>
      </c>
      <c r="B62" s="0" t="s">
        <v>3193</v>
      </c>
      <c r="C62" s="0" t="s">
        <v>3194</v>
      </c>
      <c r="D62" s="0" t="s">
        <v>3208</v>
      </c>
      <c r="E62" s="0" t="s">
        <v>3209</v>
      </c>
      <c r="F62" s="0" t="s">
        <v>3092</v>
      </c>
      <c r="G62" s="0" t="s">
        <v>3210</v>
      </c>
    </row>
    <row customHeight="1" ht="11.25">
      <c r="A63" s="503" t="s">
        <v>14</v>
      </c>
      <c r="B63" s="0" t="s">
        <v>3193</v>
      </c>
      <c r="C63" s="0" t="s">
        <v>3194</v>
      </c>
      <c r="D63" s="0" t="s">
        <v>3211</v>
      </c>
      <c r="E63" s="0" t="s">
        <v>3212</v>
      </c>
      <c r="F63" s="0" t="s">
        <v>3092</v>
      </c>
      <c r="G63" s="0" t="s">
        <v>3213</v>
      </c>
    </row>
    <row customHeight="1" ht="11.25">
      <c r="A64" s="503" t="s">
        <v>14</v>
      </c>
      <c r="B64" s="0" t="s">
        <v>3193</v>
      </c>
      <c r="C64" s="0" t="s">
        <v>3194</v>
      </c>
      <c r="D64" s="0" t="s">
        <v>3214</v>
      </c>
      <c r="E64" s="0" t="s">
        <v>3215</v>
      </c>
      <c r="F64" s="0" t="s">
        <v>3092</v>
      </c>
      <c r="G64" s="0" t="s">
        <v>3216</v>
      </c>
    </row>
    <row customHeight="1" ht="11.25">
      <c r="A65" s="503" t="s">
        <v>14</v>
      </c>
      <c r="B65" s="0" t="s">
        <v>3193</v>
      </c>
      <c r="C65" s="0" t="s">
        <v>3194</v>
      </c>
      <c r="D65" s="0" t="s">
        <v>3217</v>
      </c>
      <c r="E65" s="0" t="s">
        <v>3218</v>
      </c>
      <c r="F65" s="0" t="s">
        <v>3092</v>
      </c>
      <c r="G65" s="0" t="s">
        <v>3219</v>
      </c>
    </row>
    <row customHeight="1" ht="11.25">
      <c r="A66" s="503" t="s">
        <v>14</v>
      </c>
      <c r="B66" s="0" t="s">
        <v>3193</v>
      </c>
      <c r="C66" s="0" t="s">
        <v>3194</v>
      </c>
      <c r="D66" s="0" t="s">
        <v>3220</v>
      </c>
      <c r="E66" s="0" t="s">
        <v>3221</v>
      </c>
      <c r="F66" s="0" t="s">
        <v>3092</v>
      </c>
      <c r="G66" s="0" t="s">
        <v>3222</v>
      </c>
    </row>
    <row customHeight="1" ht="11.25">
      <c r="A67" s="503" t="s">
        <v>14</v>
      </c>
      <c r="B67" s="0" t="s">
        <v>3193</v>
      </c>
      <c r="C67" s="0" t="s">
        <v>3194</v>
      </c>
      <c r="D67" s="0" t="s">
        <v>3223</v>
      </c>
      <c r="E67" s="0" t="s">
        <v>3224</v>
      </c>
      <c r="F67" s="0" t="s">
        <v>3092</v>
      </c>
      <c r="G67" s="0" t="s">
        <v>2042</v>
      </c>
    </row>
    <row customHeight="1" ht="11.25">
      <c r="A68" s="503" t="s">
        <v>14</v>
      </c>
      <c r="B68" s="0" t="s">
        <v>3193</v>
      </c>
      <c r="C68" s="0" t="s">
        <v>3194</v>
      </c>
      <c r="D68" s="0" t="s">
        <v>3225</v>
      </c>
      <c r="E68" s="0" t="s">
        <v>3226</v>
      </c>
      <c r="F68" s="0" t="s">
        <v>3092</v>
      </c>
      <c r="G68" s="0" t="s">
        <v>3227</v>
      </c>
    </row>
    <row customHeight="1" ht="11.25">
      <c r="A69" s="503" t="s">
        <v>14</v>
      </c>
      <c r="B69" s="0" t="s">
        <v>3193</v>
      </c>
      <c r="C69" s="0" t="s">
        <v>3194</v>
      </c>
      <c r="D69" s="0" t="s">
        <v>3228</v>
      </c>
      <c r="E69" s="0" t="s">
        <v>3229</v>
      </c>
      <c r="F69" s="0" t="s">
        <v>3092</v>
      </c>
      <c r="G69" s="0" t="s">
        <v>2253</v>
      </c>
    </row>
    <row customHeight="1" ht="11.25">
      <c r="A70" s="503" t="s">
        <v>14</v>
      </c>
      <c r="B70" s="0" t="s">
        <v>3193</v>
      </c>
      <c r="C70" s="0" t="s">
        <v>3194</v>
      </c>
      <c r="D70" s="0" t="s">
        <v>3230</v>
      </c>
      <c r="E70" s="0" t="s">
        <v>3231</v>
      </c>
      <c r="F70" s="0" t="s">
        <v>3092</v>
      </c>
      <c r="G70" s="0" t="s">
        <v>3232</v>
      </c>
    </row>
    <row customHeight="1" ht="11.25">
      <c r="A71" s="503" t="s">
        <v>14</v>
      </c>
      <c r="B71" s="0" t="s">
        <v>3193</v>
      </c>
      <c r="C71" s="0" t="s">
        <v>3194</v>
      </c>
      <c r="D71" s="0" t="s">
        <v>3233</v>
      </c>
      <c r="E71" s="0" t="s">
        <v>3234</v>
      </c>
      <c r="F71" s="0" t="s">
        <v>3092</v>
      </c>
      <c r="G71" s="0" t="s">
        <v>3235</v>
      </c>
    </row>
    <row customHeight="1" ht="11.25">
      <c r="A72" s="503" t="s">
        <v>14</v>
      </c>
      <c r="B72" s="0" t="s">
        <v>3193</v>
      </c>
      <c r="C72" s="0" t="s">
        <v>3194</v>
      </c>
      <c r="D72" s="0" t="s">
        <v>3236</v>
      </c>
      <c r="E72" s="0" t="s">
        <v>3237</v>
      </c>
      <c r="F72" s="0" t="s">
        <v>3092</v>
      </c>
      <c r="G72" s="0" t="s">
        <v>3238</v>
      </c>
    </row>
    <row customHeight="1" ht="11.25">
      <c r="A73" s="503" t="s">
        <v>14</v>
      </c>
      <c r="B73" s="0" t="s">
        <v>3193</v>
      </c>
      <c r="C73" s="0" t="s">
        <v>3194</v>
      </c>
      <c r="D73" s="0" t="s">
        <v>3239</v>
      </c>
      <c r="E73" s="0" t="s">
        <v>3240</v>
      </c>
      <c r="F73" s="0" t="s">
        <v>3092</v>
      </c>
      <c r="G73" s="0" t="s">
        <v>3241</v>
      </c>
    </row>
    <row customHeight="1" ht="11.25">
      <c r="A74" s="503" t="s">
        <v>14</v>
      </c>
      <c r="B74" s="0" t="s">
        <v>3193</v>
      </c>
      <c r="C74" s="0" t="s">
        <v>3194</v>
      </c>
      <c r="D74" s="0" t="s">
        <v>3242</v>
      </c>
      <c r="E74" s="0" t="s">
        <v>3243</v>
      </c>
      <c r="F74" s="0" t="s">
        <v>3092</v>
      </c>
      <c r="G74" s="0" t="s">
        <v>3244</v>
      </c>
    </row>
    <row customHeight="1" ht="11.25">
      <c r="A75" s="503" t="s">
        <v>14</v>
      </c>
      <c r="B75" s="0" t="s">
        <v>109</v>
      </c>
      <c r="C75" s="0" t="s">
        <v>110</v>
      </c>
      <c r="D75" s="0" t="s">
        <v>109</v>
      </c>
      <c r="E75" s="0" t="s">
        <v>110</v>
      </c>
      <c r="F75" s="0" t="s">
        <v>3245</v>
      </c>
      <c r="G75" s="0" t="s">
        <v>108</v>
      </c>
    </row>
    <row customHeight="1" ht="11.25">
      <c r="A76" s="503" t="s">
        <v>14</v>
      </c>
      <c r="B76" s="0" t="s">
        <v>127</v>
      </c>
      <c r="C76" s="0" t="s">
        <v>128</v>
      </c>
      <c r="D76" s="0" t="s">
        <v>127</v>
      </c>
      <c r="E76" s="0" t="s">
        <v>128</v>
      </c>
      <c r="F76" s="0" t="s">
        <v>3245</v>
      </c>
      <c r="G76" s="0" t="s">
        <v>126</v>
      </c>
    </row>
    <row customHeight="1" ht="11.25">
      <c r="A77" s="503" t="s">
        <v>14</v>
      </c>
      <c r="B77" s="0" t="s">
        <v>3246</v>
      </c>
      <c r="C77" s="0" t="s">
        <v>3247</v>
      </c>
      <c r="D77" s="0" t="s">
        <v>3248</v>
      </c>
      <c r="E77" s="0" t="s">
        <v>3249</v>
      </c>
      <c r="F77" s="0" t="s">
        <v>3092</v>
      </c>
      <c r="G77" s="0" t="s">
        <v>3250</v>
      </c>
    </row>
    <row customHeight="1" ht="11.25">
      <c r="A78" s="503" t="s">
        <v>14</v>
      </c>
      <c r="B78" s="0" t="s">
        <v>3246</v>
      </c>
      <c r="C78" s="0" t="s">
        <v>3247</v>
      </c>
      <c r="D78" s="0" t="s">
        <v>3251</v>
      </c>
      <c r="E78" s="0" t="s">
        <v>3252</v>
      </c>
      <c r="F78" s="0" t="s">
        <v>3092</v>
      </c>
      <c r="G78" s="0" t="s">
        <v>3253</v>
      </c>
    </row>
    <row customHeight="1" ht="11.25">
      <c r="A79" s="503" t="s">
        <v>14</v>
      </c>
      <c r="B79" s="0" t="s">
        <v>3246</v>
      </c>
      <c r="C79" s="0" t="s">
        <v>3247</v>
      </c>
      <c r="D79" s="0" t="s">
        <v>3254</v>
      </c>
      <c r="E79" s="0" t="s">
        <v>3255</v>
      </c>
      <c r="F79" s="0" t="s">
        <v>3092</v>
      </c>
      <c r="G79" s="0" t="s">
        <v>3256</v>
      </c>
    </row>
    <row customHeight="1" ht="11.25">
      <c r="A80" s="503" t="s">
        <v>14</v>
      </c>
      <c r="B80" s="0" t="s">
        <v>3246</v>
      </c>
      <c r="C80" s="0" t="s">
        <v>3247</v>
      </c>
      <c r="D80" s="0" t="s">
        <v>3257</v>
      </c>
      <c r="E80" s="0" t="s">
        <v>3258</v>
      </c>
      <c r="F80" s="0" t="s">
        <v>3092</v>
      </c>
      <c r="G80" s="0" t="s">
        <v>3259</v>
      </c>
    </row>
    <row customHeight="1" ht="11.25">
      <c r="A81" s="503" t="s">
        <v>14</v>
      </c>
      <c r="B81" s="0" t="s">
        <v>3246</v>
      </c>
      <c r="C81" s="0" t="s">
        <v>3247</v>
      </c>
      <c r="D81" s="0" t="s">
        <v>3260</v>
      </c>
      <c r="E81" s="0" t="s">
        <v>3261</v>
      </c>
      <c r="F81" s="0" t="s">
        <v>3092</v>
      </c>
      <c r="G81" s="0" t="s">
        <v>3262</v>
      </c>
    </row>
    <row customHeight="1" ht="11.25">
      <c r="A82" s="503" t="s">
        <v>14</v>
      </c>
      <c r="B82" s="0" t="s">
        <v>3246</v>
      </c>
      <c r="C82" s="0" t="s">
        <v>3247</v>
      </c>
      <c r="D82" s="0" t="s">
        <v>3263</v>
      </c>
      <c r="E82" s="0" t="s">
        <v>3264</v>
      </c>
      <c r="F82" s="0" t="s">
        <v>3092</v>
      </c>
      <c r="G82" s="0" t="s">
        <v>3265</v>
      </c>
    </row>
    <row customHeight="1" ht="11.25">
      <c r="A83" s="503" t="s">
        <v>14</v>
      </c>
      <c r="B83" s="0" t="s">
        <v>3246</v>
      </c>
      <c r="C83" s="0" t="s">
        <v>3247</v>
      </c>
      <c r="D83" s="0" t="s">
        <v>3266</v>
      </c>
      <c r="E83" s="0" t="s">
        <v>3267</v>
      </c>
      <c r="F83" s="0" t="s">
        <v>3092</v>
      </c>
      <c r="G83" s="0" t="s">
        <v>3268</v>
      </c>
    </row>
    <row customHeight="1" ht="11.25">
      <c r="A84" s="503" t="s">
        <v>14</v>
      </c>
      <c r="B84" s="0" t="s">
        <v>3246</v>
      </c>
      <c r="C84" s="0" t="s">
        <v>3247</v>
      </c>
      <c r="D84" s="0" t="s">
        <v>3269</v>
      </c>
      <c r="E84" s="0" t="s">
        <v>3270</v>
      </c>
      <c r="F84" s="0" t="s">
        <v>3092</v>
      </c>
      <c r="G84" s="0" t="s">
        <v>3271</v>
      </c>
    </row>
    <row customHeight="1" ht="11.25">
      <c r="A85" s="503" t="s">
        <v>14</v>
      </c>
      <c r="B85" s="0" t="s">
        <v>3246</v>
      </c>
      <c r="C85" s="0" t="s">
        <v>3247</v>
      </c>
      <c r="D85" s="0" t="s">
        <v>3272</v>
      </c>
      <c r="E85" s="0" t="s">
        <v>3273</v>
      </c>
      <c r="F85" s="0" t="s">
        <v>3092</v>
      </c>
      <c r="G85" s="0" t="s">
        <v>3274</v>
      </c>
    </row>
    <row customHeight="1" ht="11.25">
      <c r="A86" s="503" t="s">
        <v>14</v>
      </c>
      <c r="B86" s="0" t="s">
        <v>3246</v>
      </c>
      <c r="C86" s="0" t="s">
        <v>3247</v>
      </c>
      <c r="D86" s="0" t="s">
        <v>3246</v>
      </c>
      <c r="E86" s="0" t="s">
        <v>3247</v>
      </c>
      <c r="F86" s="0" t="s">
        <v>3089</v>
      </c>
      <c r="G86" s="0" t="s">
        <v>3275</v>
      </c>
    </row>
    <row customHeight="1" ht="11.25">
      <c r="A87" s="503" t="s">
        <v>14</v>
      </c>
      <c r="B87" s="0" t="s">
        <v>3246</v>
      </c>
      <c r="C87" s="0" t="s">
        <v>3247</v>
      </c>
      <c r="D87" s="0" t="s">
        <v>3276</v>
      </c>
      <c r="E87" s="0" t="s">
        <v>3277</v>
      </c>
      <c r="F87" s="0" t="s">
        <v>3092</v>
      </c>
      <c r="G87" s="0" t="s">
        <v>3278</v>
      </c>
    </row>
    <row customHeight="1" ht="11.25">
      <c r="A88" s="503" t="s">
        <v>14</v>
      </c>
      <c r="B88" s="0" t="s">
        <v>3246</v>
      </c>
      <c r="C88" s="0" t="s">
        <v>3247</v>
      </c>
      <c r="D88" s="0" t="s">
        <v>3279</v>
      </c>
      <c r="E88" s="0" t="s">
        <v>3280</v>
      </c>
      <c r="F88" s="0" t="s">
        <v>3092</v>
      </c>
      <c r="G88" s="0" t="s">
        <v>3281</v>
      </c>
    </row>
    <row customHeight="1" ht="11.25">
      <c r="A89" s="503" t="s">
        <v>14</v>
      </c>
      <c r="B89" s="0" t="s">
        <v>3246</v>
      </c>
      <c r="C89" s="0" t="s">
        <v>3247</v>
      </c>
      <c r="D89" s="0" t="s">
        <v>3282</v>
      </c>
      <c r="E89" s="0" t="s">
        <v>3283</v>
      </c>
      <c r="F89" s="0" t="s">
        <v>3092</v>
      </c>
      <c r="G89" s="0" t="s">
        <v>3284</v>
      </c>
    </row>
    <row customHeight="1" ht="11.25">
      <c r="A90" s="503" t="s">
        <v>14</v>
      </c>
      <c r="B90" s="0" t="s">
        <v>3246</v>
      </c>
      <c r="C90" s="0" t="s">
        <v>3247</v>
      </c>
      <c r="D90" s="0" t="s">
        <v>3285</v>
      </c>
      <c r="E90" s="0" t="s">
        <v>3286</v>
      </c>
      <c r="F90" s="0" t="s">
        <v>3092</v>
      </c>
      <c r="G90" s="0" t="s">
        <v>3287</v>
      </c>
    </row>
    <row customHeight="1" ht="11.25">
      <c r="A91" s="503" t="s">
        <v>14</v>
      </c>
      <c r="B91" s="0" t="s">
        <v>3246</v>
      </c>
      <c r="C91" s="0" t="s">
        <v>3247</v>
      </c>
      <c r="D91" s="0" t="s">
        <v>3288</v>
      </c>
      <c r="E91" s="0" t="s">
        <v>3289</v>
      </c>
      <c r="F91" s="0" t="s">
        <v>3092</v>
      </c>
      <c r="G91" s="0" t="s">
        <v>3290</v>
      </c>
    </row>
    <row customHeight="1" ht="11.25">
      <c r="A92" s="503" t="s">
        <v>14</v>
      </c>
      <c r="B92" s="0" t="s">
        <v>3246</v>
      </c>
      <c r="C92" s="0" t="s">
        <v>3247</v>
      </c>
      <c r="D92" s="0" t="s">
        <v>3291</v>
      </c>
      <c r="E92" s="0" t="s">
        <v>3292</v>
      </c>
      <c r="F92" s="0" t="s">
        <v>3092</v>
      </c>
      <c r="G92" s="0" t="s">
        <v>3293</v>
      </c>
    </row>
    <row customHeight="1" ht="11.25">
      <c r="A93" s="503" t="s">
        <v>14</v>
      </c>
      <c r="B93" s="0" t="s">
        <v>3246</v>
      </c>
      <c r="C93" s="0" t="s">
        <v>3247</v>
      </c>
      <c r="D93" s="0" t="s">
        <v>3294</v>
      </c>
      <c r="E93" s="0" t="s">
        <v>3295</v>
      </c>
      <c r="F93" s="0" t="s">
        <v>3092</v>
      </c>
      <c r="G93" s="0" t="s">
        <v>3296</v>
      </c>
    </row>
    <row customHeight="1" ht="11.25">
      <c r="A94" s="503" t="s">
        <v>14</v>
      </c>
      <c r="B94" s="0" t="s">
        <v>3246</v>
      </c>
      <c r="C94" s="0" t="s">
        <v>3247</v>
      </c>
      <c r="D94" s="0" t="s">
        <v>3297</v>
      </c>
      <c r="E94" s="0" t="s">
        <v>3298</v>
      </c>
      <c r="F94" s="0" t="s">
        <v>3092</v>
      </c>
      <c r="G94" s="0" t="s">
        <v>3299</v>
      </c>
    </row>
    <row customHeight="1" ht="11.25">
      <c r="A95" s="503" t="s">
        <v>14</v>
      </c>
      <c r="B95" s="0" t="s">
        <v>3246</v>
      </c>
      <c r="C95" s="0" t="s">
        <v>3247</v>
      </c>
      <c r="D95" s="0" t="s">
        <v>3300</v>
      </c>
      <c r="E95" s="0" t="s">
        <v>3301</v>
      </c>
      <c r="F95" s="0" t="s">
        <v>3092</v>
      </c>
      <c r="G95" s="0" t="s">
        <v>3302</v>
      </c>
    </row>
    <row customHeight="1" ht="11.25">
      <c r="A96" s="503" t="s">
        <v>14</v>
      </c>
      <c r="B96" s="0" t="s">
        <v>3246</v>
      </c>
      <c r="C96" s="0" t="s">
        <v>3247</v>
      </c>
      <c r="D96" s="0" t="s">
        <v>3303</v>
      </c>
      <c r="E96" s="0" t="s">
        <v>3304</v>
      </c>
      <c r="F96" s="0" t="s">
        <v>3092</v>
      </c>
      <c r="G96" s="0" t="s">
        <v>3305</v>
      </c>
    </row>
    <row customHeight="1" ht="11.25">
      <c r="A97" s="503" t="s">
        <v>14</v>
      </c>
      <c r="B97" s="0" t="s">
        <v>3246</v>
      </c>
      <c r="C97" s="0" t="s">
        <v>3247</v>
      </c>
      <c r="D97" s="0" t="s">
        <v>3306</v>
      </c>
      <c r="E97" s="0" t="s">
        <v>3307</v>
      </c>
      <c r="F97" s="0" t="s">
        <v>3092</v>
      </c>
      <c r="G97" s="0" t="s">
        <v>3308</v>
      </c>
    </row>
    <row customHeight="1" ht="11.25">
      <c r="A98" s="503" t="s">
        <v>14</v>
      </c>
      <c r="B98" s="0" t="s">
        <v>3246</v>
      </c>
      <c r="C98" s="0" t="s">
        <v>3247</v>
      </c>
      <c r="D98" s="0" t="s">
        <v>3309</v>
      </c>
      <c r="E98" s="0" t="s">
        <v>3310</v>
      </c>
      <c r="F98" s="0" t="s">
        <v>3092</v>
      </c>
      <c r="G98" s="0" t="s">
        <v>3311</v>
      </c>
    </row>
    <row customHeight="1" ht="11.25">
      <c r="A99" s="503" t="s">
        <v>14</v>
      </c>
      <c r="B99" s="0" t="s">
        <v>3312</v>
      </c>
      <c r="C99" s="0" t="s">
        <v>3313</v>
      </c>
      <c r="D99" s="0" t="s">
        <v>3314</v>
      </c>
      <c r="E99" s="0" t="s">
        <v>3315</v>
      </c>
      <c r="F99" s="0" t="s">
        <v>3092</v>
      </c>
      <c r="G99" s="0" t="s">
        <v>3316</v>
      </c>
    </row>
    <row customHeight="1" ht="11.25">
      <c r="A100" s="503" t="s">
        <v>14</v>
      </c>
      <c r="B100" s="0" t="s">
        <v>3312</v>
      </c>
      <c r="C100" s="0" t="s">
        <v>3313</v>
      </c>
      <c r="D100" s="0" t="s">
        <v>3317</v>
      </c>
      <c r="E100" s="0" t="s">
        <v>3318</v>
      </c>
      <c r="F100" s="0" t="s">
        <v>3092</v>
      </c>
      <c r="G100" s="0" t="s">
        <v>3319</v>
      </c>
    </row>
    <row customHeight="1" ht="11.25">
      <c r="A101" s="503" t="s">
        <v>14</v>
      </c>
      <c r="B101" s="0" t="s">
        <v>3312</v>
      </c>
      <c r="C101" s="0" t="s">
        <v>3313</v>
      </c>
      <c r="D101" s="0" t="s">
        <v>3320</v>
      </c>
      <c r="E101" s="0" t="s">
        <v>3321</v>
      </c>
      <c r="F101" s="0" t="s">
        <v>3092</v>
      </c>
      <c r="G101" s="0" t="s">
        <v>3322</v>
      </c>
    </row>
    <row customHeight="1" ht="11.25">
      <c r="A102" s="503" t="s">
        <v>14</v>
      </c>
      <c r="B102" s="0" t="s">
        <v>3312</v>
      </c>
      <c r="C102" s="0" t="s">
        <v>3313</v>
      </c>
      <c r="D102" s="0" t="s">
        <v>3323</v>
      </c>
      <c r="E102" s="0" t="s">
        <v>3324</v>
      </c>
      <c r="F102" s="0" t="s">
        <v>3092</v>
      </c>
      <c r="G102" s="0" t="s">
        <v>3325</v>
      </c>
    </row>
    <row customHeight="1" ht="11.25">
      <c r="A103" s="503" t="s">
        <v>14</v>
      </c>
      <c r="B103" s="0" t="s">
        <v>3312</v>
      </c>
      <c r="C103" s="0" t="s">
        <v>3313</v>
      </c>
      <c r="D103" s="0" t="s">
        <v>3326</v>
      </c>
      <c r="E103" s="0" t="s">
        <v>3327</v>
      </c>
      <c r="F103" s="0" t="s">
        <v>3092</v>
      </c>
      <c r="G103" s="0" t="s">
        <v>3328</v>
      </c>
    </row>
    <row customHeight="1" ht="11.25">
      <c r="A104" s="503" t="s">
        <v>14</v>
      </c>
      <c r="B104" s="0" t="s">
        <v>3312</v>
      </c>
      <c r="C104" s="0" t="s">
        <v>3313</v>
      </c>
      <c r="D104" s="0" t="s">
        <v>3329</v>
      </c>
      <c r="E104" s="0" t="s">
        <v>3330</v>
      </c>
      <c r="F104" s="0" t="s">
        <v>3092</v>
      </c>
      <c r="G104" s="0" t="s">
        <v>3331</v>
      </c>
    </row>
    <row customHeight="1" ht="11.25">
      <c r="A105" s="503" t="s">
        <v>14</v>
      </c>
      <c r="B105" s="0" t="s">
        <v>3312</v>
      </c>
      <c r="C105" s="0" t="s">
        <v>3313</v>
      </c>
      <c r="D105" s="0" t="s">
        <v>3332</v>
      </c>
      <c r="E105" s="0" t="s">
        <v>3333</v>
      </c>
      <c r="F105" s="0" t="s">
        <v>3092</v>
      </c>
      <c r="G105" s="0" t="s">
        <v>3334</v>
      </c>
    </row>
    <row customHeight="1" ht="11.25">
      <c r="A106" s="503" t="s">
        <v>14</v>
      </c>
      <c r="B106" s="0" t="s">
        <v>3312</v>
      </c>
      <c r="C106" s="0" t="s">
        <v>3313</v>
      </c>
      <c r="D106" s="0" t="s">
        <v>3335</v>
      </c>
      <c r="E106" s="0" t="s">
        <v>3336</v>
      </c>
      <c r="F106" s="0" t="s">
        <v>3092</v>
      </c>
      <c r="G106" s="0" t="s">
        <v>3337</v>
      </c>
    </row>
    <row customHeight="1" ht="11.25">
      <c r="A107" s="503" t="s">
        <v>14</v>
      </c>
      <c r="B107" s="0" t="s">
        <v>3312</v>
      </c>
      <c r="C107" s="0" t="s">
        <v>3313</v>
      </c>
      <c r="D107" s="0" t="s">
        <v>3338</v>
      </c>
      <c r="E107" s="0" t="s">
        <v>3339</v>
      </c>
      <c r="F107" s="0" t="s">
        <v>3092</v>
      </c>
      <c r="G107" s="0" t="s">
        <v>3340</v>
      </c>
    </row>
    <row customHeight="1" ht="11.25">
      <c r="A108" s="503" t="s">
        <v>14</v>
      </c>
      <c r="B108" s="0" t="s">
        <v>3312</v>
      </c>
      <c r="C108" s="0" t="s">
        <v>3313</v>
      </c>
      <c r="D108" s="0" t="s">
        <v>3341</v>
      </c>
      <c r="E108" s="0" t="s">
        <v>3342</v>
      </c>
      <c r="F108" s="0" t="s">
        <v>3092</v>
      </c>
      <c r="G108" s="0" t="s">
        <v>3343</v>
      </c>
    </row>
    <row customHeight="1" ht="11.25">
      <c r="A109" s="503" t="s">
        <v>14</v>
      </c>
      <c r="B109" s="0" t="s">
        <v>3312</v>
      </c>
      <c r="C109" s="0" t="s">
        <v>3313</v>
      </c>
      <c r="D109" s="0" t="s">
        <v>3344</v>
      </c>
      <c r="E109" s="0" t="s">
        <v>3345</v>
      </c>
      <c r="F109" s="0" t="s">
        <v>3092</v>
      </c>
      <c r="G109" s="0" t="s">
        <v>3346</v>
      </c>
    </row>
    <row customHeight="1" ht="11.25">
      <c r="A110" s="503" t="s">
        <v>14</v>
      </c>
      <c r="B110" s="0" t="s">
        <v>3312</v>
      </c>
      <c r="C110" s="0" t="s">
        <v>3313</v>
      </c>
      <c r="D110" s="0" t="s">
        <v>3312</v>
      </c>
      <c r="E110" s="0" t="s">
        <v>3313</v>
      </c>
      <c r="F110" s="0" t="s">
        <v>3089</v>
      </c>
      <c r="G110" s="0" t="s">
        <v>3347</v>
      </c>
    </row>
    <row customHeight="1" ht="11.25">
      <c r="A111" s="503" t="s">
        <v>14</v>
      </c>
      <c r="B111" s="0" t="s">
        <v>3312</v>
      </c>
      <c r="C111" s="0" t="s">
        <v>3313</v>
      </c>
      <c r="D111" s="0" t="s">
        <v>3348</v>
      </c>
      <c r="E111" s="0" t="s">
        <v>3349</v>
      </c>
      <c r="F111" s="0" t="s">
        <v>3092</v>
      </c>
      <c r="G111" s="0" t="s">
        <v>3350</v>
      </c>
    </row>
    <row customHeight="1" ht="11.25">
      <c r="A112" s="503" t="s">
        <v>14</v>
      </c>
      <c r="B112" s="0" t="s">
        <v>3312</v>
      </c>
      <c r="C112" s="0" t="s">
        <v>3313</v>
      </c>
      <c r="D112" s="0" t="s">
        <v>3351</v>
      </c>
      <c r="E112" s="0" t="s">
        <v>3352</v>
      </c>
      <c r="F112" s="0" t="s">
        <v>3092</v>
      </c>
      <c r="G112" s="0" t="s">
        <v>699</v>
      </c>
    </row>
    <row customHeight="1" ht="11.25">
      <c r="A113" s="503" t="s">
        <v>14</v>
      </c>
      <c r="B113" s="0" t="s">
        <v>3312</v>
      </c>
      <c r="C113" s="0" t="s">
        <v>3313</v>
      </c>
      <c r="D113" s="0" t="s">
        <v>3353</v>
      </c>
      <c r="E113" s="0" t="s">
        <v>3354</v>
      </c>
      <c r="F113" s="0" t="s">
        <v>3092</v>
      </c>
      <c r="G113" s="0" t="s">
        <v>3355</v>
      </c>
    </row>
    <row customHeight="1" ht="11.25">
      <c r="A114" s="503" t="s">
        <v>14</v>
      </c>
      <c r="B114" s="0" t="s">
        <v>104</v>
      </c>
      <c r="C114" s="0" t="s">
        <v>3356</v>
      </c>
      <c r="D114" s="0" t="s">
        <v>105</v>
      </c>
      <c r="E114" s="0" t="s">
        <v>106</v>
      </c>
      <c r="F114" s="0" t="s">
        <v>3095</v>
      </c>
      <c r="G114" s="0" t="s">
        <v>103</v>
      </c>
    </row>
    <row customHeight="1" ht="11.25">
      <c r="A115" s="503" t="s">
        <v>14</v>
      </c>
      <c r="B115" s="0" t="s">
        <v>104</v>
      </c>
      <c r="C115" s="0" t="s">
        <v>3356</v>
      </c>
      <c r="D115" s="0" t="s">
        <v>3335</v>
      </c>
      <c r="E115" s="0" t="s">
        <v>3357</v>
      </c>
      <c r="F115" s="0" t="s">
        <v>3092</v>
      </c>
      <c r="G115" s="0" t="s">
        <v>3358</v>
      </c>
    </row>
    <row customHeight="1" ht="11.25">
      <c r="A116" s="503" t="s">
        <v>14</v>
      </c>
      <c r="B116" s="0" t="s">
        <v>104</v>
      </c>
      <c r="C116" s="0" t="s">
        <v>3356</v>
      </c>
      <c r="D116" s="0" t="s">
        <v>3359</v>
      </c>
      <c r="E116" s="0" t="s">
        <v>3360</v>
      </c>
      <c r="F116" s="0" t="s">
        <v>3092</v>
      </c>
      <c r="G116" s="0" t="s">
        <v>3361</v>
      </c>
    </row>
    <row customHeight="1" ht="11.25">
      <c r="A117" s="503" t="s">
        <v>14</v>
      </c>
      <c r="B117" s="0" t="s">
        <v>104</v>
      </c>
      <c r="C117" s="0" t="s">
        <v>3356</v>
      </c>
      <c r="D117" s="0" t="s">
        <v>3362</v>
      </c>
      <c r="E117" s="0" t="s">
        <v>3363</v>
      </c>
      <c r="F117" s="0" t="s">
        <v>3092</v>
      </c>
      <c r="G117" s="0" t="s">
        <v>3364</v>
      </c>
    </row>
    <row customHeight="1" ht="11.25">
      <c r="A118" s="503" t="s">
        <v>14</v>
      </c>
      <c r="B118" s="0" t="s">
        <v>104</v>
      </c>
      <c r="C118" s="0" t="s">
        <v>3356</v>
      </c>
      <c r="D118" s="0" t="s">
        <v>3365</v>
      </c>
      <c r="E118" s="0" t="s">
        <v>3366</v>
      </c>
      <c r="F118" s="0" t="s">
        <v>3092</v>
      </c>
      <c r="G118" s="0" t="s">
        <v>3367</v>
      </c>
    </row>
    <row customHeight="1" ht="11.25">
      <c r="A119" s="503" t="s">
        <v>14</v>
      </c>
      <c r="B119" s="0" t="s">
        <v>104</v>
      </c>
      <c r="C119" s="0" t="s">
        <v>3356</v>
      </c>
      <c r="D119" s="0" t="s">
        <v>3368</v>
      </c>
      <c r="E119" s="0" t="s">
        <v>3369</v>
      </c>
      <c r="F119" s="0" t="s">
        <v>3119</v>
      </c>
      <c r="G119" s="0" t="s">
        <v>3370</v>
      </c>
    </row>
    <row customHeight="1" ht="11.25">
      <c r="A120" s="503" t="s">
        <v>14</v>
      </c>
      <c r="B120" s="0" t="s">
        <v>104</v>
      </c>
      <c r="C120" s="0" t="s">
        <v>3356</v>
      </c>
      <c r="D120" s="0" t="s">
        <v>3371</v>
      </c>
      <c r="E120" s="0" t="s">
        <v>3372</v>
      </c>
      <c r="F120" s="0" t="s">
        <v>3092</v>
      </c>
      <c r="G120" s="0" t="s">
        <v>3373</v>
      </c>
    </row>
    <row customHeight="1" ht="11.25">
      <c r="A121" s="503" t="s">
        <v>14</v>
      </c>
      <c r="B121" s="0" t="s">
        <v>104</v>
      </c>
      <c r="C121" s="0" t="s">
        <v>3356</v>
      </c>
      <c r="D121" s="0" t="s">
        <v>3374</v>
      </c>
      <c r="E121" s="0" t="s">
        <v>3375</v>
      </c>
      <c r="F121" s="0" t="s">
        <v>3092</v>
      </c>
      <c r="G121" s="0" t="s">
        <v>3376</v>
      </c>
    </row>
    <row customHeight="1" ht="11.25">
      <c r="A122" s="503" t="s">
        <v>14</v>
      </c>
      <c r="B122" s="0" t="s">
        <v>104</v>
      </c>
      <c r="C122" s="0" t="s">
        <v>3356</v>
      </c>
      <c r="D122" s="0" t="s">
        <v>104</v>
      </c>
      <c r="E122" s="0" t="s">
        <v>3356</v>
      </c>
      <c r="F122" s="0" t="s">
        <v>3089</v>
      </c>
      <c r="G122" s="0" t="s">
        <v>3377</v>
      </c>
    </row>
    <row customHeight="1" ht="11.25">
      <c r="A123" s="503" t="s">
        <v>14</v>
      </c>
      <c r="B123" s="0" t="s">
        <v>104</v>
      </c>
      <c r="C123" s="0" t="s">
        <v>3356</v>
      </c>
      <c r="D123" s="0" t="s">
        <v>3378</v>
      </c>
      <c r="E123" s="0" t="s">
        <v>3379</v>
      </c>
      <c r="F123" s="0" t="s">
        <v>3092</v>
      </c>
      <c r="G123" s="0" t="s">
        <v>3380</v>
      </c>
    </row>
    <row customHeight="1" ht="11.25">
      <c r="A124" s="503" t="s">
        <v>14</v>
      </c>
      <c r="B124" s="0" t="s">
        <v>104</v>
      </c>
      <c r="C124" s="0" t="s">
        <v>3356</v>
      </c>
      <c r="D124" s="0" t="s">
        <v>3381</v>
      </c>
      <c r="E124" s="0" t="s">
        <v>3382</v>
      </c>
      <c r="F124" s="0" t="s">
        <v>3092</v>
      </c>
      <c r="G124" s="0" t="s">
        <v>3383</v>
      </c>
    </row>
    <row customHeight="1" ht="11.25">
      <c r="A125" s="503" t="s">
        <v>14</v>
      </c>
      <c r="B125" s="0" t="s">
        <v>104</v>
      </c>
      <c r="C125" s="0" t="s">
        <v>3356</v>
      </c>
      <c r="D125" s="0" t="s">
        <v>3384</v>
      </c>
      <c r="E125" s="0" t="s">
        <v>3385</v>
      </c>
      <c r="F125" s="0" t="s">
        <v>3092</v>
      </c>
      <c r="G125" s="0" t="s">
        <v>3386</v>
      </c>
    </row>
    <row customHeight="1" ht="11.25">
      <c r="A126" s="503" t="s">
        <v>14</v>
      </c>
      <c r="B126" s="0" t="s">
        <v>104</v>
      </c>
      <c r="C126" s="0" t="s">
        <v>3356</v>
      </c>
      <c r="D126" s="0" t="s">
        <v>3387</v>
      </c>
      <c r="E126" s="0" t="s">
        <v>3388</v>
      </c>
      <c r="F126" s="0" t="s">
        <v>3108</v>
      </c>
      <c r="G126" s="0" t="s">
        <v>3389</v>
      </c>
    </row>
    <row customHeight="1" ht="11.25">
      <c r="A127" s="503" t="s">
        <v>14</v>
      </c>
      <c r="B127" s="0" t="s">
        <v>104</v>
      </c>
      <c r="C127" s="0" t="s">
        <v>3356</v>
      </c>
      <c r="D127" s="0" t="s">
        <v>3390</v>
      </c>
      <c r="E127" s="0" t="s">
        <v>3391</v>
      </c>
      <c r="F127" s="0" t="s">
        <v>3108</v>
      </c>
      <c r="G127" s="0" t="s">
        <v>3392</v>
      </c>
    </row>
    <row customHeight="1" ht="11.25">
      <c r="A128" s="503" t="s">
        <v>14</v>
      </c>
      <c r="B128" s="0" t="s">
        <v>104</v>
      </c>
      <c r="C128" s="0" t="s">
        <v>3356</v>
      </c>
      <c r="D128" s="0" t="s">
        <v>3393</v>
      </c>
      <c r="E128" s="0" t="s">
        <v>3394</v>
      </c>
      <c r="F128" s="0" t="s">
        <v>3092</v>
      </c>
      <c r="G128" s="0" t="s">
        <v>3395</v>
      </c>
    </row>
    <row customHeight="1" ht="11.25">
      <c r="A129" s="503" t="s">
        <v>14</v>
      </c>
      <c r="B129" s="0" t="s">
        <v>104</v>
      </c>
      <c r="C129" s="0" t="s">
        <v>3356</v>
      </c>
      <c r="D129" s="0" t="s">
        <v>3396</v>
      </c>
      <c r="E129" s="0" t="s">
        <v>3397</v>
      </c>
      <c r="F129" s="0" t="s">
        <v>3092</v>
      </c>
      <c r="G129" s="0" t="s">
        <v>3398</v>
      </c>
    </row>
    <row customHeight="1" ht="11.25">
      <c r="A130" s="503" t="s">
        <v>14</v>
      </c>
      <c r="B130" s="0" t="s">
        <v>3399</v>
      </c>
      <c r="C130" s="0" t="s">
        <v>3400</v>
      </c>
      <c r="D130" s="0" t="s">
        <v>3399</v>
      </c>
      <c r="E130" s="0" t="s">
        <v>3400</v>
      </c>
      <c r="F130" s="0" t="s">
        <v>3401</v>
      </c>
      <c r="G130" s="0" t="s">
        <v>3402</v>
      </c>
    </row>
    <row customHeight="1" ht="11.25">
      <c r="A131" s="503" t="s">
        <v>14</v>
      </c>
      <c r="B131" s="0" t="s">
        <v>3403</v>
      </c>
      <c r="C131" s="0" t="s">
        <v>3404</v>
      </c>
      <c r="D131" s="0" t="s">
        <v>3405</v>
      </c>
      <c r="E131" s="0" t="s">
        <v>3406</v>
      </c>
      <c r="F131" s="0" t="s">
        <v>3092</v>
      </c>
      <c r="G131" s="0" t="s">
        <v>3407</v>
      </c>
    </row>
    <row customHeight="1" ht="11.25">
      <c r="A132" s="503" t="s">
        <v>14</v>
      </c>
      <c r="B132" s="0" t="s">
        <v>3403</v>
      </c>
      <c r="C132" s="0" t="s">
        <v>3404</v>
      </c>
      <c r="D132" s="0" t="s">
        <v>3408</v>
      </c>
      <c r="E132" s="0" t="s">
        <v>3409</v>
      </c>
      <c r="F132" s="0" t="s">
        <v>3092</v>
      </c>
      <c r="G132" s="0" t="s">
        <v>3410</v>
      </c>
    </row>
    <row customHeight="1" ht="11.25">
      <c r="A133" s="503" t="s">
        <v>14</v>
      </c>
      <c r="B133" s="0" t="s">
        <v>3403</v>
      </c>
      <c r="C133" s="0" t="s">
        <v>3404</v>
      </c>
      <c r="D133" s="0" t="s">
        <v>3411</v>
      </c>
      <c r="E133" s="0" t="s">
        <v>3412</v>
      </c>
      <c r="F133" s="0" t="s">
        <v>3092</v>
      </c>
      <c r="G133" s="0" t="s">
        <v>3413</v>
      </c>
    </row>
    <row customHeight="1" ht="11.25">
      <c r="A134" s="503" t="s">
        <v>14</v>
      </c>
      <c r="B134" s="0" t="s">
        <v>3403</v>
      </c>
      <c r="C134" s="0" t="s">
        <v>3404</v>
      </c>
      <c r="D134" s="0" t="s">
        <v>3414</v>
      </c>
      <c r="E134" s="0" t="s">
        <v>3415</v>
      </c>
      <c r="F134" s="0" t="s">
        <v>3092</v>
      </c>
      <c r="G134" s="0" t="s">
        <v>3416</v>
      </c>
    </row>
    <row customHeight="1" ht="11.25">
      <c r="A135" s="503" t="s">
        <v>14</v>
      </c>
      <c r="B135" s="0" t="s">
        <v>3403</v>
      </c>
      <c r="C135" s="0" t="s">
        <v>3404</v>
      </c>
      <c r="D135" s="0" t="s">
        <v>3417</v>
      </c>
      <c r="E135" s="0" t="s">
        <v>3418</v>
      </c>
      <c r="F135" s="0" t="s">
        <v>3092</v>
      </c>
      <c r="G135" s="0" t="s">
        <v>3419</v>
      </c>
    </row>
    <row customHeight="1" ht="11.25">
      <c r="A136" s="503" t="s">
        <v>14</v>
      </c>
      <c r="B136" s="0" t="s">
        <v>3403</v>
      </c>
      <c r="C136" s="0" t="s">
        <v>3404</v>
      </c>
      <c r="D136" s="0" t="s">
        <v>3420</v>
      </c>
      <c r="E136" s="0" t="s">
        <v>3421</v>
      </c>
      <c r="F136" s="0" t="s">
        <v>3092</v>
      </c>
      <c r="G136" s="0" t="s">
        <v>3422</v>
      </c>
    </row>
    <row customHeight="1" ht="11.25">
      <c r="A137" s="503" t="s">
        <v>14</v>
      </c>
      <c r="B137" s="0" t="s">
        <v>3403</v>
      </c>
      <c r="C137" s="0" t="s">
        <v>3404</v>
      </c>
      <c r="D137" s="0" t="s">
        <v>3403</v>
      </c>
      <c r="E137" s="0" t="s">
        <v>3404</v>
      </c>
      <c r="F137" s="0" t="s">
        <v>3089</v>
      </c>
      <c r="G137" s="0" t="s">
        <v>3423</v>
      </c>
    </row>
    <row customHeight="1" ht="11.25">
      <c r="A138" s="503" t="s">
        <v>14</v>
      </c>
      <c r="B138" s="0" t="s">
        <v>3403</v>
      </c>
      <c r="C138" s="0" t="s">
        <v>3404</v>
      </c>
      <c r="D138" s="0" t="s">
        <v>3424</v>
      </c>
      <c r="E138" s="0" t="s">
        <v>3425</v>
      </c>
      <c r="F138" s="0" t="s">
        <v>3108</v>
      </c>
      <c r="G138" s="0" t="s">
        <v>3426</v>
      </c>
    </row>
    <row customHeight="1" ht="11.25">
      <c r="A139" s="503" t="s">
        <v>14</v>
      </c>
      <c r="B139" s="0" t="s">
        <v>3403</v>
      </c>
      <c r="C139" s="0" t="s">
        <v>3404</v>
      </c>
      <c r="D139" s="0" t="s">
        <v>3427</v>
      </c>
      <c r="E139" s="0" t="s">
        <v>3428</v>
      </c>
      <c r="F139" s="0" t="s">
        <v>3092</v>
      </c>
      <c r="G139" s="0" t="s">
        <v>3429</v>
      </c>
    </row>
    <row customHeight="1" ht="11.25">
      <c r="A140" s="503" t="s">
        <v>14</v>
      </c>
      <c r="B140" s="0" t="s">
        <v>113</v>
      </c>
      <c r="C140" s="0" t="s">
        <v>3430</v>
      </c>
      <c r="D140" s="0" t="s">
        <v>3431</v>
      </c>
      <c r="E140" s="0" t="s">
        <v>3432</v>
      </c>
      <c r="F140" s="0" t="s">
        <v>3092</v>
      </c>
      <c r="G140" s="0" t="s">
        <v>3433</v>
      </c>
    </row>
    <row customHeight="1" ht="11.25">
      <c r="A141" s="503" t="s">
        <v>14</v>
      </c>
      <c r="B141" s="0" t="s">
        <v>113</v>
      </c>
      <c r="C141" s="0" t="s">
        <v>3430</v>
      </c>
      <c r="D141" s="0" t="s">
        <v>114</v>
      </c>
      <c r="E141" s="0" t="s">
        <v>115</v>
      </c>
      <c r="F141" s="0" t="s">
        <v>3095</v>
      </c>
      <c r="G141" s="0" t="s">
        <v>112</v>
      </c>
    </row>
    <row customHeight="1" ht="11.25">
      <c r="A142" s="503" t="s">
        <v>14</v>
      </c>
      <c r="B142" s="0" t="s">
        <v>113</v>
      </c>
      <c r="C142" s="0" t="s">
        <v>3430</v>
      </c>
      <c r="D142" s="0" t="s">
        <v>3434</v>
      </c>
      <c r="E142" s="0" t="s">
        <v>3435</v>
      </c>
      <c r="F142" s="0" t="s">
        <v>3119</v>
      </c>
      <c r="G142" s="0" t="s">
        <v>3436</v>
      </c>
    </row>
    <row customHeight="1" ht="11.25">
      <c r="A143" s="503" t="s">
        <v>14</v>
      </c>
      <c r="B143" s="0" t="s">
        <v>113</v>
      </c>
      <c r="C143" s="0" t="s">
        <v>3430</v>
      </c>
      <c r="D143" s="0" t="s">
        <v>3437</v>
      </c>
      <c r="E143" s="0" t="s">
        <v>3438</v>
      </c>
      <c r="F143" s="0" t="s">
        <v>3108</v>
      </c>
      <c r="G143" s="0" t="s">
        <v>3439</v>
      </c>
    </row>
    <row customHeight="1" ht="11.25">
      <c r="A144" s="503" t="s">
        <v>14</v>
      </c>
      <c r="B144" s="0" t="s">
        <v>113</v>
      </c>
      <c r="C144" s="0" t="s">
        <v>3430</v>
      </c>
      <c r="D144" s="0" t="s">
        <v>3440</v>
      </c>
      <c r="E144" s="0" t="s">
        <v>3441</v>
      </c>
      <c r="F144" s="0" t="s">
        <v>3108</v>
      </c>
      <c r="G144" s="0" t="s">
        <v>3442</v>
      </c>
    </row>
    <row customHeight="1" ht="11.25">
      <c r="A145" s="503" t="s">
        <v>14</v>
      </c>
      <c r="B145" s="0" t="s">
        <v>113</v>
      </c>
      <c r="C145" s="0" t="s">
        <v>3430</v>
      </c>
      <c r="D145" s="0" t="s">
        <v>117</v>
      </c>
      <c r="E145" s="0" t="s">
        <v>118</v>
      </c>
      <c r="F145" s="0" t="s">
        <v>3108</v>
      </c>
      <c r="G145" s="0" t="s">
        <v>116</v>
      </c>
    </row>
    <row customHeight="1" ht="11.25">
      <c r="A146" s="503" t="s">
        <v>14</v>
      </c>
      <c r="B146" s="0" t="s">
        <v>113</v>
      </c>
      <c r="C146" s="0" t="s">
        <v>3430</v>
      </c>
      <c r="D146" s="0" t="s">
        <v>113</v>
      </c>
      <c r="E146" s="0" t="s">
        <v>3430</v>
      </c>
      <c r="F146" s="0" t="s">
        <v>3089</v>
      </c>
      <c r="G146" s="0" t="s">
        <v>3443</v>
      </c>
    </row>
    <row customHeight="1" ht="11.25">
      <c r="A147" s="503" t="s">
        <v>14</v>
      </c>
      <c r="B147" s="0" t="s">
        <v>3444</v>
      </c>
      <c r="C147" s="0" t="s">
        <v>3445</v>
      </c>
      <c r="D147" s="0" t="s">
        <v>3446</v>
      </c>
      <c r="E147" s="0" t="s">
        <v>3447</v>
      </c>
      <c r="F147" s="0" t="s">
        <v>3092</v>
      </c>
      <c r="G147" s="0" t="s">
        <v>3448</v>
      </c>
    </row>
    <row customHeight="1" ht="11.25">
      <c r="A148" s="503" t="s">
        <v>14</v>
      </c>
      <c r="B148" s="0" t="s">
        <v>3444</v>
      </c>
      <c r="C148" s="0" t="s">
        <v>3445</v>
      </c>
      <c r="D148" s="0" t="s">
        <v>3449</v>
      </c>
      <c r="E148" s="0" t="s">
        <v>3450</v>
      </c>
      <c r="F148" s="0" t="s">
        <v>3092</v>
      </c>
      <c r="G148" s="0" t="s">
        <v>3451</v>
      </c>
    </row>
    <row customHeight="1" ht="11.25">
      <c r="A149" s="503" t="s">
        <v>14</v>
      </c>
      <c r="B149" s="0" t="s">
        <v>3444</v>
      </c>
      <c r="C149" s="0" t="s">
        <v>3445</v>
      </c>
      <c r="D149" s="0" t="s">
        <v>3452</v>
      </c>
      <c r="E149" s="0" t="s">
        <v>3453</v>
      </c>
      <c r="F149" s="0" t="s">
        <v>3092</v>
      </c>
      <c r="G149" s="0" t="s">
        <v>3454</v>
      </c>
    </row>
    <row customHeight="1" ht="11.25">
      <c r="A150" s="503" t="s">
        <v>14</v>
      </c>
      <c r="B150" s="0" t="s">
        <v>3444</v>
      </c>
      <c r="C150" s="0" t="s">
        <v>3445</v>
      </c>
      <c r="D150" s="0" t="s">
        <v>3455</v>
      </c>
      <c r="E150" s="0" t="s">
        <v>3456</v>
      </c>
      <c r="F150" s="0" t="s">
        <v>3092</v>
      </c>
      <c r="G150" s="0" t="s">
        <v>3457</v>
      </c>
    </row>
    <row customHeight="1" ht="11.25">
      <c r="A151" s="503" t="s">
        <v>14</v>
      </c>
      <c r="B151" s="0" t="s">
        <v>3444</v>
      </c>
      <c r="C151" s="0" t="s">
        <v>3445</v>
      </c>
      <c r="D151" s="0" t="s">
        <v>3458</v>
      </c>
      <c r="E151" s="0" t="s">
        <v>3459</v>
      </c>
      <c r="F151" s="0" t="s">
        <v>3092</v>
      </c>
      <c r="G151" s="0" t="s">
        <v>3460</v>
      </c>
    </row>
    <row customHeight="1" ht="11.25">
      <c r="A152" s="503" t="s">
        <v>14</v>
      </c>
      <c r="B152" s="0" t="s">
        <v>3444</v>
      </c>
      <c r="C152" s="0" t="s">
        <v>3445</v>
      </c>
      <c r="D152" s="0" t="s">
        <v>3461</v>
      </c>
      <c r="E152" s="0" t="s">
        <v>3462</v>
      </c>
      <c r="F152" s="0" t="s">
        <v>3092</v>
      </c>
      <c r="G152" s="0" t="s">
        <v>3463</v>
      </c>
    </row>
    <row customHeight="1" ht="11.25">
      <c r="A153" s="503" t="s">
        <v>14</v>
      </c>
      <c r="B153" s="0" t="s">
        <v>3444</v>
      </c>
      <c r="C153" s="0" t="s">
        <v>3445</v>
      </c>
      <c r="D153" s="0" t="s">
        <v>3464</v>
      </c>
      <c r="E153" s="0" t="s">
        <v>3465</v>
      </c>
      <c r="F153" s="0" t="s">
        <v>3092</v>
      </c>
      <c r="G153" s="0" t="s">
        <v>3466</v>
      </c>
    </row>
    <row customHeight="1" ht="11.25">
      <c r="A154" s="503" t="s">
        <v>14</v>
      </c>
      <c r="B154" s="0" t="s">
        <v>3444</v>
      </c>
      <c r="C154" s="0" t="s">
        <v>3445</v>
      </c>
      <c r="D154" s="0" t="s">
        <v>3467</v>
      </c>
      <c r="E154" s="0" t="s">
        <v>3468</v>
      </c>
      <c r="F154" s="0" t="s">
        <v>3108</v>
      </c>
      <c r="G154" s="0" t="s">
        <v>3469</v>
      </c>
    </row>
    <row customHeight="1" ht="11.25">
      <c r="A155" s="503" t="s">
        <v>14</v>
      </c>
      <c r="B155" s="0" t="s">
        <v>3444</v>
      </c>
      <c r="C155" s="0" t="s">
        <v>3445</v>
      </c>
      <c r="D155" s="0" t="s">
        <v>3470</v>
      </c>
      <c r="E155" s="0" t="s">
        <v>3471</v>
      </c>
      <c r="F155" s="0" t="s">
        <v>3108</v>
      </c>
      <c r="G155" s="0" t="s">
        <v>3472</v>
      </c>
    </row>
    <row customHeight="1" ht="11.25">
      <c r="A156" s="503" t="s">
        <v>14</v>
      </c>
      <c r="B156" s="0" t="s">
        <v>3444</v>
      </c>
      <c r="C156" s="0" t="s">
        <v>3445</v>
      </c>
      <c r="D156" s="0" t="s">
        <v>3444</v>
      </c>
      <c r="E156" s="0" t="s">
        <v>3445</v>
      </c>
      <c r="F156" s="0" t="s">
        <v>3089</v>
      </c>
      <c r="G156" s="0" t="s">
        <v>3473</v>
      </c>
    </row>
    <row customHeight="1" ht="11.25">
      <c r="A157" s="503" t="s">
        <v>14</v>
      </c>
      <c r="B157" s="0" t="s">
        <v>3444</v>
      </c>
      <c r="C157" s="0" t="s">
        <v>3445</v>
      </c>
      <c r="D157" s="0" t="s">
        <v>3474</v>
      </c>
      <c r="E157" s="0" t="s">
        <v>3475</v>
      </c>
      <c r="F157" s="0" t="s">
        <v>3092</v>
      </c>
      <c r="G157" s="0" t="s">
        <v>3476</v>
      </c>
    </row>
    <row customHeight="1" ht="11.25">
      <c r="A158" s="503" t="s">
        <v>14</v>
      </c>
      <c r="B158" s="0" t="s">
        <v>3444</v>
      </c>
      <c r="C158" s="0" t="s">
        <v>3445</v>
      </c>
      <c r="D158" s="0" t="s">
        <v>3477</v>
      </c>
      <c r="E158" s="0" t="s">
        <v>3478</v>
      </c>
      <c r="F158" s="0" t="s">
        <v>3092</v>
      </c>
      <c r="G158" s="0" t="s">
        <v>3479</v>
      </c>
    </row>
    <row customHeight="1" ht="11.25">
      <c r="A159" s="503" t="s">
        <v>14</v>
      </c>
      <c r="B159" s="0" t="s">
        <v>3444</v>
      </c>
      <c r="C159" s="0" t="s">
        <v>3445</v>
      </c>
      <c r="D159" s="0" t="s">
        <v>3480</v>
      </c>
      <c r="E159" s="0" t="s">
        <v>3481</v>
      </c>
      <c r="F159" s="0" t="s">
        <v>3092</v>
      </c>
      <c r="G159" s="0" t="s">
        <v>3482</v>
      </c>
    </row>
    <row customHeight="1" ht="11.25">
      <c r="A160" s="503" t="s">
        <v>14</v>
      </c>
      <c r="B160" s="0" t="s">
        <v>3483</v>
      </c>
      <c r="C160" s="0" t="s">
        <v>3484</v>
      </c>
      <c r="D160" s="0" t="s">
        <v>3485</v>
      </c>
      <c r="E160" s="0" t="s">
        <v>3486</v>
      </c>
      <c r="F160" s="0" t="s">
        <v>3092</v>
      </c>
      <c r="G160" s="0" t="s">
        <v>3487</v>
      </c>
    </row>
    <row customHeight="1" ht="11.25">
      <c r="A161" s="503" t="s">
        <v>14</v>
      </c>
      <c r="B161" s="0" t="s">
        <v>3483</v>
      </c>
      <c r="C161" s="0" t="s">
        <v>3484</v>
      </c>
      <c r="D161" s="0" t="s">
        <v>3488</v>
      </c>
      <c r="E161" s="0" t="s">
        <v>3489</v>
      </c>
      <c r="F161" s="0" t="s">
        <v>3119</v>
      </c>
      <c r="G161" s="0" t="s">
        <v>3490</v>
      </c>
    </row>
    <row customHeight="1" ht="11.25">
      <c r="A162" s="503" t="s">
        <v>14</v>
      </c>
      <c r="B162" s="0" t="s">
        <v>3483</v>
      </c>
      <c r="C162" s="0" t="s">
        <v>3484</v>
      </c>
      <c r="D162" s="0" t="s">
        <v>3491</v>
      </c>
      <c r="E162" s="0" t="s">
        <v>3492</v>
      </c>
      <c r="F162" s="0" t="s">
        <v>3092</v>
      </c>
      <c r="G162" s="0" t="s">
        <v>3493</v>
      </c>
    </row>
    <row customHeight="1" ht="11.25">
      <c r="A163" s="503" t="s">
        <v>14</v>
      </c>
      <c r="B163" s="0" t="s">
        <v>3483</v>
      </c>
      <c r="C163" s="0" t="s">
        <v>3484</v>
      </c>
      <c r="D163" s="0" t="s">
        <v>3483</v>
      </c>
      <c r="E163" s="0" t="s">
        <v>3484</v>
      </c>
      <c r="F163" s="0" t="s">
        <v>3089</v>
      </c>
      <c r="G163" s="0" t="s">
        <v>3494</v>
      </c>
    </row>
    <row customHeight="1" ht="11.25">
      <c r="A164" s="503" t="s">
        <v>14</v>
      </c>
      <c r="B164" s="0" t="s">
        <v>3483</v>
      </c>
      <c r="C164" s="0" t="s">
        <v>3484</v>
      </c>
      <c r="D164" s="0" t="s">
        <v>3495</v>
      </c>
      <c r="E164" s="0" t="s">
        <v>3496</v>
      </c>
      <c r="F164" s="0" t="s">
        <v>3092</v>
      </c>
      <c r="G164" s="0" t="s">
        <v>3497</v>
      </c>
    </row>
    <row customHeight="1" ht="11.25">
      <c r="A165" s="503" t="s">
        <v>14</v>
      </c>
      <c r="B165" s="0" t="s">
        <v>3483</v>
      </c>
      <c r="C165" s="0" t="s">
        <v>3484</v>
      </c>
      <c r="D165" s="0" t="s">
        <v>3498</v>
      </c>
      <c r="E165" s="0" t="s">
        <v>3499</v>
      </c>
      <c r="F165" s="0" t="s">
        <v>3092</v>
      </c>
      <c r="G165" s="0" t="s">
        <v>3500</v>
      </c>
    </row>
    <row customHeight="1" ht="11.25">
      <c r="A166" s="503" t="s">
        <v>14</v>
      </c>
      <c r="B166" s="0" t="s">
        <v>3483</v>
      </c>
      <c r="C166" s="0" t="s">
        <v>3484</v>
      </c>
      <c r="D166" s="0" t="s">
        <v>3501</v>
      </c>
      <c r="E166" s="0" t="s">
        <v>3502</v>
      </c>
      <c r="F166" s="0" t="s">
        <v>3092</v>
      </c>
      <c r="G166" s="0" t="s">
        <v>3503</v>
      </c>
    </row>
    <row customHeight="1" ht="11.25">
      <c r="A167" s="503" t="s">
        <v>14</v>
      </c>
      <c r="B167" s="0" t="s">
        <v>3504</v>
      </c>
      <c r="C167" s="0" t="s">
        <v>3505</v>
      </c>
      <c r="D167" s="0" t="s">
        <v>3506</v>
      </c>
      <c r="E167" s="0" t="s">
        <v>3507</v>
      </c>
      <c r="F167" s="0" t="s">
        <v>3092</v>
      </c>
      <c r="G167" s="0" t="s">
        <v>3508</v>
      </c>
    </row>
    <row customHeight="1" ht="11.25">
      <c r="A168" s="503" t="s">
        <v>14</v>
      </c>
      <c r="B168" s="0" t="s">
        <v>3504</v>
      </c>
      <c r="C168" s="0" t="s">
        <v>3505</v>
      </c>
      <c r="D168" s="0" t="s">
        <v>3509</v>
      </c>
      <c r="E168" s="0" t="s">
        <v>3510</v>
      </c>
      <c r="F168" s="0" t="s">
        <v>3092</v>
      </c>
      <c r="G168" s="0" t="s">
        <v>3511</v>
      </c>
    </row>
    <row customHeight="1" ht="11.25">
      <c r="A169" s="503" t="s">
        <v>14</v>
      </c>
      <c r="B169" s="0" t="s">
        <v>3504</v>
      </c>
      <c r="C169" s="0" t="s">
        <v>3505</v>
      </c>
      <c r="D169" s="0" t="s">
        <v>3512</v>
      </c>
      <c r="E169" s="0" t="s">
        <v>3513</v>
      </c>
      <c r="F169" s="0" t="s">
        <v>3092</v>
      </c>
      <c r="G169" s="0" t="s">
        <v>3514</v>
      </c>
    </row>
    <row customHeight="1" ht="11.25">
      <c r="A170" s="503" t="s">
        <v>14</v>
      </c>
      <c r="B170" s="0" t="s">
        <v>3504</v>
      </c>
      <c r="C170" s="0" t="s">
        <v>3505</v>
      </c>
      <c r="D170" s="0" t="s">
        <v>3515</v>
      </c>
      <c r="E170" s="0" t="s">
        <v>3516</v>
      </c>
      <c r="F170" s="0" t="s">
        <v>3092</v>
      </c>
      <c r="G170" s="0" t="s">
        <v>3517</v>
      </c>
    </row>
    <row customHeight="1" ht="11.25">
      <c r="A171" s="503" t="s">
        <v>14</v>
      </c>
      <c r="B171" s="0" t="s">
        <v>3504</v>
      </c>
      <c r="C171" s="0" t="s">
        <v>3505</v>
      </c>
      <c r="D171" s="0" t="s">
        <v>3518</v>
      </c>
      <c r="E171" s="0" t="s">
        <v>3519</v>
      </c>
      <c r="F171" s="0" t="s">
        <v>3092</v>
      </c>
      <c r="G171" s="0" t="s">
        <v>3520</v>
      </c>
    </row>
    <row customHeight="1" ht="11.25">
      <c r="A172" s="503" t="s">
        <v>14</v>
      </c>
      <c r="B172" s="0" t="s">
        <v>3504</v>
      </c>
      <c r="C172" s="0" t="s">
        <v>3505</v>
      </c>
      <c r="D172" s="0" t="s">
        <v>3521</v>
      </c>
      <c r="E172" s="0" t="s">
        <v>3522</v>
      </c>
      <c r="F172" s="0" t="s">
        <v>3092</v>
      </c>
      <c r="G172" s="0" t="s">
        <v>3523</v>
      </c>
    </row>
    <row customHeight="1" ht="11.25">
      <c r="A173" s="503" t="s">
        <v>14</v>
      </c>
      <c r="B173" s="0" t="s">
        <v>3504</v>
      </c>
      <c r="C173" s="0" t="s">
        <v>3505</v>
      </c>
      <c r="D173" s="0" t="s">
        <v>3524</v>
      </c>
      <c r="E173" s="0" t="s">
        <v>3525</v>
      </c>
      <c r="F173" s="0" t="s">
        <v>3092</v>
      </c>
      <c r="G173" s="0" t="s">
        <v>3526</v>
      </c>
    </row>
    <row customHeight="1" ht="11.25">
      <c r="A174" s="503" t="s">
        <v>14</v>
      </c>
      <c r="B174" s="0" t="s">
        <v>3504</v>
      </c>
      <c r="C174" s="0" t="s">
        <v>3505</v>
      </c>
      <c r="D174" s="0" t="s">
        <v>3527</v>
      </c>
      <c r="E174" s="0" t="s">
        <v>3528</v>
      </c>
      <c r="F174" s="0" t="s">
        <v>3092</v>
      </c>
      <c r="G174" s="0" t="s">
        <v>3529</v>
      </c>
    </row>
    <row customHeight="1" ht="11.25">
      <c r="A175" s="503" t="s">
        <v>14</v>
      </c>
      <c r="B175" s="0" t="s">
        <v>3504</v>
      </c>
      <c r="C175" s="0" t="s">
        <v>3505</v>
      </c>
      <c r="D175" s="0" t="s">
        <v>3530</v>
      </c>
      <c r="E175" s="0" t="s">
        <v>3531</v>
      </c>
      <c r="F175" s="0" t="s">
        <v>3092</v>
      </c>
      <c r="G175" s="0" t="s">
        <v>3532</v>
      </c>
    </row>
    <row customHeight="1" ht="11.25">
      <c r="A176" s="503" t="s">
        <v>14</v>
      </c>
      <c r="B176" s="0" t="s">
        <v>3504</v>
      </c>
      <c r="C176" s="0" t="s">
        <v>3505</v>
      </c>
      <c r="D176" s="0" t="s">
        <v>3533</v>
      </c>
      <c r="E176" s="0" t="s">
        <v>3534</v>
      </c>
      <c r="F176" s="0" t="s">
        <v>3092</v>
      </c>
      <c r="G176" s="0" t="s">
        <v>3535</v>
      </c>
    </row>
    <row customHeight="1" ht="11.25">
      <c r="A177" s="503" t="s">
        <v>14</v>
      </c>
      <c r="B177" s="0" t="s">
        <v>3504</v>
      </c>
      <c r="C177" s="0" t="s">
        <v>3505</v>
      </c>
      <c r="D177" s="0" t="s">
        <v>3536</v>
      </c>
      <c r="E177" s="0" t="s">
        <v>3537</v>
      </c>
      <c r="F177" s="0" t="s">
        <v>3092</v>
      </c>
      <c r="G177" s="0" t="s">
        <v>3538</v>
      </c>
    </row>
    <row customHeight="1" ht="11.25">
      <c r="A178" s="503" t="s">
        <v>14</v>
      </c>
      <c r="B178" s="0" t="s">
        <v>3504</v>
      </c>
      <c r="C178" s="0" t="s">
        <v>3505</v>
      </c>
      <c r="D178" s="0" t="s">
        <v>3539</v>
      </c>
      <c r="E178" s="0" t="s">
        <v>3540</v>
      </c>
      <c r="F178" s="0" t="s">
        <v>3092</v>
      </c>
      <c r="G178" s="0" t="s">
        <v>3541</v>
      </c>
    </row>
    <row customHeight="1" ht="11.25">
      <c r="A179" s="503" t="s">
        <v>14</v>
      </c>
      <c r="B179" s="0" t="s">
        <v>3504</v>
      </c>
      <c r="C179" s="0" t="s">
        <v>3505</v>
      </c>
      <c r="D179" s="0" t="s">
        <v>3542</v>
      </c>
      <c r="E179" s="0" t="s">
        <v>3543</v>
      </c>
      <c r="F179" s="0" t="s">
        <v>3092</v>
      </c>
      <c r="G179" s="0" t="s">
        <v>3544</v>
      </c>
    </row>
    <row customHeight="1" ht="11.25">
      <c r="A180" s="503" t="s">
        <v>14</v>
      </c>
      <c r="B180" s="0" t="s">
        <v>3504</v>
      </c>
      <c r="C180" s="0" t="s">
        <v>3505</v>
      </c>
      <c r="D180" s="0" t="s">
        <v>3545</v>
      </c>
      <c r="E180" s="0" t="s">
        <v>3546</v>
      </c>
      <c r="F180" s="0" t="s">
        <v>3092</v>
      </c>
      <c r="G180" s="0" t="s">
        <v>3547</v>
      </c>
    </row>
    <row customHeight="1" ht="11.25">
      <c r="A181" s="503" t="s">
        <v>14</v>
      </c>
      <c r="B181" s="0" t="s">
        <v>3504</v>
      </c>
      <c r="C181" s="0" t="s">
        <v>3505</v>
      </c>
      <c r="D181" s="0" t="s">
        <v>3548</v>
      </c>
      <c r="E181" s="0" t="s">
        <v>3549</v>
      </c>
      <c r="F181" s="0" t="s">
        <v>3092</v>
      </c>
      <c r="G181" s="0" t="s">
        <v>3550</v>
      </c>
    </row>
    <row customHeight="1" ht="11.25">
      <c r="A182" s="503" t="s">
        <v>14</v>
      </c>
      <c r="B182" s="0" t="s">
        <v>3504</v>
      </c>
      <c r="C182" s="0" t="s">
        <v>3505</v>
      </c>
      <c r="D182" s="0" t="s">
        <v>3551</v>
      </c>
      <c r="E182" s="0" t="s">
        <v>3552</v>
      </c>
      <c r="F182" s="0" t="s">
        <v>3092</v>
      </c>
      <c r="G182" s="0" t="s">
        <v>3553</v>
      </c>
    </row>
    <row customHeight="1" ht="11.25">
      <c r="A183" s="503" t="s">
        <v>14</v>
      </c>
      <c r="B183" s="0" t="s">
        <v>3504</v>
      </c>
      <c r="C183" s="0" t="s">
        <v>3505</v>
      </c>
      <c r="D183" s="0" t="s">
        <v>3504</v>
      </c>
      <c r="E183" s="0" t="s">
        <v>3505</v>
      </c>
      <c r="F183" s="0" t="s">
        <v>3089</v>
      </c>
      <c r="G183" s="0" t="s">
        <v>3554</v>
      </c>
    </row>
    <row customHeight="1" ht="11.25">
      <c r="A184" s="503" t="s">
        <v>14</v>
      </c>
      <c r="B184" s="0" t="s">
        <v>3504</v>
      </c>
      <c r="C184" s="0" t="s">
        <v>3505</v>
      </c>
      <c r="D184" s="0" t="s">
        <v>3555</v>
      </c>
      <c r="E184" s="0" t="s">
        <v>3556</v>
      </c>
      <c r="F184" s="0" t="s">
        <v>3092</v>
      </c>
      <c r="G184" s="0" t="s">
        <v>3557</v>
      </c>
    </row>
    <row customHeight="1" ht="11.25">
      <c r="A185" s="503" t="s">
        <v>14</v>
      </c>
      <c r="B185" s="0" t="s">
        <v>3504</v>
      </c>
      <c r="C185" s="0" t="s">
        <v>3505</v>
      </c>
      <c r="D185" s="0" t="s">
        <v>3558</v>
      </c>
      <c r="E185" s="0" t="s">
        <v>3559</v>
      </c>
      <c r="F185" s="0" t="s">
        <v>3092</v>
      </c>
      <c r="G185" s="0" t="s">
        <v>3560</v>
      </c>
    </row>
    <row customHeight="1" ht="11.25">
      <c r="A186" s="503" t="s">
        <v>14</v>
      </c>
      <c r="B186" s="0" t="s">
        <v>130</v>
      </c>
      <c r="C186" s="0" t="s">
        <v>3561</v>
      </c>
      <c r="D186" s="0" t="s">
        <v>3562</v>
      </c>
      <c r="E186" s="0" t="s">
        <v>3563</v>
      </c>
      <c r="F186" s="0" t="s">
        <v>3092</v>
      </c>
      <c r="G186" s="0" t="s">
        <v>3564</v>
      </c>
    </row>
    <row customHeight="1" ht="11.25">
      <c r="A187" s="503" t="s">
        <v>14</v>
      </c>
      <c r="B187" s="0" t="s">
        <v>130</v>
      </c>
      <c r="C187" s="0" t="s">
        <v>3561</v>
      </c>
      <c r="D187" s="0" t="s">
        <v>3565</v>
      </c>
      <c r="E187" s="0" t="s">
        <v>3566</v>
      </c>
      <c r="F187" s="0" t="s">
        <v>3092</v>
      </c>
      <c r="G187" s="0" t="s">
        <v>3567</v>
      </c>
    </row>
    <row customHeight="1" ht="11.25">
      <c r="A188" s="503" t="s">
        <v>14</v>
      </c>
      <c r="B188" s="0" t="s">
        <v>130</v>
      </c>
      <c r="C188" s="0" t="s">
        <v>3561</v>
      </c>
      <c r="D188" s="0" t="s">
        <v>143</v>
      </c>
      <c r="E188" s="0" t="s">
        <v>144</v>
      </c>
      <c r="F188" s="0" t="s">
        <v>3092</v>
      </c>
      <c r="G188" s="0" t="s">
        <v>142</v>
      </c>
    </row>
    <row customHeight="1" ht="11.25">
      <c r="A189" s="503" t="s">
        <v>14</v>
      </c>
      <c r="B189" s="0" t="s">
        <v>130</v>
      </c>
      <c r="C189" s="0" t="s">
        <v>3561</v>
      </c>
      <c r="D189" s="0" t="s">
        <v>3568</v>
      </c>
      <c r="E189" s="0" t="s">
        <v>3569</v>
      </c>
      <c r="F189" s="0" t="s">
        <v>3092</v>
      </c>
      <c r="G189" s="0" t="s">
        <v>3570</v>
      </c>
    </row>
    <row customHeight="1" ht="11.25">
      <c r="A190" s="503" t="s">
        <v>14</v>
      </c>
      <c r="B190" s="0" t="s">
        <v>130</v>
      </c>
      <c r="C190" s="0" t="s">
        <v>3561</v>
      </c>
      <c r="D190" s="0" t="s">
        <v>154</v>
      </c>
      <c r="E190" s="0" t="s">
        <v>155</v>
      </c>
      <c r="F190" s="0" t="s">
        <v>3092</v>
      </c>
      <c r="G190" s="0" t="s">
        <v>153</v>
      </c>
    </row>
    <row customHeight="1" ht="11.25">
      <c r="A191" s="503" t="s">
        <v>14</v>
      </c>
      <c r="B191" s="0" t="s">
        <v>130</v>
      </c>
      <c r="C191" s="0" t="s">
        <v>3561</v>
      </c>
      <c r="D191" s="0" t="s">
        <v>3571</v>
      </c>
      <c r="E191" s="0" t="s">
        <v>3572</v>
      </c>
      <c r="F191" s="0" t="s">
        <v>3092</v>
      </c>
      <c r="G191" s="0" t="s">
        <v>3573</v>
      </c>
    </row>
    <row customHeight="1" ht="11.25">
      <c r="A192" s="503" t="s">
        <v>14</v>
      </c>
      <c r="B192" s="0" t="s">
        <v>130</v>
      </c>
      <c r="C192" s="0" t="s">
        <v>3561</v>
      </c>
      <c r="D192" s="0" t="s">
        <v>131</v>
      </c>
      <c r="E192" s="0" t="s">
        <v>132</v>
      </c>
      <c r="F192" s="0" t="s">
        <v>3092</v>
      </c>
      <c r="G192" s="0" t="s">
        <v>129</v>
      </c>
    </row>
    <row customHeight="1" ht="11.25">
      <c r="A193" s="503" t="s">
        <v>14</v>
      </c>
      <c r="B193" s="0" t="s">
        <v>130</v>
      </c>
      <c r="C193" s="0" t="s">
        <v>3561</v>
      </c>
      <c r="D193" s="0" t="s">
        <v>3574</v>
      </c>
      <c r="E193" s="0" t="s">
        <v>3575</v>
      </c>
      <c r="F193" s="0" t="s">
        <v>3092</v>
      </c>
      <c r="G193" s="0" t="s">
        <v>3576</v>
      </c>
    </row>
    <row customHeight="1" ht="11.25">
      <c r="A194" s="503" t="s">
        <v>14</v>
      </c>
      <c r="B194" s="0" t="s">
        <v>130</v>
      </c>
      <c r="C194" s="0" t="s">
        <v>3561</v>
      </c>
      <c r="D194" s="0" t="s">
        <v>3577</v>
      </c>
      <c r="E194" s="0" t="s">
        <v>3578</v>
      </c>
      <c r="F194" s="0" t="s">
        <v>3092</v>
      </c>
      <c r="G194" s="0" t="s">
        <v>3579</v>
      </c>
    </row>
    <row customHeight="1" ht="11.25">
      <c r="A195" s="503" t="s">
        <v>14</v>
      </c>
      <c r="B195" s="0" t="s">
        <v>130</v>
      </c>
      <c r="C195" s="0" t="s">
        <v>3561</v>
      </c>
      <c r="D195" s="0" t="s">
        <v>3580</v>
      </c>
      <c r="E195" s="0" t="s">
        <v>3581</v>
      </c>
      <c r="F195" s="0" t="s">
        <v>3092</v>
      </c>
      <c r="G195" s="0" t="s">
        <v>3582</v>
      </c>
    </row>
    <row customHeight="1" ht="11.25">
      <c r="A196" s="503" t="s">
        <v>14</v>
      </c>
      <c r="B196" s="0" t="s">
        <v>130</v>
      </c>
      <c r="C196" s="0" t="s">
        <v>3561</v>
      </c>
      <c r="D196" s="0" t="s">
        <v>3583</v>
      </c>
      <c r="E196" s="0" t="s">
        <v>3584</v>
      </c>
      <c r="F196" s="0" t="s">
        <v>3092</v>
      </c>
      <c r="G196" s="0" t="s">
        <v>3585</v>
      </c>
    </row>
    <row customHeight="1" ht="11.25">
      <c r="A197" s="503" t="s">
        <v>14</v>
      </c>
      <c r="B197" s="0" t="s">
        <v>130</v>
      </c>
      <c r="C197" s="0" t="s">
        <v>3561</v>
      </c>
      <c r="D197" s="0" t="s">
        <v>3586</v>
      </c>
      <c r="E197" s="0" t="s">
        <v>3587</v>
      </c>
      <c r="F197" s="0" t="s">
        <v>3092</v>
      </c>
      <c r="G197" s="0" t="s">
        <v>3588</v>
      </c>
    </row>
    <row customHeight="1" ht="11.25">
      <c r="A198" s="503" t="s">
        <v>14</v>
      </c>
      <c r="B198" s="0" t="s">
        <v>130</v>
      </c>
      <c r="C198" s="0" t="s">
        <v>3561</v>
      </c>
      <c r="D198" s="0" t="s">
        <v>146</v>
      </c>
      <c r="E198" s="0" t="s">
        <v>147</v>
      </c>
      <c r="F198" s="0" t="s">
        <v>3092</v>
      </c>
      <c r="G198" s="0" t="s">
        <v>145</v>
      </c>
    </row>
    <row customHeight="1" ht="11.25">
      <c r="A199" s="503" t="s">
        <v>14</v>
      </c>
      <c r="B199" s="0" t="s">
        <v>130</v>
      </c>
      <c r="C199" s="0" t="s">
        <v>3561</v>
      </c>
      <c r="D199" s="0" t="s">
        <v>3589</v>
      </c>
      <c r="E199" s="0" t="s">
        <v>3590</v>
      </c>
      <c r="F199" s="0" t="s">
        <v>3092</v>
      </c>
      <c r="G199" s="0" t="s">
        <v>3591</v>
      </c>
    </row>
    <row customHeight="1" ht="11.25">
      <c r="A200" s="503" t="s">
        <v>14</v>
      </c>
      <c r="B200" s="0" t="s">
        <v>130</v>
      </c>
      <c r="C200" s="0" t="s">
        <v>3561</v>
      </c>
      <c r="D200" s="0" t="s">
        <v>3592</v>
      </c>
      <c r="E200" s="0" t="s">
        <v>3593</v>
      </c>
      <c r="F200" s="0" t="s">
        <v>3092</v>
      </c>
      <c r="G200" s="0" t="s">
        <v>3594</v>
      </c>
    </row>
    <row customHeight="1" ht="11.25">
      <c r="A201" s="503" t="s">
        <v>14</v>
      </c>
      <c r="B201" s="0" t="s">
        <v>130</v>
      </c>
      <c r="C201" s="0" t="s">
        <v>3561</v>
      </c>
      <c r="D201" s="0" t="s">
        <v>157</v>
      </c>
      <c r="E201" s="0" t="s">
        <v>158</v>
      </c>
      <c r="F201" s="0" t="s">
        <v>3092</v>
      </c>
      <c r="G201" s="0" t="s">
        <v>156</v>
      </c>
    </row>
    <row customHeight="1" ht="11.25">
      <c r="A202" s="503" t="s">
        <v>14</v>
      </c>
      <c r="B202" s="0" t="s">
        <v>130</v>
      </c>
      <c r="C202" s="0" t="s">
        <v>3561</v>
      </c>
      <c r="D202" s="0" t="s">
        <v>3595</v>
      </c>
      <c r="E202" s="0" t="s">
        <v>3596</v>
      </c>
      <c r="F202" s="0" t="s">
        <v>3092</v>
      </c>
      <c r="G202" s="0" t="s">
        <v>3597</v>
      </c>
    </row>
    <row customHeight="1" ht="11.25">
      <c r="A203" s="503" t="s">
        <v>14</v>
      </c>
      <c r="B203" s="0" t="s">
        <v>130</v>
      </c>
      <c r="C203" s="0" t="s">
        <v>3561</v>
      </c>
      <c r="D203" s="0" t="s">
        <v>3598</v>
      </c>
      <c r="E203" s="0" t="s">
        <v>3599</v>
      </c>
      <c r="F203" s="0" t="s">
        <v>3092</v>
      </c>
      <c r="G203" s="0" t="s">
        <v>3600</v>
      </c>
    </row>
    <row customHeight="1" ht="11.25">
      <c r="A204" s="503" t="s">
        <v>14</v>
      </c>
      <c r="B204" s="0" t="s">
        <v>130</v>
      </c>
      <c r="C204" s="0" t="s">
        <v>3561</v>
      </c>
      <c r="D204" s="0" t="s">
        <v>3601</v>
      </c>
      <c r="E204" s="0" t="s">
        <v>3602</v>
      </c>
      <c r="F204" s="0" t="s">
        <v>3092</v>
      </c>
      <c r="G204" s="0" t="s">
        <v>3603</v>
      </c>
    </row>
    <row customHeight="1" ht="11.25">
      <c r="A205" s="503" t="s">
        <v>14</v>
      </c>
      <c r="B205" s="0" t="s">
        <v>130</v>
      </c>
      <c r="C205" s="0" t="s">
        <v>3561</v>
      </c>
      <c r="D205" s="0" t="s">
        <v>3604</v>
      </c>
      <c r="E205" s="0" t="s">
        <v>3605</v>
      </c>
      <c r="F205" s="0" t="s">
        <v>3092</v>
      </c>
      <c r="G205" s="0" t="s">
        <v>3606</v>
      </c>
    </row>
    <row customHeight="1" ht="11.25">
      <c r="A206" s="503" t="s">
        <v>14</v>
      </c>
      <c r="B206" s="0" t="s">
        <v>130</v>
      </c>
      <c r="C206" s="0" t="s">
        <v>3561</v>
      </c>
      <c r="D206" s="0" t="s">
        <v>134</v>
      </c>
      <c r="E206" s="0" t="s">
        <v>135</v>
      </c>
      <c r="F206" s="0" t="s">
        <v>3108</v>
      </c>
      <c r="G206" s="0" t="s">
        <v>133</v>
      </c>
    </row>
    <row customHeight="1" ht="11.25">
      <c r="A207" s="503" t="s">
        <v>14</v>
      </c>
      <c r="B207" s="0" t="s">
        <v>130</v>
      </c>
      <c r="C207" s="0" t="s">
        <v>3561</v>
      </c>
      <c r="D207" s="0" t="s">
        <v>137</v>
      </c>
      <c r="E207" s="0" t="s">
        <v>138</v>
      </c>
      <c r="F207" s="0" t="s">
        <v>3092</v>
      </c>
      <c r="G207" s="0" t="s">
        <v>136</v>
      </c>
    </row>
    <row customHeight="1" ht="11.25">
      <c r="A208" s="503" t="s">
        <v>14</v>
      </c>
      <c r="B208" s="0" t="s">
        <v>130</v>
      </c>
      <c r="C208" s="0" t="s">
        <v>3561</v>
      </c>
      <c r="D208" s="0" t="s">
        <v>3607</v>
      </c>
      <c r="E208" s="0" t="s">
        <v>3608</v>
      </c>
      <c r="F208" s="0" t="s">
        <v>3092</v>
      </c>
      <c r="G208" s="0" t="s">
        <v>3609</v>
      </c>
    </row>
    <row customHeight="1" ht="11.25">
      <c r="A209" s="503" t="s">
        <v>14</v>
      </c>
      <c r="B209" s="0" t="s">
        <v>130</v>
      </c>
      <c r="C209" s="0" t="s">
        <v>3561</v>
      </c>
      <c r="D209" s="0" t="s">
        <v>3610</v>
      </c>
      <c r="E209" s="0" t="s">
        <v>3611</v>
      </c>
      <c r="F209" s="0" t="s">
        <v>3092</v>
      </c>
      <c r="G209" s="0" t="s">
        <v>3612</v>
      </c>
    </row>
    <row customHeight="1" ht="11.25">
      <c r="A210" s="503" t="s">
        <v>14</v>
      </c>
      <c r="B210" s="0" t="s">
        <v>130</v>
      </c>
      <c r="C210" s="0" t="s">
        <v>3561</v>
      </c>
      <c r="D210" s="0" t="s">
        <v>149</v>
      </c>
      <c r="E210" s="0" t="s">
        <v>150</v>
      </c>
      <c r="F210" s="0" t="s">
        <v>3092</v>
      </c>
      <c r="G210" s="0" t="s">
        <v>148</v>
      </c>
    </row>
    <row customHeight="1" ht="11.25">
      <c r="A211" s="503" t="s">
        <v>14</v>
      </c>
      <c r="B211" s="0" t="s">
        <v>130</v>
      </c>
      <c r="C211" s="0" t="s">
        <v>3561</v>
      </c>
      <c r="D211" s="0" t="s">
        <v>3613</v>
      </c>
      <c r="E211" s="0" t="s">
        <v>3614</v>
      </c>
      <c r="F211" s="0" t="s">
        <v>3092</v>
      </c>
      <c r="G211" s="0" t="s">
        <v>3615</v>
      </c>
    </row>
    <row customHeight="1" ht="11.25">
      <c r="A212" s="503" t="s">
        <v>14</v>
      </c>
      <c r="B212" s="0" t="s">
        <v>130</v>
      </c>
      <c r="C212" s="0" t="s">
        <v>3561</v>
      </c>
      <c r="D212" s="0" t="s">
        <v>130</v>
      </c>
      <c r="E212" s="0" t="s">
        <v>3561</v>
      </c>
      <c r="F212" s="0" t="s">
        <v>3089</v>
      </c>
      <c r="G212" s="0" t="s">
        <v>3616</v>
      </c>
    </row>
    <row customHeight="1" ht="11.25">
      <c r="A213" s="503" t="s">
        <v>14</v>
      </c>
      <c r="B213" s="0" t="s">
        <v>130</v>
      </c>
      <c r="C213" s="0" t="s">
        <v>3561</v>
      </c>
      <c r="D213" s="0" t="s">
        <v>3617</v>
      </c>
      <c r="E213" s="0" t="s">
        <v>3618</v>
      </c>
      <c r="F213" s="0" t="s">
        <v>3092</v>
      </c>
      <c r="G213" s="0" t="s">
        <v>3619</v>
      </c>
    </row>
    <row customHeight="1" ht="11.25">
      <c r="A214" s="503" t="s">
        <v>14</v>
      </c>
      <c r="B214" s="0" t="s">
        <v>3620</v>
      </c>
      <c r="C214" s="0" t="s">
        <v>3621</v>
      </c>
      <c r="D214" s="0" t="s">
        <v>3622</v>
      </c>
      <c r="E214" s="0" t="s">
        <v>3623</v>
      </c>
      <c r="F214" s="0" t="s">
        <v>3092</v>
      </c>
      <c r="G214" s="0" t="s">
        <v>3624</v>
      </c>
    </row>
    <row customHeight="1" ht="11.25">
      <c r="A215" s="503" t="s">
        <v>14</v>
      </c>
      <c r="B215" s="0" t="s">
        <v>3620</v>
      </c>
      <c r="C215" s="0" t="s">
        <v>3621</v>
      </c>
      <c r="D215" s="0" t="s">
        <v>3625</v>
      </c>
      <c r="E215" s="0" t="s">
        <v>3626</v>
      </c>
      <c r="F215" s="0" t="s">
        <v>3092</v>
      </c>
      <c r="G215" s="0" t="s">
        <v>3627</v>
      </c>
    </row>
    <row customHeight="1" ht="11.25">
      <c r="A216" s="503" t="s">
        <v>14</v>
      </c>
      <c r="B216" s="0" t="s">
        <v>3620</v>
      </c>
      <c r="C216" s="0" t="s">
        <v>3621</v>
      </c>
      <c r="D216" s="0" t="s">
        <v>3628</v>
      </c>
      <c r="E216" s="0" t="s">
        <v>3629</v>
      </c>
      <c r="F216" s="0" t="s">
        <v>3092</v>
      </c>
      <c r="G216" s="0" t="s">
        <v>3630</v>
      </c>
    </row>
    <row customHeight="1" ht="11.25">
      <c r="A217" s="503" t="s">
        <v>14</v>
      </c>
      <c r="B217" s="0" t="s">
        <v>3620</v>
      </c>
      <c r="C217" s="0" t="s">
        <v>3621</v>
      </c>
      <c r="D217" s="0" t="s">
        <v>3631</v>
      </c>
      <c r="E217" s="0" t="s">
        <v>3632</v>
      </c>
      <c r="F217" s="0" t="s">
        <v>3092</v>
      </c>
      <c r="G217" s="0" t="s">
        <v>3633</v>
      </c>
    </row>
    <row customHeight="1" ht="11.25">
      <c r="A218" s="503" t="s">
        <v>14</v>
      </c>
      <c r="B218" s="0" t="s">
        <v>3620</v>
      </c>
      <c r="C218" s="0" t="s">
        <v>3621</v>
      </c>
      <c r="D218" s="0" t="s">
        <v>3634</v>
      </c>
      <c r="E218" s="0" t="s">
        <v>3635</v>
      </c>
      <c r="F218" s="0" t="s">
        <v>3092</v>
      </c>
      <c r="G218" s="0" t="s">
        <v>3636</v>
      </c>
    </row>
    <row customHeight="1" ht="11.25">
      <c r="A219" s="503" t="s">
        <v>14</v>
      </c>
      <c r="B219" s="0" t="s">
        <v>3620</v>
      </c>
      <c r="C219" s="0" t="s">
        <v>3621</v>
      </c>
      <c r="D219" s="0" t="s">
        <v>3637</v>
      </c>
      <c r="E219" s="0" t="s">
        <v>3638</v>
      </c>
      <c r="F219" s="0" t="s">
        <v>3092</v>
      </c>
      <c r="G219" s="0" t="s">
        <v>3639</v>
      </c>
    </row>
    <row customHeight="1" ht="11.25">
      <c r="A220" s="503" t="s">
        <v>14</v>
      </c>
      <c r="B220" s="0" t="s">
        <v>3620</v>
      </c>
      <c r="C220" s="0" t="s">
        <v>3621</v>
      </c>
      <c r="D220" s="0" t="s">
        <v>3640</v>
      </c>
      <c r="E220" s="0" t="s">
        <v>3641</v>
      </c>
      <c r="F220" s="0" t="s">
        <v>3092</v>
      </c>
      <c r="G220" s="0" t="s">
        <v>3642</v>
      </c>
    </row>
    <row customHeight="1" ht="11.25">
      <c r="A221" s="503" t="s">
        <v>14</v>
      </c>
      <c r="B221" s="0" t="s">
        <v>3620</v>
      </c>
      <c r="C221" s="0" t="s">
        <v>3621</v>
      </c>
      <c r="D221" s="0" t="s">
        <v>3643</v>
      </c>
      <c r="E221" s="0" t="s">
        <v>3644</v>
      </c>
      <c r="F221" s="0" t="s">
        <v>3092</v>
      </c>
      <c r="G221" s="0" t="s">
        <v>3645</v>
      </c>
    </row>
    <row customHeight="1" ht="11.25">
      <c r="A222" s="503" t="s">
        <v>14</v>
      </c>
      <c r="B222" s="0" t="s">
        <v>3620</v>
      </c>
      <c r="C222" s="0" t="s">
        <v>3621</v>
      </c>
      <c r="D222" s="0" t="s">
        <v>3646</v>
      </c>
      <c r="E222" s="0" t="s">
        <v>3647</v>
      </c>
      <c r="F222" s="0" t="s">
        <v>3092</v>
      </c>
      <c r="G222" s="0" t="s">
        <v>3648</v>
      </c>
    </row>
    <row customHeight="1" ht="11.25">
      <c r="A223" s="503" t="s">
        <v>14</v>
      </c>
      <c r="B223" s="0" t="s">
        <v>3620</v>
      </c>
      <c r="C223" s="0" t="s">
        <v>3621</v>
      </c>
      <c r="D223" s="0" t="s">
        <v>3649</v>
      </c>
      <c r="E223" s="0" t="s">
        <v>3650</v>
      </c>
      <c r="F223" s="0" t="s">
        <v>3092</v>
      </c>
      <c r="G223" s="0" t="s">
        <v>3651</v>
      </c>
    </row>
    <row customHeight="1" ht="11.25">
      <c r="A224" s="503" t="s">
        <v>14</v>
      </c>
      <c r="B224" s="0" t="s">
        <v>3620</v>
      </c>
      <c r="C224" s="0" t="s">
        <v>3621</v>
      </c>
      <c r="D224" s="0" t="s">
        <v>3652</v>
      </c>
      <c r="E224" s="0" t="s">
        <v>3653</v>
      </c>
      <c r="F224" s="0" t="s">
        <v>3092</v>
      </c>
      <c r="G224" s="0" t="s">
        <v>3654</v>
      </c>
    </row>
    <row customHeight="1" ht="11.25">
      <c r="A225" s="503" t="s">
        <v>14</v>
      </c>
      <c r="B225" s="0" t="s">
        <v>3620</v>
      </c>
      <c r="C225" s="0" t="s">
        <v>3621</v>
      </c>
      <c r="D225" s="0" t="s">
        <v>3655</v>
      </c>
      <c r="E225" s="0" t="s">
        <v>3656</v>
      </c>
      <c r="F225" s="0" t="s">
        <v>3092</v>
      </c>
      <c r="G225" s="0" t="s">
        <v>3657</v>
      </c>
    </row>
    <row customHeight="1" ht="11.25">
      <c r="A226" s="503" t="s">
        <v>14</v>
      </c>
      <c r="B226" s="0" t="s">
        <v>3620</v>
      </c>
      <c r="C226" s="0" t="s">
        <v>3621</v>
      </c>
      <c r="D226" s="0" t="s">
        <v>3658</v>
      </c>
      <c r="E226" s="0" t="s">
        <v>3659</v>
      </c>
      <c r="F226" s="0" t="s">
        <v>3108</v>
      </c>
      <c r="G226" s="0" t="s">
        <v>3660</v>
      </c>
    </row>
    <row customHeight="1" ht="11.25">
      <c r="A227" s="503" t="s">
        <v>14</v>
      </c>
      <c r="B227" s="0" t="s">
        <v>3620</v>
      </c>
      <c r="C227" s="0" t="s">
        <v>3621</v>
      </c>
      <c r="D227" s="0" t="s">
        <v>3661</v>
      </c>
      <c r="E227" s="0" t="s">
        <v>3662</v>
      </c>
      <c r="F227" s="0" t="s">
        <v>3108</v>
      </c>
      <c r="G227" s="0" t="s">
        <v>3663</v>
      </c>
    </row>
    <row customHeight="1" ht="11.25">
      <c r="A228" s="503" t="s">
        <v>14</v>
      </c>
      <c r="B228" s="0" t="s">
        <v>3620</v>
      </c>
      <c r="C228" s="0" t="s">
        <v>3621</v>
      </c>
      <c r="D228" s="0" t="s">
        <v>3664</v>
      </c>
      <c r="E228" s="0" t="s">
        <v>3665</v>
      </c>
      <c r="F228" s="0" t="s">
        <v>3108</v>
      </c>
      <c r="G228" s="0" t="s">
        <v>3666</v>
      </c>
    </row>
    <row customHeight="1" ht="11.25">
      <c r="A229" s="503" t="s">
        <v>14</v>
      </c>
      <c r="B229" s="0" t="s">
        <v>3620</v>
      </c>
      <c r="C229" s="0" t="s">
        <v>3621</v>
      </c>
      <c r="D229" s="0" t="s">
        <v>3667</v>
      </c>
      <c r="E229" s="0" t="s">
        <v>3668</v>
      </c>
      <c r="F229" s="0" t="s">
        <v>3092</v>
      </c>
      <c r="G229" s="0" t="s">
        <v>3669</v>
      </c>
    </row>
    <row customHeight="1" ht="11.25">
      <c r="A230" s="503" t="s">
        <v>14</v>
      </c>
      <c r="B230" s="0" t="s">
        <v>3620</v>
      </c>
      <c r="C230" s="0" t="s">
        <v>3621</v>
      </c>
      <c r="D230" s="0" t="s">
        <v>3670</v>
      </c>
      <c r="E230" s="0" t="s">
        <v>3671</v>
      </c>
      <c r="F230" s="0" t="s">
        <v>3092</v>
      </c>
      <c r="G230" s="0" t="s">
        <v>3672</v>
      </c>
    </row>
    <row customHeight="1" ht="11.25">
      <c r="A231" s="503" t="s">
        <v>14</v>
      </c>
      <c r="B231" s="0" t="s">
        <v>3620</v>
      </c>
      <c r="C231" s="0" t="s">
        <v>3621</v>
      </c>
      <c r="D231" s="0" t="s">
        <v>3673</v>
      </c>
      <c r="E231" s="0" t="s">
        <v>3674</v>
      </c>
      <c r="F231" s="0" t="s">
        <v>3092</v>
      </c>
      <c r="G231" s="0" t="s">
        <v>3675</v>
      </c>
    </row>
    <row customHeight="1" ht="11.25">
      <c r="A232" s="503" t="s">
        <v>14</v>
      </c>
      <c r="B232" s="0" t="s">
        <v>3620</v>
      </c>
      <c r="C232" s="0" t="s">
        <v>3621</v>
      </c>
      <c r="D232" s="0" t="s">
        <v>3676</v>
      </c>
      <c r="E232" s="0" t="s">
        <v>3677</v>
      </c>
      <c r="F232" s="0" t="s">
        <v>3092</v>
      </c>
      <c r="G232" s="0" t="s">
        <v>3678</v>
      </c>
    </row>
    <row customHeight="1" ht="11.25">
      <c r="A233" s="503" t="s">
        <v>14</v>
      </c>
      <c r="B233" s="0" t="s">
        <v>3620</v>
      </c>
      <c r="C233" s="0" t="s">
        <v>3621</v>
      </c>
      <c r="D233" s="0" t="s">
        <v>3679</v>
      </c>
      <c r="E233" s="0" t="s">
        <v>3680</v>
      </c>
      <c r="F233" s="0" t="s">
        <v>3092</v>
      </c>
      <c r="G233" s="0" t="s">
        <v>3681</v>
      </c>
    </row>
    <row customHeight="1" ht="11.25">
      <c r="A234" s="503" t="s">
        <v>14</v>
      </c>
      <c r="B234" s="0" t="s">
        <v>3620</v>
      </c>
      <c r="C234" s="0" t="s">
        <v>3621</v>
      </c>
      <c r="D234" s="0" t="s">
        <v>3682</v>
      </c>
      <c r="E234" s="0" t="s">
        <v>3683</v>
      </c>
      <c r="F234" s="0" t="s">
        <v>3092</v>
      </c>
      <c r="G234" s="0" t="s">
        <v>3684</v>
      </c>
    </row>
    <row customHeight="1" ht="11.25">
      <c r="A235" s="503" t="s">
        <v>14</v>
      </c>
      <c r="B235" s="0" t="s">
        <v>3620</v>
      </c>
      <c r="C235" s="0" t="s">
        <v>3621</v>
      </c>
      <c r="D235" s="0" t="s">
        <v>3620</v>
      </c>
      <c r="E235" s="0" t="s">
        <v>3621</v>
      </c>
      <c r="F235" s="0" t="s">
        <v>3089</v>
      </c>
      <c r="G235" s="0" t="s">
        <v>3685</v>
      </c>
    </row>
    <row customHeight="1" ht="11.25">
      <c r="A236" s="503" t="s">
        <v>14</v>
      </c>
      <c r="B236" s="0" t="s">
        <v>3686</v>
      </c>
      <c r="C236" s="0" t="s">
        <v>3687</v>
      </c>
      <c r="D236" s="0" t="s">
        <v>3688</v>
      </c>
      <c r="E236" s="0" t="s">
        <v>3689</v>
      </c>
      <c r="F236" s="0" t="s">
        <v>3092</v>
      </c>
      <c r="G236" s="0" t="s">
        <v>3690</v>
      </c>
    </row>
    <row customHeight="1" ht="11.25">
      <c r="A237" s="503" t="s">
        <v>14</v>
      </c>
      <c r="B237" s="0" t="s">
        <v>3686</v>
      </c>
      <c r="C237" s="0" t="s">
        <v>3687</v>
      </c>
      <c r="D237" s="0" t="s">
        <v>3691</v>
      </c>
      <c r="E237" s="0" t="s">
        <v>3692</v>
      </c>
      <c r="F237" s="0" t="s">
        <v>3092</v>
      </c>
      <c r="G237" s="0" t="s">
        <v>3693</v>
      </c>
    </row>
    <row customHeight="1" ht="11.25">
      <c r="A238" s="503" t="s">
        <v>14</v>
      </c>
      <c r="B238" s="0" t="s">
        <v>3686</v>
      </c>
      <c r="C238" s="0" t="s">
        <v>3687</v>
      </c>
      <c r="D238" s="0" t="s">
        <v>3694</v>
      </c>
      <c r="E238" s="0" t="s">
        <v>3695</v>
      </c>
      <c r="F238" s="0" t="s">
        <v>3119</v>
      </c>
      <c r="G238" s="0" t="s">
        <v>3696</v>
      </c>
    </row>
    <row customHeight="1" ht="11.25">
      <c r="A239" s="503" t="s">
        <v>14</v>
      </c>
      <c r="B239" s="0" t="s">
        <v>3686</v>
      </c>
      <c r="C239" s="0" t="s">
        <v>3687</v>
      </c>
      <c r="D239" s="0" t="s">
        <v>3697</v>
      </c>
      <c r="E239" s="0" t="s">
        <v>3698</v>
      </c>
      <c r="F239" s="0" t="s">
        <v>3092</v>
      </c>
      <c r="G239" s="0" t="s">
        <v>3699</v>
      </c>
    </row>
    <row customHeight="1" ht="11.25">
      <c r="A240" s="503" t="s">
        <v>14</v>
      </c>
      <c r="B240" s="0" t="s">
        <v>3686</v>
      </c>
      <c r="C240" s="0" t="s">
        <v>3687</v>
      </c>
      <c r="D240" s="0" t="s">
        <v>3700</v>
      </c>
      <c r="E240" s="0" t="s">
        <v>3701</v>
      </c>
      <c r="F240" s="0" t="s">
        <v>3092</v>
      </c>
      <c r="G240" s="0" t="s">
        <v>3702</v>
      </c>
    </row>
    <row customHeight="1" ht="11.25">
      <c r="A241" s="503" t="s">
        <v>14</v>
      </c>
      <c r="B241" s="0" t="s">
        <v>3686</v>
      </c>
      <c r="C241" s="0" t="s">
        <v>3687</v>
      </c>
      <c r="D241" s="0" t="s">
        <v>3703</v>
      </c>
      <c r="E241" s="0" t="s">
        <v>3704</v>
      </c>
      <c r="F241" s="0" t="s">
        <v>3092</v>
      </c>
      <c r="G241" s="0" t="s">
        <v>3705</v>
      </c>
    </row>
    <row customHeight="1" ht="11.25">
      <c r="A242" s="503" t="s">
        <v>14</v>
      </c>
      <c r="B242" s="0" t="s">
        <v>3686</v>
      </c>
      <c r="C242" s="0" t="s">
        <v>3687</v>
      </c>
      <c r="D242" s="0" t="s">
        <v>3686</v>
      </c>
      <c r="E242" s="0" t="s">
        <v>3687</v>
      </c>
      <c r="F242" s="0" t="s">
        <v>3089</v>
      </c>
      <c r="G242" s="0" t="s">
        <v>3706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55F7E-36B3-1EAC-28EA-8568A5FF1263}"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13631" width="9.140625"/>
  </cols>
  <sheetData>
    <row customHeight="1" ht="11.25">
      <c r="A1" s="965" t="s">
        <v>3707</v>
      </c>
      <c r="B1" s="965" t="s">
        <v>3708</v>
      </c>
      <c r="C1" s="965" t="s">
        <v>3709</v>
      </c>
      <c r="D1" s="965" t="s">
        <v>3710</v>
      </c>
    </row>
    <row customHeight="1" ht="11.25">
      <c r="A2" s="7910" t="s">
        <v>165</v>
      </c>
      <c r="B2" s="7910" t="s">
        <v>3711</v>
      </c>
      <c r="C2" s="7910" t="s">
        <v>3712</v>
      </c>
      <c r="D2" s="7910" t="s">
        <v>3713</v>
      </c>
    </row>
    <row customHeight="1" ht="11.25">
      <c r="A3" s="7910" t="s">
        <v>100</v>
      </c>
      <c r="B3" s="7910" t="s">
        <v>3714</v>
      </c>
      <c r="C3" s="7910" t="s">
        <v>3712</v>
      </c>
      <c r="D3" s="7910" t="s">
        <v>3713</v>
      </c>
    </row>
    <row customHeight="1" ht="11.25">
      <c r="A4" s="7910" t="s">
        <v>87</v>
      </c>
      <c r="B4" s="7910" t="s">
        <v>3715</v>
      </c>
      <c r="C4" s="7910" t="s">
        <v>3716</v>
      </c>
      <c r="D4" s="7910" t="s">
        <v>3717</v>
      </c>
    </row>
    <row customHeight="1" ht="11.25">
      <c r="A5" s="7910" t="s">
        <v>88</v>
      </c>
      <c r="B5" s="7910" t="s">
        <v>3718</v>
      </c>
      <c r="C5" s="7910" t="s">
        <v>3719</v>
      </c>
      <c r="D5" s="7910" t="s">
        <v>3713</v>
      </c>
    </row>
    <row customHeight="1" ht="11.25">
      <c r="A6" s="7910" t="s">
        <v>119</v>
      </c>
      <c r="B6" s="7910" t="s">
        <v>3720</v>
      </c>
      <c r="C6" s="7910" t="s">
        <v>3719</v>
      </c>
      <c r="D6" s="7910" t="s">
        <v>3717</v>
      </c>
    </row>
    <row customHeight="1" ht="11.25">
      <c r="A7" s="7910" t="s">
        <v>89</v>
      </c>
      <c r="B7" s="7910" t="s">
        <v>3721</v>
      </c>
      <c r="C7" s="7910" t="s">
        <v>3719</v>
      </c>
      <c r="D7" s="7910" t="s">
        <v>3713</v>
      </c>
    </row>
    <row customHeight="1" ht="11.25">
      <c r="A8" s="7910" t="s">
        <v>90</v>
      </c>
      <c r="B8" s="7910" t="s">
        <v>3722</v>
      </c>
      <c r="C8" s="7910" t="s">
        <v>3719</v>
      </c>
      <c r="D8" s="7910" t="s">
        <v>3717</v>
      </c>
    </row>
    <row customHeight="1" ht="11.25">
      <c r="A9" s="7910" t="s">
        <v>140</v>
      </c>
      <c r="B9" s="7910" t="s">
        <v>3723</v>
      </c>
      <c r="C9" s="7910" t="s">
        <v>3719</v>
      </c>
      <c r="D9" s="7910" t="s">
        <v>3717</v>
      </c>
    </row>
    <row customHeight="1" ht="11.25">
      <c r="A10" s="7910" t="s">
        <v>151</v>
      </c>
      <c r="B10" s="7910" t="s">
        <v>3724</v>
      </c>
      <c r="C10" s="7910" t="s">
        <v>3719</v>
      </c>
      <c r="D10" s="7910" t="s">
        <v>3717</v>
      </c>
    </row>
    <row customHeight="1" ht="11.25">
      <c r="A11" s="7910" t="s">
        <v>229</v>
      </c>
      <c r="B11" s="7910" t="s">
        <v>3725</v>
      </c>
      <c r="C11" s="7910" t="s">
        <v>3712</v>
      </c>
      <c r="D11" s="7910" t="s">
        <v>3717</v>
      </c>
    </row>
    <row customHeight="1" ht="11.25">
      <c r="A12" s="7910" t="s">
        <v>230</v>
      </c>
      <c r="B12" s="7910" t="s">
        <v>3726</v>
      </c>
      <c r="C12" s="7910" t="s">
        <v>3716</v>
      </c>
      <c r="D12" s="7910" t="s">
        <v>3727</v>
      </c>
    </row>
    <row customHeight="1" ht="11.25">
      <c r="A13" s="7910" t="s">
        <v>231</v>
      </c>
      <c r="B13" s="7910" t="s">
        <v>3728</v>
      </c>
      <c r="C13" s="7910" t="s">
        <v>3719</v>
      </c>
      <c r="D13" s="7910" t="s">
        <v>3729</v>
      </c>
    </row>
    <row customHeight="1" ht="11.25">
      <c r="A14" s="7910" t="s">
        <v>232</v>
      </c>
      <c r="B14" s="7910" t="s">
        <v>3730</v>
      </c>
      <c r="C14" s="7910" t="s">
        <v>3712</v>
      </c>
      <c r="D14" s="7910" t="s">
        <v>3731</v>
      </c>
    </row>
    <row customHeight="1" ht="11.25">
      <c r="A15" s="7910" t="s">
        <v>233</v>
      </c>
      <c r="B15" s="7910" t="s">
        <v>3732</v>
      </c>
      <c r="C15" s="7910" t="s">
        <v>3719</v>
      </c>
      <c r="D15" s="7910" t="s">
        <v>3733</v>
      </c>
    </row>
    <row customHeight="1" ht="11.25">
      <c r="A16" s="7910" t="s">
        <v>1483</v>
      </c>
      <c r="B16" s="7910" t="s">
        <v>3734</v>
      </c>
      <c r="C16" s="7910" t="s">
        <v>3719</v>
      </c>
      <c r="D16" s="7910" t="s">
        <v>3733</v>
      </c>
    </row>
    <row customHeight="1" ht="11.25">
      <c r="A17" s="7910" t="s">
        <v>1489</v>
      </c>
      <c r="B17" s="7910" t="s">
        <v>3735</v>
      </c>
      <c r="C17" s="7910" t="s">
        <v>3712</v>
      </c>
      <c r="D17" s="7910" t="s">
        <v>3713</v>
      </c>
    </row>
    <row customHeight="1" ht="11.25">
      <c r="A18" s="7910" t="s">
        <v>1500</v>
      </c>
      <c r="B18" s="7910" t="s">
        <v>3736</v>
      </c>
      <c r="C18" s="7910" t="s">
        <v>3737</v>
      </c>
      <c r="D18" s="7910" t="s">
        <v>3731</v>
      </c>
    </row>
    <row customHeight="1" ht="11.25">
      <c r="A19" s="7910" t="s">
        <v>1514</v>
      </c>
      <c r="B19" s="7910" t="s">
        <v>3738</v>
      </c>
      <c r="C19" s="7910" t="s">
        <v>3716</v>
      </c>
      <c r="D19" s="7910" t="s">
        <v>3739</v>
      </c>
    </row>
    <row customHeight="1" ht="11.25">
      <c r="A20" s="7910" t="s">
        <v>1526</v>
      </c>
      <c r="B20" s="7910" t="s">
        <v>3740</v>
      </c>
      <c r="C20" s="7910" t="s">
        <v>3716</v>
      </c>
      <c r="D20" s="7910" t="s">
        <v>3727</v>
      </c>
    </row>
    <row customHeight="1" ht="11.25">
      <c r="A21" s="7910" t="s">
        <v>1535</v>
      </c>
      <c r="B21" s="7910" t="s">
        <v>3741</v>
      </c>
      <c r="C21" s="7910" t="s">
        <v>3742</v>
      </c>
      <c r="D21" s="7910" t="s">
        <v>3743</v>
      </c>
    </row>
    <row customHeight="1" ht="11.25">
      <c r="A22" s="7910" t="s">
        <v>1551</v>
      </c>
      <c r="B22" s="7910" t="s">
        <v>3744</v>
      </c>
      <c r="C22" s="7910" t="s">
        <v>3745</v>
      </c>
      <c r="D22" s="7910" t="s">
        <v>3739</v>
      </c>
    </row>
    <row customHeight="1" ht="11.25">
      <c r="A23" s="7910" t="s">
        <v>1558</v>
      </c>
      <c r="B23" s="7910" t="s">
        <v>3746</v>
      </c>
      <c r="C23" s="7910" t="s">
        <v>3719</v>
      </c>
      <c r="D23" s="7910" t="s">
        <v>3747</v>
      </c>
    </row>
    <row customHeight="1" ht="11.25">
      <c r="A24" s="7910" t="s">
        <v>1566</v>
      </c>
      <c r="B24" s="7910" t="s">
        <v>3748</v>
      </c>
      <c r="C24" s="7910" t="s">
        <v>3716</v>
      </c>
      <c r="D24" s="7910" t="s">
        <v>3733</v>
      </c>
    </row>
    <row customHeight="1" ht="11.25">
      <c r="A25" s="7910" t="s">
        <v>1573</v>
      </c>
      <c r="B25" s="7910" t="s">
        <v>3749</v>
      </c>
      <c r="C25" s="7910" t="s">
        <v>3712</v>
      </c>
      <c r="D25" s="7910" t="s">
        <v>3750</v>
      </c>
    </row>
    <row customHeight="1" ht="11.25">
      <c r="A26" s="7910" t="s">
        <v>1577</v>
      </c>
      <c r="B26" s="7910" t="s">
        <v>3751</v>
      </c>
      <c r="C26" s="7910" t="s">
        <v>3719</v>
      </c>
      <c r="D26" s="7910" t="s">
        <v>3752</v>
      </c>
    </row>
    <row customHeight="1" ht="11.25">
      <c r="A27" s="7910" t="s">
        <v>1582</v>
      </c>
      <c r="B27" s="7910" t="s">
        <v>3753</v>
      </c>
      <c r="C27" s="7910" t="s">
        <v>3754</v>
      </c>
      <c r="D27" s="7910" t="s">
        <v>3755</v>
      </c>
    </row>
    <row customHeight="1" ht="11.25">
      <c r="A28" s="7910" t="s">
        <v>1590</v>
      </c>
      <c r="B28" s="7910" t="s">
        <v>3756</v>
      </c>
      <c r="C28" s="7910" t="s">
        <v>3757</v>
      </c>
      <c r="D28" s="7910" t="s">
        <v>3758</v>
      </c>
    </row>
    <row customHeight="1" ht="11.25">
      <c r="A29" s="7910" t="s">
        <v>1592</v>
      </c>
      <c r="B29" s="7910" t="s">
        <v>3759</v>
      </c>
      <c r="C29" s="7910" t="s">
        <v>3712</v>
      </c>
      <c r="D29" s="7910" t="s">
        <v>3731</v>
      </c>
    </row>
    <row customHeight="1" ht="11.25">
      <c r="A30" s="7910" t="s">
        <v>1595</v>
      </c>
      <c r="B30" s="7910" t="s">
        <v>3760</v>
      </c>
      <c r="C30" s="7910" t="s">
        <v>3745</v>
      </c>
      <c r="D30" s="7910" t="s">
        <v>3733</v>
      </c>
    </row>
    <row customHeight="1" ht="11.25">
      <c r="A31" s="7910" t="s">
        <v>1601</v>
      </c>
      <c r="B31" s="7910" t="s">
        <v>3761</v>
      </c>
      <c r="C31" s="7910" t="s">
        <v>3712</v>
      </c>
      <c r="D31" s="7910" t="s">
        <v>3762</v>
      </c>
    </row>
    <row customHeight="1" ht="11.25">
      <c r="A32" s="7910" t="s">
        <v>1603</v>
      </c>
      <c r="B32" s="7910" t="s">
        <v>3763</v>
      </c>
      <c r="C32" s="7910" t="s">
        <v>3742</v>
      </c>
      <c r="D32" s="7910" t="s">
        <v>3764</v>
      </c>
    </row>
    <row customHeight="1" ht="11.25">
      <c r="A33" s="7910" t="s">
        <v>1605</v>
      </c>
      <c r="B33" s="7910" t="s">
        <v>3765</v>
      </c>
      <c r="C33" s="7910" t="s">
        <v>3745</v>
      </c>
      <c r="D33" s="7910" t="s">
        <v>3733</v>
      </c>
    </row>
    <row customHeight="1" ht="11.25">
      <c r="A34" s="7910" t="s">
        <v>1607</v>
      </c>
      <c r="B34" s="7910" t="s">
        <v>3766</v>
      </c>
      <c r="C34" s="7910" t="s">
        <v>3745</v>
      </c>
      <c r="D34" s="7910" t="s">
        <v>3727</v>
      </c>
    </row>
    <row customHeight="1" ht="11.25">
      <c r="A35" s="7910" t="s">
        <v>1612</v>
      </c>
      <c r="B35" s="7910" t="s">
        <v>3767</v>
      </c>
      <c r="C35" s="7910" t="s">
        <v>3745</v>
      </c>
      <c r="D35" s="7910" t="s">
        <v>3727</v>
      </c>
    </row>
    <row customHeight="1" ht="11.25">
      <c r="A36" s="7910" t="s">
        <v>1617</v>
      </c>
      <c r="B36" s="7910" t="s">
        <v>3768</v>
      </c>
      <c r="C36" s="7910" t="s">
        <v>3745</v>
      </c>
      <c r="D36" s="7910" t="s">
        <v>3727</v>
      </c>
    </row>
    <row customHeight="1" ht="11.25">
      <c r="A37" s="7910" t="s">
        <v>1621</v>
      </c>
      <c r="B37" s="7910" t="s">
        <v>3769</v>
      </c>
      <c r="C37" s="7910" t="s">
        <v>3745</v>
      </c>
      <c r="D37" s="7910" t="s">
        <v>3717</v>
      </c>
    </row>
    <row customHeight="1" ht="11.25">
      <c r="A38" s="7910" t="s">
        <v>1629</v>
      </c>
      <c r="B38" s="7910" t="s">
        <v>3770</v>
      </c>
      <c r="C38" s="7910" t="s">
        <v>3745</v>
      </c>
      <c r="D38" s="7910" t="s">
        <v>3758</v>
      </c>
    </row>
    <row customHeight="1" ht="11.25">
      <c r="A39" s="7910" t="s">
        <v>1635</v>
      </c>
      <c r="B39" s="7910" t="s">
        <v>3771</v>
      </c>
      <c r="C39" s="7910" t="s">
        <v>3757</v>
      </c>
      <c r="D39" s="7910" t="s">
        <v>3717</v>
      </c>
    </row>
    <row customHeight="1" ht="11.25">
      <c r="A40" s="7910" t="s">
        <v>1640</v>
      </c>
      <c r="B40" s="7910" t="s">
        <v>3772</v>
      </c>
      <c r="C40" s="7910" t="s">
        <v>3757</v>
      </c>
      <c r="D40" s="7910" t="s">
        <v>3750</v>
      </c>
    </row>
    <row customHeight="1" ht="11.25">
      <c r="A41" s="7910" t="s">
        <v>1644</v>
      </c>
      <c r="B41" s="7910" t="s">
        <v>3773</v>
      </c>
      <c r="C41" s="7910" t="s">
        <v>3745</v>
      </c>
      <c r="D41" s="7910" t="s">
        <v>3733</v>
      </c>
    </row>
    <row customHeight="1" ht="11.25">
      <c r="A42" s="7910" t="s">
        <v>1647</v>
      </c>
      <c r="B42" s="7910" t="s">
        <v>3774</v>
      </c>
      <c r="C42" s="7910" t="s">
        <v>3775</v>
      </c>
      <c r="D42" s="7910" t="s">
        <v>3764</v>
      </c>
    </row>
    <row customHeight="1" ht="11.25">
      <c r="A43" s="7910" t="s">
        <v>1654</v>
      </c>
      <c r="B43" s="7910" t="s">
        <v>3776</v>
      </c>
      <c r="C43" s="7910" t="s">
        <v>3777</v>
      </c>
      <c r="D43" s="7910" t="s">
        <v>3778</v>
      </c>
    </row>
    <row customHeight="1" ht="11.25">
      <c r="A44" s="7910" t="s">
        <v>1663</v>
      </c>
      <c r="B44" s="7910" t="s">
        <v>3779</v>
      </c>
      <c r="C44" s="7910" t="s">
        <v>3745</v>
      </c>
      <c r="D44" s="7910" t="s">
        <v>3733</v>
      </c>
    </row>
    <row customHeight="1" ht="11.25">
      <c r="A45" s="7910" t="s">
        <v>1668</v>
      </c>
      <c r="B45" s="7910" t="s">
        <v>3780</v>
      </c>
      <c r="C45" s="7910" t="s">
        <v>3716</v>
      </c>
      <c r="D45" s="7910" t="s">
        <v>3781</v>
      </c>
    </row>
    <row customHeight="1" ht="11.25">
      <c r="A46" s="7910" t="s">
        <v>121</v>
      </c>
      <c r="B46" s="7910" t="s">
        <v>3782</v>
      </c>
      <c r="C46" s="7910" t="s">
        <v>3716</v>
      </c>
      <c r="D46" s="7910" t="s">
        <v>3743</v>
      </c>
    </row>
    <row customHeight="1" ht="11.25">
      <c r="A47" s="7910" t="s">
        <v>1676</v>
      </c>
      <c r="B47" s="7910" t="s">
        <v>3783</v>
      </c>
      <c r="C47" s="7910" t="s">
        <v>3742</v>
      </c>
      <c r="D47" s="7910" t="s">
        <v>3743</v>
      </c>
    </row>
    <row customHeight="1" ht="11.25">
      <c r="A48" s="7910" t="s">
        <v>1681</v>
      </c>
      <c r="B48" s="7910" t="s">
        <v>3784</v>
      </c>
      <c r="C48" s="7910" t="s">
        <v>3716</v>
      </c>
      <c r="D48" s="7910" t="s">
        <v>3717</v>
      </c>
    </row>
    <row customHeight="1" ht="11.25">
      <c r="A49" s="7910" t="s">
        <v>1684</v>
      </c>
      <c r="B49" s="7910" t="s">
        <v>3785</v>
      </c>
      <c r="C49" s="7910" t="s">
        <v>3716</v>
      </c>
      <c r="D49" s="7910" t="s">
        <v>3717</v>
      </c>
    </row>
    <row customHeight="1" ht="11.25">
      <c r="A50" s="7910" t="s">
        <v>1688</v>
      </c>
      <c r="B50" s="7910" t="s">
        <v>3786</v>
      </c>
      <c r="C50" s="7910" t="s">
        <v>3716</v>
      </c>
      <c r="D50" s="7910" t="s">
        <v>3717</v>
      </c>
    </row>
    <row customHeight="1" ht="11.25">
      <c r="A51" s="7910" t="s">
        <v>1693</v>
      </c>
      <c r="B51" s="7910" t="s">
        <v>3787</v>
      </c>
      <c r="C51" s="7910" t="s">
        <v>3716</v>
      </c>
      <c r="D51" s="7910" t="s">
        <v>3717</v>
      </c>
    </row>
    <row customHeight="1" ht="11.25">
      <c r="A52" s="7910" t="s">
        <v>1697</v>
      </c>
      <c r="B52" s="7910" t="s">
        <v>3788</v>
      </c>
      <c r="C52" s="7910" t="s">
        <v>3789</v>
      </c>
      <c r="D52" s="7910" t="s">
        <v>3790</v>
      </c>
    </row>
    <row customHeight="1" ht="11.25">
      <c r="A53" s="7910" t="s">
        <v>1699</v>
      </c>
      <c r="B53" s="7910" t="s">
        <v>3791</v>
      </c>
      <c r="C53" s="7910" t="s">
        <v>3792</v>
      </c>
      <c r="D53" s="7910" t="s">
        <v>3764</v>
      </c>
    </row>
    <row customHeight="1" ht="11.25">
      <c r="A54" s="7910" t="s">
        <v>1702</v>
      </c>
      <c r="B54" s="7910" t="s">
        <v>3793</v>
      </c>
      <c r="C54" s="7910" t="s">
        <v>3742</v>
      </c>
      <c r="D54" s="7910" t="s">
        <v>3733</v>
      </c>
    </row>
    <row customHeight="1" ht="11.25">
      <c r="A55" s="7910" t="s">
        <v>1706</v>
      </c>
      <c r="B55" s="7910" t="s">
        <v>3794</v>
      </c>
      <c r="C55" s="7910" t="s">
        <v>3757</v>
      </c>
      <c r="D55" s="7910" t="s">
        <v>3758</v>
      </c>
    </row>
    <row customHeight="1" ht="11.25">
      <c r="A56" s="7910" t="s">
        <v>1709</v>
      </c>
      <c r="B56" s="7910" t="s">
        <v>3795</v>
      </c>
      <c r="C56" s="7910" t="s">
        <v>3716</v>
      </c>
      <c r="D56" s="7910" t="s">
        <v>3733</v>
      </c>
    </row>
    <row customHeight="1" ht="11.25">
      <c r="A57" s="7910" t="s">
        <v>1712</v>
      </c>
      <c r="B57" s="7910" t="s">
        <v>3796</v>
      </c>
      <c r="C57" s="7910" t="s">
        <v>3797</v>
      </c>
      <c r="D57" s="7910" t="s">
        <v>3798</v>
      </c>
    </row>
    <row customHeight="1" ht="11.25">
      <c r="A58" s="7910" t="s">
        <v>1715</v>
      </c>
      <c r="B58" s="7910" t="s">
        <v>3799</v>
      </c>
      <c r="C58" s="7910" t="s">
        <v>3745</v>
      </c>
      <c r="D58" s="7910" t="s">
        <v>3727</v>
      </c>
    </row>
    <row customHeight="1" ht="11.25">
      <c r="A59" s="7910" t="s">
        <v>1719</v>
      </c>
      <c r="B59" s="7910" t="s">
        <v>3800</v>
      </c>
      <c r="C59" s="7910" t="s">
        <v>3745</v>
      </c>
      <c r="D59" s="7910" t="s">
        <v>3727</v>
      </c>
    </row>
    <row customHeight="1" ht="11.25">
      <c r="A60" s="7910" t="s">
        <v>1722</v>
      </c>
      <c r="B60" s="7910" t="s">
        <v>3801</v>
      </c>
      <c r="C60" s="7910" t="s">
        <v>3712</v>
      </c>
      <c r="D60" s="7910" t="s">
        <v>3717</v>
      </c>
    </row>
    <row customHeight="1" ht="11.25">
      <c r="A61" s="7910" t="s">
        <v>3207</v>
      </c>
      <c r="B61" s="7910" t="s">
        <v>3802</v>
      </c>
      <c r="C61" s="7910" t="s">
        <v>3712</v>
      </c>
      <c r="D61" s="7910" t="s">
        <v>3717</v>
      </c>
    </row>
    <row customHeight="1" ht="11.25">
      <c r="A62" s="7910" t="s">
        <v>3210</v>
      </c>
      <c r="B62" s="7910" t="s">
        <v>3803</v>
      </c>
      <c r="C62" s="7910" t="s">
        <v>3712</v>
      </c>
      <c r="D62" s="7910" t="s">
        <v>3804</v>
      </c>
    </row>
    <row customHeight="1" ht="11.25">
      <c r="A63" s="7910" t="s">
        <v>3213</v>
      </c>
      <c r="B63" s="7910" t="s">
        <v>3805</v>
      </c>
      <c r="C63" s="7910" t="s">
        <v>3806</v>
      </c>
      <c r="D63" s="7910" t="s">
        <v>3807</v>
      </c>
    </row>
    <row customHeight="1" ht="11.25">
      <c r="A64" s="7910" t="s">
        <v>3216</v>
      </c>
      <c r="B64" s="7910" t="s">
        <v>3808</v>
      </c>
      <c r="C64" s="7910" t="s">
        <v>3719</v>
      </c>
      <c r="D64" s="7910" t="s">
        <v>3747</v>
      </c>
    </row>
    <row customHeight="1" ht="11.25">
      <c r="A65" s="7910" t="s">
        <v>3219</v>
      </c>
      <c r="B65" s="7910" t="s">
        <v>3809</v>
      </c>
      <c r="C65" s="7910" t="s">
        <v>3719</v>
      </c>
      <c r="D65" s="7910" t="s">
        <v>3713</v>
      </c>
    </row>
    <row customHeight="1" ht="11.25">
      <c r="A66" s="7910" t="s">
        <v>3222</v>
      </c>
      <c r="B66" s="7910" t="s">
        <v>3810</v>
      </c>
      <c r="C66" s="7910" t="s">
        <v>3719</v>
      </c>
      <c r="D66" s="7910" t="s">
        <v>3747</v>
      </c>
    </row>
    <row customHeight="1" ht="11.25">
      <c r="A67" s="7910" t="s">
        <v>2042</v>
      </c>
      <c r="B67" s="7910" t="s">
        <v>3811</v>
      </c>
      <c r="C67" s="7910" t="s">
        <v>3712</v>
      </c>
      <c r="D67" s="7910" t="s">
        <v>3747</v>
      </c>
    </row>
    <row customHeight="1" ht="11.25">
      <c r="A68" s="7910" t="s">
        <v>3227</v>
      </c>
      <c r="B68" s="7910" t="s">
        <v>3812</v>
      </c>
      <c r="C68" s="7910" t="s">
        <v>3712</v>
      </c>
      <c r="D68" s="7910" t="s">
        <v>3713</v>
      </c>
    </row>
    <row customHeight="1" ht="11.25">
      <c r="A69" s="7910" t="s">
        <v>2253</v>
      </c>
      <c r="B69" s="7910" t="s">
        <v>3813</v>
      </c>
      <c r="C69" s="7910" t="s">
        <v>3814</v>
      </c>
      <c r="D69" s="7910" t="s">
        <v>3747</v>
      </c>
    </row>
    <row customHeight="1" ht="11.25">
      <c r="A70" s="7910" t="s">
        <v>3232</v>
      </c>
      <c r="B70" s="7910" t="s">
        <v>3815</v>
      </c>
      <c r="C70" s="7910" t="s">
        <v>3814</v>
      </c>
      <c r="D70" s="7910" t="s">
        <v>3807</v>
      </c>
    </row>
    <row customHeight="1" ht="11.25">
      <c r="A71" s="7910" t="s">
        <v>3235</v>
      </c>
      <c r="B71" s="7910" t="s">
        <v>3816</v>
      </c>
      <c r="C71" s="7910" t="s">
        <v>3817</v>
      </c>
      <c r="D71" s="7910" t="s">
        <v>3727</v>
      </c>
    </row>
    <row customHeight="1" ht="11.25">
      <c r="A72" s="7910" t="s">
        <v>3238</v>
      </c>
      <c r="B72" s="7910" t="s">
        <v>3818</v>
      </c>
      <c r="C72" s="7910" t="s">
        <v>3819</v>
      </c>
      <c r="D72" s="7910" t="s">
        <v>3820</v>
      </c>
    </row>
    <row customHeight="1" ht="11.25">
      <c r="A73" s="7910" t="s">
        <v>3241</v>
      </c>
      <c r="B73" s="7910" t="s">
        <v>3821</v>
      </c>
      <c r="C73" s="7910" t="s">
        <v>3822</v>
      </c>
      <c r="D73" s="7910" t="s">
        <v>3798</v>
      </c>
    </row>
    <row customHeight="1" ht="11.25">
      <c r="A74" s="7910" t="s">
        <v>3244</v>
      </c>
      <c r="B74" s="7910" t="s">
        <v>3823</v>
      </c>
      <c r="C74" s="7910" t="s">
        <v>3745</v>
      </c>
      <c r="D74" s="7910" t="s">
        <v>3747</v>
      </c>
    </row>
    <row customHeight="1" ht="11.25">
      <c r="A75" s="7910" t="s">
        <v>108</v>
      </c>
      <c r="B75" s="7910" t="s">
        <v>3824</v>
      </c>
      <c r="C75" s="7910" t="s">
        <v>3822</v>
      </c>
      <c r="D75" s="7910" t="s">
        <v>3752</v>
      </c>
    </row>
    <row customHeight="1" ht="11.25">
      <c r="A76" s="7910" t="s">
        <v>126</v>
      </c>
      <c r="B76" s="7910" t="s">
        <v>3825</v>
      </c>
      <c r="C76" s="7910" t="s">
        <v>3822</v>
      </c>
      <c r="D76" s="7910" t="s">
        <v>3752</v>
      </c>
    </row>
    <row customHeight="1" ht="11.25">
      <c r="A77" s="7910" t="s">
        <v>3250</v>
      </c>
      <c r="B77" s="7910" t="s">
        <v>3826</v>
      </c>
      <c r="C77" s="7910" t="s">
        <v>3827</v>
      </c>
      <c r="D77" s="7910" t="s">
        <v>3781</v>
      </c>
    </row>
    <row customHeight="1" ht="11.25">
      <c r="A78" s="7910" t="s">
        <v>3253</v>
      </c>
      <c r="B78" s="7910" t="s">
        <v>3828</v>
      </c>
      <c r="C78" s="7910" t="s">
        <v>3745</v>
      </c>
      <c r="D78" s="7910" t="s">
        <v>3778</v>
      </c>
    </row>
    <row customHeight="1" ht="11.25">
      <c r="A79" s="7910" t="s">
        <v>3256</v>
      </c>
      <c r="B79" s="7910" t="s">
        <v>3829</v>
      </c>
      <c r="C79" s="7910" t="s">
        <v>3742</v>
      </c>
      <c r="D79" s="7910" t="s">
        <v>3830</v>
      </c>
    </row>
    <row customHeight="1" ht="11.25">
      <c r="A80" s="7910" t="s">
        <v>3259</v>
      </c>
      <c r="B80" s="7910" t="s">
        <v>3831</v>
      </c>
      <c r="C80" s="7910" t="s">
        <v>3757</v>
      </c>
      <c r="D80" s="7910" t="s">
        <v>3832</v>
      </c>
    </row>
    <row customHeight="1" ht="11.25">
      <c r="A81" s="7910" t="s">
        <v>3262</v>
      </c>
      <c r="B81" s="7910" t="s">
        <v>3833</v>
      </c>
      <c r="C81" s="7910" t="s">
        <v>3789</v>
      </c>
      <c r="D81" s="7910" t="s">
        <v>3834</v>
      </c>
    </row>
    <row customHeight="1" ht="11.25">
      <c r="A82" s="7910" t="s">
        <v>3265</v>
      </c>
      <c r="B82" s="7910" t="s">
        <v>3835</v>
      </c>
      <c r="C82" s="7910" t="s">
        <v>3789</v>
      </c>
      <c r="D82" s="7910" t="s">
        <v>3836</v>
      </c>
    </row>
    <row customHeight="1" ht="11.25">
      <c r="A83" s="7910" t="s">
        <v>3268</v>
      </c>
      <c r="B83" s="7910" t="s">
        <v>3837</v>
      </c>
      <c r="C83" s="7910" t="s">
        <v>3757</v>
      </c>
      <c r="D83" s="7910" t="s">
        <v>3758</v>
      </c>
    </row>
    <row customHeight="1" ht="11.25">
      <c r="A84" s="7910" t="s">
        <v>3271</v>
      </c>
      <c r="B84" s="7910" t="s">
        <v>3838</v>
      </c>
      <c r="C84" s="7910" t="s">
        <v>3839</v>
      </c>
      <c r="D84" s="7910" t="s">
        <v>3798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03321-0035-D14A-D815-64CE9DC2864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8ED93-9B28-5161-CCCB-54B46A402249}"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13634" width="9.140625"/>
  </cols>
  <sheetData>
    <row customHeight="1" ht="11.25">
      <c r="A1" s="313" t="s">
        <v>211</v>
      </c>
      <c r="B1" s="313" t="s">
        <v>3840</v>
      </c>
    </row>
    <row customHeight="1" ht="11.25">
      <c r="A2" s="7913" t="s">
        <v>95</v>
      </c>
      <c r="B2" s="7913" t="s">
        <v>3841</v>
      </c>
    </row>
    <row customHeight="1" ht="11.25">
      <c r="A3" s="7913" t="s">
        <v>102</v>
      </c>
      <c r="B3" s="7913" t="s">
        <v>3842</v>
      </c>
    </row>
    <row customHeight="1" ht="11.25">
      <c r="A4" s="7913" t="s">
        <v>107</v>
      </c>
      <c r="B4" s="7913" t="s">
        <v>3843</v>
      </c>
    </row>
    <row customHeight="1" ht="11.25">
      <c r="A5" s="7913" t="s">
        <v>111</v>
      </c>
      <c r="B5" s="7913" t="s">
        <v>3844</v>
      </c>
    </row>
    <row customHeight="1" ht="11.25">
      <c r="A6" s="7913" t="s">
        <v>120</v>
      </c>
      <c r="B6" s="7913" t="s">
        <v>3845</v>
      </c>
    </row>
    <row customHeight="1" ht="11.25">
      <c r="A7" s="7913" t="s">
        <v>125</v>
      </c>
      <c r="B7" s="7913" t="s">
        <v>3846</v>
      </c>
    </row>
    <row customHeight="1" ht="11.25">
      <c r="A8" s="7913" t="s">
        <v>139</v>
      </c>
      <c r="B8" s="7913" t="s">
        <v>3847</v>
      </c>
    </row>
    <row customHeight="1" ht="11.25">
      <c r="A9" s="7913" t="s">
        <v>141</v>
      </c>
      <c r="B9" s="7913" t="s">
        <v>3848</v>
      </c>
    </row>
    <row customHeight="1" ht="11.25">
      <c r="A10" s="7913" t="s">
        <v>152</v>
      </c>
      <c r="B10" s="7913" t="s">
        <v>3849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50B06-E1F7-8234-06D9-FA0F53C90C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631" width="9.140625"/>
    <col min="2" max="2" style="13631" width="65.28125" customWidth="1"/>
  </cols>
  <sheetData>
    <row customHeight="1" ht="11.25">
      <c r="A1" s="965" t="s">
        <v>3850</v>
      </c>
      <c r="B1" s="965" t="s">
        <v>3851</v>
      </c>
    </row>
    <row customHeight="1" ht="11.25">
      <c r="A2" s="965">
        <v>4213775</v>
      </c>
      <c r="B2" s="965" t="s">
        <v>1242</v>
      </c>
    </row>
    <row customHeight="1" ht="11.25">
      <c r="A3" s="965">
        <v>4213784</v>
      </c>
      <c r="B3" s="965" t="s">
        <v>1276</v>
      </c>
    </row>
    <row customHeight="1" ht="11.25">
      <c r="A4" s="965">
        <v>4213781</v>
      </c>
      <c r="B4" s="965" t="s">
        <v>1269</v>
      </c>
    </row>
    <row customHeight="1" ht="11.25">
      <c r="A5" s="965">
        <v>4213776</v>
      </c>
      <c r="B5" s="965" t="s">
        <v>246</v>
      </c>
    </row>
    <row customHeight="1" ht="11.25">
      <c r="A6" s="965">
        <v>4213777</v>
      </c>
      <c r="B6" s="965" t="s">
        <v>252</v>
      </c>
    </row>
    <row customHeight="1" ht="11.25">
      <c r="A7" s="965">
        <v>4213778</v>
      </c>
      <c r="B7" s="965" t="s">
        <v>258</v>
      </c>
    </row>
    <row customHeight="1" ht="11.25">
      <c r="A8" s="965">
        <v>4213780</v>
      </c>
      <c r="B8" s="965" t="s">
        <v>264</v>
      </c>
    </row>
    <row customHeight="1" ht="11.25">
      <c r="A9" s="965">
        <v>4213779</v>
      </c>
      <c r="B9" s="965" t="s">
        <v>1409</v>
      </c>
    </row>
    <row customHeight="1" ht="11.25">
      <c r="A10" s="965">
        <v>4213783</v>
      </c>
      <c r="B10" s="965" t="s">
        <v>282</v>
      </c>
    </row>
    <row customHeight="1" ht="11.25">
      <c r="A11" s="965">
        <v>4213782</v>
      </c>
      <c r="B11" s="965" t="s">
        <v>270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42274-DDE3-AC4A-D59B-6E866C02D2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631" width="9.140625"/>
    <col min="2" max="2" style="13631" width="65.28125" customWidth="1"/>
  </cols>
  <sheetData>
    <row customHeight="1" ht="11.25">
      <c r="A1" s="965" t="s">
        <v>3850</v>
      </c>
      <c r="B1" s="965" t="s">
        <v>3852</v>
      </c>
    </row>
    <row customHeight="1" ht="11.25">
      <c r="A2" s="965" t="s">
        <v>3853</v>
      </c>
      <c r="B2" s="965" t="s">
        <v>1520</v>
      </c>
    </row>
    <row customHeight="1" ht="11.25">
      <c r="A3" s="965" t="s">
        <v>3854</v>
      </c>
      <c r="B3" s="965" t="s">
        <v>1530</v>
      </c>
    </row>
    <row customHeight="1" ht="11.25">
      <c r="A4" s="965" t="s">
        <v>3855</v>
      </c>
      <c r="B4" s="965" t="s">
        <v>1539</v>
      </c>
    </row>
    <row customHeight="1" ht="11.25">
      <c r="A5" s="965" t="s">
        <v>3856</v>
      </c>
      <c r="B5" s="965" t="s">
        <v>1548</v>
      </c>
    </row>
    <row customHeight="1" ht="11.25">
      <c r="A6" s="965" t="s">
        <v>3857</v>
      </c>
      <c r="B6" s="965" t="s">
        <v>1554</v>
      </c>
    </row>
    <row customHeight="1" ht="11.25">
      <c r="A7" s="965" t="s">
        <v>3858</v>
      </c>
      <c r="B7" s="965" t="s">
        <v>1562</v>
      </c>
    </row>
    <row customHeight="1" ht="11.25">
      <c r="A8" s="965" t="s">
        <v>3859</v>
      </c>
      <c r="B8" s="965" t="s">
        <v>1569</v>
      </c>
    </row>
    <row customHeight="1" ht="11.25">
      <c r="A9" s="965" t="s">
        <v>3860</v>
      </c>
      <c r="B9" s="965" t="s">
        <v>1575</v>
      </c>
    </row>
    <row customHeight="1" ht="11.25">
      <c r="A10" s="965" t="s">
        <v>3861</v>
      </c>
      <c r="B10" s="965" t="s">
        <v>1579</v>
      </c>
    </row>
    <row customHeight="1" ht="11.25">
      <c r="A11" s="965" t="s">
        <v>3862</v>
      </c>
      <c r="B11" s="965" t="s">
        <v>1586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4094C-755C-08A7-2AD9-5F8B62A06B39}"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503" t="s">
        <v>3081</v>
      </c>
      <c r="B1" s="503" t="s">
        <v>3082</v>
      </c>
      <c r="C1" s="503" t="s">
        <v>3083</v>
      </c>
      <c r="D1" s="503" t="s">
        <v>3084</v>
      </c>
      <c r="E1" s="0" t="s">
        <v>3085</v>
      </c>
      <c r="F1" s="0" t="s">
        <v>3086</v>
      </c>
      <c r="G1" s="0" t="s">
        <v>3087</v>
      </c>
    </row>
    <row customHeight="1" ht="11.25">
      <c r="A2" s="0" t="s">
        <v>14</v>
      </c>
      <c r="B2" s="0" t="s">
        <v>96</v>
      </c>
      <c r="C2" s="0" t="s">
        <v>3088</v>
      </c>
      <c r="D2" s="0" t="s">
        <v>96</v>
      </c>
      <c r="E2" s="0" t="s">
        <v>3088</v>
      </c>
      <c r="F2" s="0" t="s">
        <v>3089</v>
      </c>
      <c r="G2" s="0" t="s">
        <v>165</v>
      </c>
    </row>
    <row customHeight="1" ht="11.25">
      <c r="A3" s="0" t="s">
        <v>14</v>
      </c>
      <c r="B3" s="0" t="s">
        <v>96</v>
      </c>
      <c r="C3" s="0" t="s">
        <v>3088</v>
      </c>
      <c r="D3" s="0" t="s">
        <v>3090</v>
      </c>
      <c r="E3" s="0" t="s">
        <v>3091</v>
      </c>
      <c r="F3" s="0" t="s">
        <v>3092</v>
      </c>
      <c r="G3" s="0" t="s">
        <v>100</v>
      </c>
    </row>
    <row customHeight="1" ht="11.25">
      <c r="A4" s="0" t="s">
        <v>14</v>
      </c>
      <c r="B4" s="0" t="s">
        <v>96</v>
      </c>
      <c r="C4" s="0" t="s">
        <v>3088</v>
      </c>
      <c r="D4" s="0" t="s">
        <v>3093</v>
      </c>
      <c r="E4" s="0" t="s">
        <v>3094</v>
      </c>
      <c r="F4" s="0" t="s">
        <v>3092</v>
      </c>
      <c r="G4" s="0" t="s">
        <v>87</v>
      </c>
    </row>
    <row customHeight="1" ht="11.25">
      <c r="A5" s="0" t="s">
        <v>14</v>
      </c>
      <c r="B5" s="0" t="s">
        <v>96</v>
      </c>
      <c r="C5" s="0" t="s">
        <v>3088</v>
      </c>
      <c r="D5" s="0" t="s">
        <v>97</v>
      </c>
      <c r="E5" s="0" t="s">
        <v>98</v>
      </c>
      <c r="F5" s="0" t="s">
        <v>3095</v>
      </c>
      <c r="G5" s="0" t="s">
        <v>88</v>
      </c>
    </row>
    <row customHeight="1" ht="11.25">
      <c r="A6" s="0" t="s">
        <v>14</v>
      </c>
      <c r="B6" s="0" t="s">
        <v>96</v>
      </c>
      <c r="C6" s="0" t="s">
        <v>3088</v>
      </c>
      <c r="D6" s="0" t="s">
        <v>3096</v>
      </c>
      <c r="E6" s="0" t="s">
        <v>3097</v>
      </c>
      <c r="F6" s="0" t="s">
        <v>3092</v>
      </c>
      <c r="G6" s="0" t="s">
        <v>119</v>
      </c>
    </row>
    <row customHeight="1" ht="11.25">
      <c r="A7" s="0" t="s">
        <v>14</v>
      </c>
      <c r="B7" s="0" t="s">
        <v>96</v>
      </c>
      <c r="C7" s="0" t="s">
        <v>3088</v>
      </c>
      <c r="D7" s="0" t="s">
        <v>3098</v>
      </c>
      <c r="E7" s="0" t="s">
        <v>3099</v>
      </c>
      <c r="F7" s="0" t="s">
        <v>3092</v>
      </c>
      <c r="G7" s="0" t="s">
        <v>89</v>
      </c>
    </row>
    <row customHeight="1" ht="11.25">
      <c r="A8" s="0" t="s">
        <v>14</v>
      </c>
      <c r="B8" s="0" t="s">
        <v>96</v>
      </c>
      <c r="C8" s="0" t="s">
        <v>3088</v>
      </c>
      <c r="D8" s="0" t="s">
        <v>3100</v>
      </c>
      <c r="E8" s="0" t="s">
        <v>3101</v>
      </c>
      <c r="F8" s="0" t="s">
        <v>3092</v>
      </c>
      <c r="G8" s="0" t="s">
        <v>90</v>
      </c>
    </row>
    <row customHeight="1" ht="11.25">
      <c r="A9" s="0" t="s">
        <v>14</v>
      </c>
      <c r="B9" s="0" t="s">
        <v>96</v>
      </c>
      <c r="C9" s="0" t="s">
        <v>3088</v>
      </c>
      <c r="D9" s="0" t="s">
        <v>3102</v>
      </c>
      <c r="E9" s="0" t="s">
        <v>3103</v>
      </c>
      <c r="F9" s="0" t="s">
        <v>3092</v>
      </c>
      <c r="G9" s="0" t="s">
        <v>140</v>
      </c>
    </row>
    <row customHeight="1" ht="11.25">
      <c r="A10" s="0" t="s">
        <v>14</v>
      </c>
      <c r="B10" s="0" t="s">
        <v>96</v>
      </c>
      <c r="C10" s="0" t="s">
        <v>3088</v>
      </c>
      <c r="D10" s="0" t="s">
        <v>3104</v>
      </c>
      <c r="E10" s="0" t="s">
        <v>3105</v>
      </c>
      <c r="F10" s="0" t="s">
        <v>3092</v>
      </c>
      <c r="G10" s="0" t="s">
        <v>151</v>
      </c>
    </row>
    <row customHeight="1" ht="11.25">
      <c r="A11" s="0" t="s">
        <v>14</v>
      </c>
      <c r="B11" s="0" t="s">
        <v>96</v>
      </c>
      <c r="C11" s="0" t="s">
        <v>3088</v>
      </c>
      <c r="D11" s="0" t="s">
        <v>3106</v>
      </c>
      <c r="E11" s="0" t="s">
        <v>3107</v>
      </c>
      <c r="F11" s="0" t="s">
        <v>3108</v>
      </c>
      <c r="G11" s="0" t="s">
        <v>229</v>
      </c>
    </row>
    <row customHeight="1" ht="11.25">
      <c r="A12" s="0" t="s">
        <v>14</v>
      </c>
      <c r="B12" s="0" t="s">
        <v>96</v>
      </c>
      <c r="C12" s="0" t="s">
        <v>3088</v>
      </c>
      <c r="D12" s="0" t="s">
        <v>3109</v>
      </c>
      <c r="E12" s="0" t="s">
        <v>3110</v>
      </c>
      <c r="F12" s="0" t="s">
        <v>3092</v>
      </c>
      <c r="G12" s="0" t="s">
        <v>230</v>
      </c>
    </row>
    <row customHeight="1" ht="11.25">
      <c r="A13" s="0" t="s">
        <v>14</v>
      </c>
      <c r="B13" s="0" t="s">
        <v>3111</v>
      </c>
      <c r="C13" s="0" t="s">
        <v>3112</v>
      </c>
      <c r="D13" s="0" t="s">
        <v>3113</v>
      </c>
      <c r="E13" s="0" t="s">
        <v>3114</v>
      </c>
      <c r="F13" s="0" t="s">
        <v>3092</v>
      </c>
      <c r="G13" s="0" t="s">
        <v>231</v>
      </c>
    </row>
    <row customHeight="1" ht="11.25">
      <c r="A14" s="0" t="s">
        <v>14</v>
      </c>
      <c r="B14" s="0" t="s">
        <v>3111</v>
      </c>
      <c r="C14" s="0" t="s">
        <v>3112</v>
      </c>
      <c r="D14" s="0" t="s">
        <v>3111</v>
      </c>
      <c r="E14" s="0" t="s">
        <v>3112</v>
      </c>
      <c r="F14" s="0" t="s">
        <v>3089</v>
      </c>
      <c r="G14" s="0" t="s">
        <v>232</v>
      </c>
    </row>
    <row customHeight="1" ht="11.25">
      <c r="A15" s="0" t="s">
        <v>14</v>
      </c>
      <c r="B15" s="0" t="s">
        <v>3111</v>
      </c>
      <c r="C15" s="0" t="s">
        <v>3112</v>
      </c>
      <c r="D15" s="0" t="s">
        <v>3115</v>
      </c>
      <c r="E15" s="0" t="s">
        <v>3116</v>
      </c>
      <c r="F15" s="0" t="s">
        <v>3092</v>
      </c>
      <c r="G15" s="0" t="s">
        <v>233</v>
      </c>
    </row>
    <row customHeight="1" ht="11.25">
      <c r="A16" s="0" t="s">
        <v>14</v>
      </c>
      <c r="B16" s="0" t="s">
        <v>3111</v>
      </c>
      <c r="C16" s="0" t="s">
        <v>3112</v>
      </c>
      <c r="D16" s="0" t="s">
        <v>3117</v>
      </c>
      <c r="E16" s="0" t="s">
        <v>3118</v>
      </c>
      <c r="F16" s="0" t="s">
        <v>3119</v>
      </c>
      <c r="G16" s="0" t="s">
        <v>1483</v>
      </c>
    </row>
    <row customHeight="1" ht="11.25">
      <c r="A17" s="0" t="s">
        <v>14</v>
      </c>
      <c r="B17" s="0" t="s">
        <v>3111</v>
      </c>
      <c r="C17" s="0" t="s">
        <v>3112</v>
      </c>
      <c r="D17" s="0" t="s">
        <v>3120</v>
      </c>
      <c r="E17" s="0" t="s">
        <v>3121</v>
      </c>
      <c r="F17" s="0" t="s">
        <v>3092</v>
      </c>
      <c r="G17" s="0" t="s">
        <v>1489</v>
      </c>
    </row>
    <row customHeight="1" ht="11.25">
      <c r="A18" s="0" t="s">
        <v>14</v>
      </c>
      <c r="B18" s="0" t="s">
        <v>3111</v>
      </c>
      <c r="C18" s="0" t="s">
        <v>3112</v>
      </c>
      <c r="D18" s="0" t="s">
        <v>3122</v>
      </c>
      <c r="E18" s="0" t="s">
        <v>3123</v>
      </c>
      <c r="F18" s="0" t="s">
        <v>3092</v>
      </c>
      <c r="G18" s="0" t="s">
        <v>1500</v>
      </c>
    </row>
    <row customHeight="1" ht="11.25">
      <c r="A19" s="0" t="s">
        <v>14</v>
      </c>
      <c r="B19" s="0" t="s">
        <v>3124</v>
      </c>
      <c r="C19" s="0" t="s">
        <v>3125</v>
      </c>
      <c r="D19" s="0" t="s">
        <v>3124</v>
      </c>
      <c r="E19" s="0" t="s">
        <v>3125</v>
      </c>
      <c r="F19" s="0" t="s">
        <v>3089</v>
      </c>
      <c r="G19" s="0" t="s">
        <v>1514</v>
      </c>
    </row>
    <row customHeight="1" ht="11.25">
      <c r="A20" s="0" t="s">
        <v>14</v>
      </c>
      <c r="B20" s="0" t="s">
        <v>3124</v>
      </c>
      <c r="C20" s="0" t="s">
        <v>3125</v>
      </c>
      <c r="D20" s="0" t="s">
        <v>3126</v>
      </c>
      <c r="E20" s="0" t="s">
        <v>3127</v>
      </c>
      <c r="F20" s="0" t="s">
        <v>3092</v>
      </c>
      <c r="G20" s="0" t="s">
        <v>1526</v>
      </c>
    </row>
    <row customHeight="1" ht="11.25">
      <c r="A21" s="0" t="s">
        <v>14</v>
      </c>
      <c r="B21" s="0" t="s">
        <v>3124</v>
      </c>
      <c r="C21" s="0" t="s">
        <v>3125</v>
      </c>
      <c r="D21" s="0" t="s">
        <v>3128</v>
      </c>
      <c r="E21" s="0" t="s">
        <v>3129</v>
      </c>
      <c r="F21" s="0" t="s">
        <v>3095</v>
      </c>
      <c r="G21" s="0" t="s">
        <v>1535</v>
      </c>
    </row>
    <row customHeight="1" ht="11.25">
      <c r="A22" s="0" t="s">
        <v>14</v>
      </c>
      <c r="B22" s="0" t="s">
        <v>3124</v>
      </c>
      <c r="C22" s="0" t="s">
        <v>3125</v>
      </c>
      <c r="D22" s="0" t="s">
        <v>3130</v>
      </c>
      <c r="E22" s="0" t="s">
        <v>3131</v>
      </c>
      <c r="F22" s="0" t="s">
        <v>3092</v>
      </c>
      <c r="G22" s="0" t="s">
        <v>1551</v>
      </c>
    </row>
    <row customHeight="1" ht="11.25">
      <c r="A23" s="0" t="s">
        <v>14</v>
      </c>
      <c r="B23" s="0" t="s">
        <v>3124</v>
      </c>
      <c r="C23" s="0" t="s">
        <v>3125</v>
      </c>
      <c r="D23" s="0" t="s">
        <v>3132</v>
      </c>
      <c r="E23" s="0" t="s">
        <v>3133</v>
      </c>
      <c r="F23" s="0" t="s">
        <v>3092</v>
      </c>
      <c r="G23" s="0" t="s">
        <v>1558</v>
      </c>
    </row>
    <row customHeight="1" ht="11.25">
      <c r="A24" s="0" t="s">
        <v>14</v>
      </c>
      <c r="B24" s="0" t="s">
        <v>3124</v>
      </c>
      <c r="C24" s="0" t="s">
        <v>3125</v>
      </c>
      <c r="D24" s="0" t="s">
        <v>3134</v>
      </c>
      <c r="E24" s="0" t="s">
        <v>3135</v>
      </c>
      <c r="F24" s="0" t="s">
        <v>3092</v>
      </c>
      <c r="G24" s="0" t="s">
        <v>1566</v>
      </c>
    </row>
    <row customHeight="1" ht="11.25">
      <c r="A25" s="0" t="s">
        <v>14</v>
      </c>
      <c r="B25" s="0" t="s">
        <v>3124</v>
      </c>
      <c r="C25" s="0" t="s">
        <v>3125</v>
      </c>
      <c r="D25" s="0" t="s">
        <v>3136</v>
      </c>
      <c r="E25" s="0" t="s">
        <v>3137</v>
      </c>
      <c r="F25" s="0" t="s">
        <v>3092</v>
      </c>
      <c r="G25" s="0" t="s">
        <v>1573</v>
      </c>
    </row>
    <row customHeight="1" ht="11.25">
      <c r="A26" s="0" t="s">
        <v>14</v>
      </c>
      <c r="B26" s="0" t="s">
        <v>3124</v>
      </c>
      <c r="C26" s="0" t="s">
        <v>3125</v>
      </c>
      <c r="D26" s="0" t="s">
        <v>3138</v>
      </c>
      <c r="E26" s="0" t="s">
        <v>3139</v>
      </c>
      <c r="F26" s="0" t="s">
        <v>3092</v>
      </c>
      <c r="G26" s="0" t="s">
        <v>1577</v>
      </c>
    </row>
    <row customHeight="1" ht="11.25">
      <c r="A27" s="0" t="s">
        <v>14</v>
      </c>
      <c r="B27" s="0" t="s">
        <v>3124</v>
      </c>
      <c r="C27" s="0" t="s">
        <v>3125</v>
      </c>
      <c r="D27" s="0" t="s">
        <v>3140</v>
      </c>
      <c r="E27" s="0" t="s">
        <v>3141</v>
      </c>
      <c r="F27" s="0" t="s">
        <v>3092</v>
      </c>
      <c r="G27" s="0" t="s">
        <v>1582</v>
      </c>
    </row>
    <row customHeight="1" ht="11.25">
      <c r="A28" s="0" t="s">
        <v>14</v>
      </c>
      <c r="B28" s="0" t="s">
        <v>3124</v>
      </c>
      <c r="C28" s="0" t="s">
        <v>3125</v>
      </c>
      <c r="D28" s="0" t="s">
        <v>3142</v>
      </c>
      <c r="E28" s="0" t="s">
        <v>3143</v>
      </c>
      <c r="F28" s="0" t="s">
        <v>3092</v>
      </c>
      <c r="G28" s="0" t="s">
        <v>1590</v>
      </c>
    </row>
    <row customHeight="1" ht="11.25">
      <c r="A29" s="0" t="s">
        <v>14</v>
      </c>
      <c r="B29" s="0" t="s">
        <v>3144</v>
      </c>
      <c r="C29" s="0" t="s">
        <v>3145</v>
      </c>
      <c r="D29" s="0" t="s">
        <v>3144</v>
      </c>
      <c r="E29" s="0" t="s">
        <v>3145</v>
      </c>
      <c r="F29" s="0" t="s">
        <v>3089</v>
      </c>
      <c r="G29" s="0" t="s">
        <v>1592</v>
      </c>
    </row>
    <row customHeight="1" ht="11.25">
      <c r="A30" s="0" t="s">
        <v>14</v>
      </c>
      <c r="B30" s="0" t="s">
        <v>3144</v>
      </c>
      <c r="C30" s="0" t="s">
        <v>3145</v>
      </c>
      <c r="D30" s="0" t="s">
        <v>3146</v>
      </c>
      <c r="E30" s="0" t="s">
        <v>3147</v>
      </c>
      <c r="F30" s="0" t="s">
        <v>3092</v>
      </c>
      <c r="G30" s="0" t="s">
        <v>1595</v>
      </c>
    </row>
    <row customHeight="1" ht="11.25">
      <c r="A31" s="0" t="s">
        <v>14</v>
      </c>
      <c r="B31" s="0" t="s">
        <v>3144</v>
      </c>
      <c r="C31" s="0" t="s">
        <v>3145</v>
      </c>
      <c r="D31" s="0" t="s">
        <v>3148</v>
      </c>
      <c r="E31" s="0" t="s">
        <v>3149</v>
      </c>
      <c r="F31" s="0" t="s">
        <v>3092</v>
      </c>
      <c r="G31" s="0" t="s">
        <v>1601</v>
      </c>
    </row>
    <row customHeight="1" ht="11.25">
      <c r="A32" s="0" t="s">
        <v>14</v>
      </c>
      <c r="B32" s="0" t="s">
        <v>3144</v>
      </c>
      <c r="C32" s="0" t="s">
        <v>3145</v>
      </c>
      <c r="D32" s="0" t="s">
        <v>3150</v>
      </c>
      <c r="E32" s="0" t="s">
        <v>3151</v>
      </c>
      <c r="F32" s="0" t="s">
        <v>3092</v>
      </c>
      <c r="G32" s="0" t="s">
        <v>1603</v>
      </c>
    </row>
    <row customHeight="1" ht="11.25">
      <c r="A33" s="0" t="s">
        <v>14</v>
      </c>
      <c r="B33" s="0" t="s">
        <v>3144</v>
      </c>
      <c r="C33" s="0" t="s">
        <v>3145</v>
      </c>
      <c r="D33" s="0" t="s">
        <v>3152</v>
      </c>
      <c r="E33" s="0" t="s">
        <v>3153</v>
      </c>
      <c r="F33" s="0" t="s">
        <v>3108</v>
      </c>
      <c r="G33" s="0" t="s">
        <v>1605</v>
      </c>
    </row>
    <row customHeight="1" ht="11.25">
      <c r="A34" s="0" t="s">
        <v>14</v>
      </c>
      <c r="B34" s="0" t="s">
        <v>3144</v>
      </c>
      <c r="C34" s="0" t="s">
        <v>3145</v>
      </c>
      <c r="D34" s="0" t="s">
        <v>3154</v>
      </c>
      <c r="E34" s="0" t="s">
        <v>3155</v>
      </c>
      <c r="F34" s="0" t="s">
        <v>3108</v>
      </c>
      <c r="G34" s="0" t="s">
        <v>1607</v>
      </c>
    </row>
    <row customHeight="1" ht="11.25">
      <c r="A35" s="0" t="s">
        <v>14</v>
      </c>
      <c r="B35" s="0" t="s">
        <v>3144</v>
      </c>
      <c r="C35" s="0" t="s">
        <v>3145</v>
      </c>
      <c r="D35" s="0" t="s">
        <v>3156</v>
      </c>
      <c r="E35" s="0" t="s">
        <v>3157</v>
      </c>
      <c r="F35" s="0" t="s">
        <v>3108</v>
      </c>
      <c r="G35" s="0" t="s">
        <v>1612</v>
      </c>
    </row>
    <row customHeight="1" ht="11.25">
      <c r="A36" s="0" t="s">
        <v>14</v>
      </c>
      <c r="B36" s="0" t="s">
        <v>3144</v>
      </c>
      <c r="C36" s="0" t="s">
        <v>3145</v>
      </c>
      <c r="D36" s="0" t="s">
        <v>3158</v>
      </c>
      <c r="E36" s="0" t="s">
        <v>3159</v>
      </c>
      <c r="F36" s="0" t="s">
        <v>3092</v>
      </c>
      <c r="G36" s="0" t="s">
        <v>1617</v>
      </c>
    </row>
    <row customHeight="1" ht="11.25">
      <c r="A37" s="0" t="s">
        <v>14</v>
      </c>
      <c r="B37" s="0" t="s">
        <v>3144</v>
      </c>
      <c r="C37" s="0" t="s">
        <v>3145</v>
      </c>
      <c r="D37" s="0" t="s">
        <v>3160</v>
      </c>
      <c r="E37" s="0" t="s">
        <v>3161</v>
      </c>
      <c r="F37" s="0" t="s">
        <v>3092</v>
      </c>
      <c r="G37" s="0" t="s">
        <v>1621</v>
      </c>
    </row>
    <row customHeight="1" ht="11.25">
      <c r="A38" s="0" t="s">
        <v>14</v>
      </c>
      <c r="B38" s="0" t="s">
        <v>3144</v>
      </c>
      <c r="C38" s="0" t="s">
        <v>3145</v>
      </c>
      <c r="D38" s="0" t="s">
        <v>3162</v>
      </c>
      <c r="E38" s="0" t="s">
        <v>3163</v>
      </c>
      <c r="F38" s="0" t="s">
        <v>3092</v>
      </c>
      <c r="G38" s="0" t="s">
        <v>1629</v>
      </c>
    </row>
    <row customHeight="1" ht="11.25">
      <c r="A39" s="0" t="s">
        <v>14</v>
      </c>
      <c r="B39" s="0" t="s">
        <v>3144</v>
      </c>
      <c r="C39" s="0" t="s">
        <v>3145</v>
      </c>
      <c r="D39" s="0" t="s">
        <v>3164</v>
      </c>
      <c r="E39" s="0" t="s">
        <v>3165</v>
      </c>
      <c r="F39" s="0" t="s">
        <v>3092</v>
      </c>
      <c r="G39" s="0" t="s">
        <v>1635</v>
      </c>
    </row>
    <row customHeight="1" ht="11.25">
      <c r="A40" s="0" t="s">
        <v>14</v>
      </c>
      <c r="B40" s="0" t="s">
        <v>122</v>
      </c>
      <c r="C40" s="0" t="s">
        <v>3166</v>
      </c>
      <c r="D40" s="0" t="s">
        <v>3167</v>
      </c>
      <c r="E40" s="0" t="s">
        <v>3168</v>
      </c>
      <c r="F40" s="0" t="s">
        <v>3092</v>
      </c>
      <c r="G40" s="0" t="s">
        <v>1640</v>
      </c>
    </row>
    <row customHeight="1" ht="11.25">
      <c r="A41" s="0" t="s">
        <v>14</v>
      </c>
      <c r="B41" s="0" t="s">
        <v>122</v>
      </c>
      <c r="C41" s="0" t="s">
        <v>3166</v>
      </c>
      <c r="D41" s="0" t="s">
        <v>3169</v>
      </c>
      <c r="E41" s="0" t="s">
        <v>3170</v>
      </c>
      <c r="F41" s="0" t="s">
        <v>3092</v>
      </c>
      <c r="G41" s="0" t="s">
        <v>1644</v>
      </c>
    </row>
    <row customHeight="1" ht="11.25">
      <c r="A42" s="0" t="s">
        <v>14</v>
      </c>
      <c r="B42" s="0" t="s">
        <v>122</v>
      </c>
      <c r="C42" s="0" t="s">
        <v>3166</v>
      </c>
      <c r="D42" s="0" t="s">
        <v>122</v>
      </c>
      <c r="E42" s="0" t="s">
        <v>3166</v>
      </c>
      <c r="F42" s="0" t="s">
        <v>3089</v>
      </c>
      <c r="G42" s="0" t="s">
        <v>1647</v>
      </c>
    </row>
    <row customHeight="1" ht="11.25">
      <c r="A43" s="0" t="s">
        <v>14</v>
      </c>
      <c r="B43" s="0" t="s">
        <v>122</v>
      </c>
      <c r="C43" s="0" t="s">
        <v>3166</v>
      </c>
      <c r="D43" s="0" t="s">
        <v>3171</v>
      </c>
      <c r="E43" s="0" t="s">
        <v>3172</v>
      </c>
      <c r="F43" s="0" t="s">
        <v>3092</v>
      </c>
      <c r="G43" s="0" t="s">
        <v>1654</v>
      </c>
    </row>
    <row customHeight="1" ht="11.25">
      <c r="A44" s="0" t="s">
        <v>14</v>
      </c>
      <c r="B44" s="0" t="s">
        <v>122</v>
      </c>
      <c r="C44" s="0" t="s">
        <v>3166</v>
      </c>
      <c r="D44" s="0" t="s">
        <v>3173</v>
      </c>
      <c r="E44" s="0" t="s">
        <v>3174</v>
      </c>
      <c r="F44" s="0" t="s">
        <v>3119</v>
      </c>
      <c r="G44" s="0" t="s">
        <v>1663</v>
      </c>
    </row>
    <row customHeight="1" ht="11.25">
      <c r="A45" s="0" t="s">
        <v>14</v>
      </c>
      <c r="B45" s="0" t="s">
        <v>122</v>
      </c>
      <c r="C45" s="0" t="s">
        <v>3166</v>
      </c>
      <c r="D45" s="0" t="s">
        <v>3175</v>
      </c>
      <c r="E45" s="0" t="s">
        <v>3176</v>
      </c>
      <c r="F45" s="0" t="s">
        <v>3108</v>
      </c>
      <c r="G45" s="0" t="s">
        <v>1668</v>
      </c>
    </row>
    <row customHeight="1" ht="11.25">
      <c r="A46" s="0" t="s">
        <v>14</v>
      </c>
      <c r="B46" s="0" t="s">
        <v>122</v>
      </c>
      <c r="C46" s="0" t="s">
        <v>3166</v>
      </c>
      <c r="D46" s="0" t="s">
        <v>123</v>
      </c>
      <c r="E46" s="0" t="s">
        <v>124</v>
      </c>
      <c r="F46" s="0" t="s">
        <v>3108</v>
      </c>
      <c r="G46" s="0" t="s">
        <v>121</v>
      </c>
    </row>
    <row customHeight="1" ht="11.25">
      <c r="A47" s="0" t="s">
        <v>14</v>
      </c>
      <c r="B47" s="0" t="s">
        <v>122</v>
      </c>
      <c r="C47" s="0" t="s">
        <v>3166</v>
      </c>
      <c r="D47" s="0" t="s">
        <v>3177</v>
      </c>
      <c r="E47" s="0" t="s">
        <v>3178</v>
      </c>
      <c r="F47" s="0" t="s">
        <v>3092</v>
      </c>
      <c r="G47" s="0" t="s">
        <v>1676</v>
      </c>
    </row>
    <row customHeight="1" ht="11.25">
      <c r="A48" s="0" t="s">
        <v>14</v>
      </c>
      <c r="B48" s="0" t="s">
        <v>122</v>
      </c>
      <c r="C48" s="0" t="s">
        <v>3166</v>
      </c>
      <c r="D48" s="0" t="s">
        <v>3179</v>
      </c>
      <c r="E48" s="0" t="s">
        <v>3180</v>
      </c>
      <c r="F48" s="0" t="s">
        <v>3092</v>
      </c>
      <c r="G48" s="0" t="s">
        <v>1681</v>
      </c>
    </row>
    <row customHeight="1" ht="11.25">
      <c r="A49" s="0" t="s">
        <v>14</v>
      </c>
      <c r="B49" s="0" t="s">
        <v>122</v>
      </c>
      <c r="C49" s="0" t="s">
        <v>3166</v>
      </c>
      <c r="D49" s="0" t="s">
        <v>3181</v>
      </c>
      <c r="E49" s="0" t="s">
        <v>3182</v>
      </c>
      <c r="F49" s="0" t="s">
        <v>3092</v>
      </c>
      <c r="G49" s="0" t="s">
        <v>1684</v>
      </c>
    </row>
    <row customHeight="1" ht="11.25">
      <c r="A50" s="0" t="s">
        <v>14</v>
      </c>
      <c r="B50" s="0" t="s">
        <v>122</v>
      </c>
      <c r="C50" s="0" t="s">
        <v>3166</v>
      </c>
      <c r="D50" s="0" t="s">
        <v>3183</v>
      </c>
      <c r="E50" s="0" t="s">
        <v>3184</v>
      </c>
      <c r="F50" s="0" t="s">
        <v>3092</v>
      </c>
      <c r="G50" s="0" t="s">
        <v>1688</v>
      </c>
    </row>
    <row customHeight="1" ht="11.25">
      <c r="A51" s="0" t="s">
        <v>14</v>
      </c>
      <c r="B51" s="0" t="s">
        <v>122</v>
      </c>
      <c r="C51" s="0" t="s">
        <v>3166</v>
      </c>
      <c r="D51" s="0" t="s">
        <v>3185</v>
      </c>
      <c r="E51" s="0" t="s">
        <v>3186</v>
      </c>
      <c r="F51" s="0" t="s">
        <v>3092</v>
      </c>
      <c r="G51" s="0" t="s">
        <v>1693</v>
      </c>
    </row>
    <row customHeight="1" ht="11.25">
      <c r="A52" s="0" t="s">
        <v>14</v>
      </c>
      <c r="B52" s="0" t="s">
        <v>122</v>
      </c>
      <c r="C52" s="0" t="s">
        <v>3166</v>
      </c>
      <c r="D52" s="0" t="s">
        <v>3187</v>
      </c>
      <c r="E52" s="0" t="s">
        <v>3188</v>
      </c>
      <c r="F52" s="0" t="s">
        <v>3092</v>
      </c>
      <c r="G52" s="0" t="s">
        <v>1697</v>
      </c>
    </row>
    <row customHeight="1" ht="11.25">
      <c r="A53" s="0" t="s">
        <v>14</v>
      </c>
      <c r="B53" s="0" t="s">
        <v>122</v>
      </c>
      <c r="C53" s="0" t="s">
        <v>3166</v>
      </c>
      <c r="D53" s="0" t="s">
        <v>3189</v>
      </c>
      <c r="E53" s="0" t="s">
        <v>3190</v>
      </c>
      <c r="F53" s="0" t="s">
        <v>3092</v>
      </c>
      <c r="G53" s="0" t="s">
        <v>1699</v>
      </c>
    </row>
    <row customHeight="1" ht="11.25">
      <c r="A54" s="0" t="s">
        <v>14</v>
      </c>
      <c r="B54" s="0" t="s">
        <v>122</v>
      </c>
      <c r="C54" s="0" t="s">
        <v>3166</v>
      </c>
      <c r="D54" s="0" t="s">
        <v>3191</v>
      </c>
      <c r="E54" s="0" t="s">
        <v>3192</v>
      </c>
      <c r="F54" s="0" t="s">
        <v>3092</v>
      </c>
      <c r="G54" s="0" t="s">
        <v>1702</v>
      </c>
    </row>
    <row customHeight="1" ht="11.25">
      <c r="A55" s="0" t="s">
        <v>14</v>
      </c>
      <c r="B55" s="0" t="s">
        <v>3193</v>
      </c>
      <c r="C55" s="0" t="s">
        <v>3194</v>
      </c>
      <c r="D55" s="0" t="s">
        <v>3195</v>
      </c>
      <c r="E55" s="0" t="s">
        <v>3196</v>
      </c>
      <c r="F55" s="0" t="s">
        <v>3092</v>
      </c>
      <c r="G55" s="0" t="s">
        <v>1706</v>
      </c>
    </row>
    <row customHeight="1" ht="11.25">
      <c r="A56" s="0" t="s">
        <v>14</v>
      </c>
      <c r="B56" s="0" t="s">
        <v>3193</v>
      </c>
      <c r="C56" s="0" t="s">
        <v>3194</v>
      </c>
      <c r="D56" s="0" t="s">
        <v>3197</v>
      </c>
      <c r="E56" s="0" t="s">
        <v>3198</v>
      </c>
      <c r="F56" s="0" t="s">
        <v>3092</v>
      </c>
      <c r="G56" s="0" t="s">
        <v>1709</v>
      </c>
    </row>
    <row customHeight="1" ht="11.25">
      <c r="A57" s="0" t="s">
        <v>14</v>
      </c>
      <c r="B57" s="0" t="s">
        <v>3193</v>
      </c>
      <c r="C57" s="0" t="s">
        <v>3194</v>
      </c>
      <c r="D57" s="0" t="s">
        <v>3199</v>
      </c>
      <c r="E57" s="0" t="s">
        <v>3200</v>
      </c>
      <c r="F57" s="0" t="s">
        <v>3092</v>
      </c>
      <c r="G57" s="0" t="s">
        <v>1712</v>
      </c>
    </row>
    <row customHeight="1" ht="11.25">
      <c r="A58" s="0" t="s">
        <v>14</v>
      </c>
      <c r="B58" s="0" t="s">
        <v>3193</v>
      </c>
      <c r="C58" s="0" t="s">
        <v>3194</v>
      </c>
      <c r="D58" s="0" t="s">
        <v>3201</v>
      </c>
      <c r="E58" s="0" t="s">
        <v>3202</v>
      </c>
      <c r="F58" s="0" t="s">
        <v>3092</v>
      </c>
      <c r="G58" s="0" t="s">
        <v>1715</v>
      </c>
    </row>
    <row customHeight="1" ht="11.25">
      <c r="A59" s="0" t="s">
        <v>14</v>
      </c>
      <c r="B59" s="0" t="s">
        <v>3193</v>
      </c>
      <c r="C59" s="0" t="s">
        <v>3194</v>
      </c>
      <c r="D59" s="0" t="s">
        <v>3193</v>
      </c>
      <c r="E59" s="0" t="s">
        <v>3194</v>
      </c>
      <c r="F59" s="0" t="s">
        <v>3089</v>
      </c>
      <c r="G59" s="0" t="s">
        <v>1719</v>
      </c>
    </row>
    <row customHeight="1" ht="11.25">
      <c r="A60" s="0" t="s">
        <v>14</v>
      </c>
      <c r="B60" s="0" t="s">
        <v>3193</v>
      </c>
      <c r="C60" s="0" t="s">
        <v>3194</v>
      </c>
      <c r="D60" s="0" t="s">
        <v>3203</v>
      </c>
      <c r="E60" s="0" t="s">
        <v>3204</v>
      </c>
      <c r="F60" s="0" t="s">
        <v>3092</v>
      </c>
      <c r="G60" s="0" t="s">
        <v>1722</v>
      </c>
    </row>
    <row customHeight="1" ht="11.25">
      <c r="A61" s="0" t="s">
        <v>14</v>
      </c>
      <c r="B61" s="0" t="s">
        <v>3193</v>
      </c>
      <c r="C61" s="0" t="s">
        <v>3194</v>
      </c>
      <c r="D61" s="0" t="s">
        <v>3205</v>
      </c>
      <c r="E61" s="0" t="s">
        <v>3206</v>
      </c>
      <c r="F61" s="0" t="s">
        <v>3095</v>
      </c>
      <c r="G61" s="0" t="s">
        <v>3207</v>
      </c>
    </row>
    <row customHeight="1" ht="11.25">
      <c r="A62" s="0" t="s">
        <v>14</v>
      </c>
      <c r="B62" s="0" t="s">
        <v>3193</v>
      </c>
      <c r="C62" s="0" t="s">
        <v>3194</v>
      </c>
      <c r="D62" s="0" t="s">
        <v>3208</v>
      </c>
      <c r="E62" s="0" t="s">
        <v>3209</v>
      </c>
      <c r="F62" s="0" t="s">
        <v>3092</v>
      </c>
      <c r="G62" s="0" t="s">
        <v>3210</v>
      </c>
    </row>
    <row customHeight="1" ht="11.25">
      <c r="A63" s="0" t="s">
        <v>14</v>
      </c>
      <c r="B63" s="0" t="s">
        <v>3193</v>
      </c>
      <c r="C63" s="0" t="s">
        <v>3194</v>
      </c>
      <c r="D63" s="0" t="s">
        <v>3211</v>
      </c>
      <c r="E63" s="0" t="s">
        <v>3212</v>
      </c>
      <c r="F63" s="0" t="s">
        <v>3092</v>
      </c>
      <c r="G63" s="0" t="s">
        <v>3213</v>
      </c>
    </row>
    <row customHeight="1" ht="11.25">
      <c r="A64" s="0" t="s">
        <v>14</v>
      </c>
      <c r="B64" s="0" t="s">
        <v>3193</v>
      </c>
      <c r="C64" s="0" t="s">
        <v>3194</v>
      </c>
      <c r="D64" s="0" t="s">
        <v>3214</v>
      </c>
      <c r="E64" s="0" t="s">
        <v>3215</v>
      </c>
      <c r="F64" s="0" t="s">
        <v>3092</v>
      </c>
      <c r="G64" s="0" t="s">
        <v>3216</v>
      </c>
    </row>
    <row customHeight="1" ht="11.25">
      <c r="A65" s="0" t="s">
        <v>14</v>
      </c>
      <c r="B65" s="0" t="s">
        <v>3193</v>
      </c>
      <c r="C65" s="0" t="s">
        <v>3194</v>
      </c>
      <c r="D65" s="0" t="s">
        <v>3217</v>
      </c>
      <c r="E65" s="0" t="s">
        <v>3218</v>
      </c>
      <c r="F65" s="0" t="s">
        <v>3092</v>
      </c>
      <c r="G65" s="0" t="s">
        <v>3219</v>
      </c>
    </row>
    <row customHeight="1" ht="11.25">
      <c r="A66" s="0" t="s">
        <v>14</v>
      </c>
      <c r="B66" s="0" t="s">
        <v>3193</v>
      </c>
      <c r="C66" s="0" t="s">
        <v>3194</v>
      </c>
      <c r="D66" s="0" t="s">
        <v>3220</v>
      </c>
      <c r="E66" s="0" t="s">
        <v>3221</v>
      </c>
      <c r="F66" s="0" t="s">
        <v>3092</v>
      </c>
      <c r="G66" s="0" t="s">
        <v>3222</v>
      </c>
    </row>
    <row customHeight="1" ht="11.25">
      <c r="A67" s="0" t="s">
        <v>14</v>
      </c>
      <c r="B67" s="0" t="s">
        <v>3193</v>
      </c>
      <c r="C67" s="0" t="s">
        <v>3194</v>
      </c>
      <c r="D67" s="0" t="s">
        <v>3223</v>
      </c>
      <c r="E67" s="0" t="s">
        <v>3224</v>
      </c>
      <c r="F67" s="0" t="s">
        <v>3092</v>
      </c>
      <c r="G67" s="0" t="s">
        <v>2042</v>
      </c>
    </row>
    <row customHeight="1" ht="11.25">
      <c r="A68" s="0" t="s">
        <v>14</v>
      </c>
      <c r="B68" s="0" t="s">
        <v>3193</v>
      </c>
      <c r="C68" s="0" t="s">
        <v>3194</v>
      </c>
      <c r="D68" s="0" t="s">
        <v>3225</v>
      </c>
      <c r="E68" s="0" t="s">
        <v>3226</v>
      </c>
      <c r="F68" s="0" t="s">
        <v>3092</v>
      </c>
      <c r="G68" s="0" t="s">
        <v>3227</v>
      </c>
    </row>
    <row customHeight="1" ht="11.25">
      <c r="A69" s="0" t="s">
        <v>14</v>
      </c>
      <c r="B69" s="0" t="s">
        <v>3193</v>
      </c>
      <c r="C69" s="0" t="s">
        <v>3194</v>
      </c>
      <c r="D69" s="0" t="s">
        <v>3228</v>
      </c>
      <c r="E69" s="0" t="s">
        <v>3229</v>
      </c>
      <c r="F69" s="0" t="s">
        <v>3092</v>
      </c>
      <c r="G69" s="0" t="s">
        <v>2253</v>
      </c>
    </row>
    <row customHeight="1" ht="11.25">
      <c r="A70" s="0" t="s">
        <v>14</v>
      </c>
      <c r="B70" s="0" t="s">
        <v>3193</v>
      </c>
      <c r="C70" s="0" t="s">
        <v>3194</v>
      </c>
      <c r="D70" s="0" t="s">
        <v>3230</v>
      </c>
      <c r="E70" s="0" t="s">
        <v>3231</v>
      </c>
      <c r="F70" s="0" t="s">
        <v>3092</v>
      </c>
      <c r="G70" s="0" t="s">
        <v>3232</v>
      </c>
    </row>
    <row customHeight="1" ht="11.25">
      <c r="A71" s="0" t="s">
        <v>14</v>
      </c>
      <c r="B71" s="0" t="s">
        <v>3193</v>
      </c>
      <c r="C71" s="0" t="s">
        <v>3194</v>
      </c>
      <c r="D71" s="0" t="s">
        <v>3233</v>
      </c>
      <c r="E71" s="0" t="s">
        <v>3234</v>
      </c>
      <c r="F71" s="0" t="s">
        <v>3092</v>
      </c>
      <c r="G71" s="0" t="s">
        <v>3235</v>
      </c>
    </row>
    <row customHeight="1" ht="11.25">
      <c r="A72" s="0" t="s">
        <v>14</v>
      </c>
      <c r="B72" s="0" t="s">
        <v>3193</v>
      </c>
      <c r="C72" s="0" t="s">
        <v>3194</v>
      </c>
      <c r="D72" s="0" t="s">
        <v>3236</v>
      </c>
      <c r="E72" s="0" t="s">
        <v>3237</v>
      </c>
      <c r="F72" s="0" t="s">
        <v>3092</v>
      </c>
      <c r="G72" s="0" t="s">
        <v>3238</v>
      </c>
    </row>
    <row customHeight="1" ht="11.25">
      <c r="A73" s="0" t="s">
        <v>14</v>
      </c>
      <c r="B73" s="0" t="s">
        <v>3193</v>
      </c>
      <c r="C73" s="0" t="s">
        <v>3194</v>
      </c>
      <c r="D73" s="0" t="s">
        <v>3239</v>
      </c>
      <c r="E73" s="0" t="s">
        <v>3240</v>
      </c>
      <c r="F73" s="0" t="s">
        <v>3092</v>
      </c>
      <c r="G73" s="0" t="s">
        <v>3241</v>
      </c>
    </row>
    <row customHeight="1" ht="11.25">
      <c r="A74" s="0" t="s">
        <v>14</v>
      </c>
      <c r="B74" s="0" t="s">
        <v>3193</v>
      </c>
      <c r="C74" s="0" t="s">
        <v>3194</v>
      </c>
      <c r="D74" s="0" t="s">
        <v>3242</v>
      </c>
      <c r="E74" s="0" t="s">
        <v>3243</v>
      </c>
      <c r="F74" s="0" t="s">
        <v>3092</v>
      </c>
      <c r="G74" s="0" t="s">
        <v>3244</v>
      </c>
    </row>
    <row customHeight="1" ht="11.25">
      <c r="A75" s="0" t="s">
        <v>14</v>
      </c>
      <c r="B75" s="0" t="s">
        <v>109</v>
      </c>
      <c r="C75" s="0" t="s">
        <v>110</v>
      </c>
      <c r="D75" s="0" t="s">
        <v>109</v>
      </c>
      <c r="E75" s="0" t="s">
        <v>110</v>
      </c>
      <c r="F75" s="0" t="s">
        <v>3245</v>
      </c>
      <c r="G75" s="0" t="s">
        <v>108</v>
      </c>
    </row>
    <row customHeight="1" ht="11.25">
      <c r="A76" s="0" t="s">
        <v>14</v>
      </c>
      <c r="B76" s="0" t="s">
        <v>127</v>
      </c>
      <c r="C76" s="0" t="s">
        <v>128</v>
      </c>
      <c r="D76" s="0" t="s">
        <v>127</v>
      </c>
      <c r="E76" s="0" t="s">
        <v>128</v>
      </c>
      <c r="F76" s="0" t="s">
        <v>3245</v>
      </c>
      <c r="G76" s="0" t="s">
        <v>126</v>
      </c>
    </row>
    <row customHeight="1" ht="11.25">
      <c r="A77" s="0" t="s">
        <v>14</v>
      </c>
      <c r="B77" s="0" t="s">
        <v>3246</v>
      </c>
      <c r="C77" s="0" t="s">
        <v>3247</v>
      </c>
      <c r="D77" s="0" t="s">
        <v>3248</v>
      </c>
      <c r="E77" s="0" t="s">
        <v>3249</v>
      </c>
      <c r="F77" s="0" t="s">
        <v>3092</v>
      </c>
      <c r="G77" s="0" t="s">
        <v>3250</v>
      </c>
    </row>
    <row customHeight="1" ht="11.25">
      <c r="A78" s="0" t="s">
        <v>14</v>
      </c>
      <c r="B78" s="0" t="s">
        <v>3246</v>
      </c>
      <c r="C78" s="0" t="s">
        <v>3247</v>
      </c>
      <c r="D78" s="0" t="s">
        <v>3251</v>
      </c>
      <c r="E78" s="0" t="s">
        <v>3252</v>
      </c>
      <c r="F78" s="0" t="s">
        <v>3092</v>
      </c>
      <c r="G78" s="0" t="s">
        <v>3253</v>
      </c>
    </row>
    <row customHeight="1" ht="11.25">
      <c r="A79" s="0" t="s">
        <v>14</v>
      </c>
      <c r="B79" s="0" t="s">
        <v>3246</v>
      </c>
      <c r="C79" s="0" t="s">
        <v>3247</v>
      </c>
      <c r="D79" s="0" t="s">
        <v>3254</v>
      </c>
      <c r="E79" s="0" t="s">
        <v>3255</v>
      </c>
      <c r="F79" s="0" t="s">
        <v>3092</v>
      </c>
      <c r="G79" s="0" t="s">
        <v>3256</v>
      </c>
    </row>
    <row customHeight="1" ht="11.25">
      <c r="A80" s="0" t="s">
        <v>14</v>
      </c>
      <c r="B80" s="0" t="s">
        <v>3246</v>
      </c>
      <c r="C80" s="0" t="s">
        <v>3247</v>
      </c>
      <c r="D80" s="0" t="s">
        <v>3257</v>
      </c>
      <c r="E80" s="0" t="s">
        <v>3258</v>
      </c>
      <c r="F80" s="0" t="s">
        <v>3092</v>
      </c>
      <c r="G80" s="0" t="s">
        <v>3259</v>
      </c>
    </row>
    <row customHeight="1" ht="11.25">
      <c r="A81" s="0" t="s">
        <v>14</v>
      </c>
      <c r="B81" s="0" t="s">
        <v>3246</v>
      </c>
      <c r="C81" s="0" t="s">
        <v>3247</v>
      </c>
      <c r="D81" s="0" t="s">
        <v>3260</v>
      </c>
      <c r="E81" s="0" t="s">
        <v>3261</v>
      </c>
      <c r="F81" s="0" t="s">
        <v>3092</v>
      </c>
      <c r="G81" s="0" t="s">
        <v>3262</v>
      </c>
    </row>
    <row customHeight="1" ht="11.25">
      <c r="A82" s="0" t="s">
        <v>14</v>
      </c>
      <c r="B82" s="0" t="s">
        <v>3246</v>
      </c>
      <c r="C82" s="0" t="s">
        <v>3247</v>
      </c>
      <c r="D82" s="0" t="s">
        <v>3263</v>
      </c>
      <c r="E82" s="0" t="s">
        <v>3264</v>
      </c>
      <c r="F82" s="0" t="s">
        <v>3092</v>
      </c>
      <c r="G82" s="0" t="s">
        <v>3265</v>
      </c>
    </row>
    <row customHeight="1" ht="11.25">
      <c r="A83" s="0" t="s">
        <v>14</v>
      </c>
      <c r="B83" s="0" t="s">
        <v>3246</v>
      </c>
      <c r="C83" s="0" t="s">
        <v>3247</v>
      </c>
      <c r="D83" s="0" t="s">
        <v>3266</v>
      </c>
      <c r="E83" s="0" t="s">
        <v>3267</v>
      </c>
      <c r="F83" s="0" t="s">
        <v>3092</v>
      </c>
      <c r="G83" s="0" t="s">
        <v>3268</v>
      </c>
    </row>
    <row customHeight="1" ht="11.25">
      <c r="A84" s="0" t="s">
        <v>14</v>
      </c>
      <c r="B84" s="0" t="s">
        <v>3246</v>
      </c>
      <c r="C84" s="0" t="s">
        <v>3247</v>
      </c>
      <c r="D84" s="0" t="s">
        <v>3269</v>
      </c>
      <c r="E84" s="0" t="s">
        <v>3270</v>
      </c>
      <c r="F84" s="0" t="s">
        <v>3092</v>
      </c>
      <c r="G84" s="0" t="s">
        <v>3271</v>
      </c>
    </row>
    <row customHeight="1" ht="11.25">
      <c r="A85" s="0" t="s">
        <v>14</v>
      </c>
      <c r="B85" s="0" t="s">
        <v>3246</v>
      </c>
      <c r="C85" s="0" t="s">
        <v>3247</v>
      </c>
      <c r="D85" s="0" t="s">
        <v>3272</v>
      </c>
      <c r="E85" s="0" t="s">
        <v>3273</v>
      </c>
      <c r="F85" s="0" t="s">
        <v>3092</v>
      </c>
      <c r="G85" s="0" t="s">
        <v>3274</v>
      </c>
    </row>
    <row customHeight="1" ht="11.25">
      <c r="A86" s="0" t="s">
        <v>14</v>
      </c>
      <c r="B86" s="0" t="s">
        <v>3246</v>
      </c>
      <c r="C86" s="0" t="s">
        <v>3247</v>
      </c>
      <c r="D86" s="0" t="s">
        <v>3246</v>
      </c>
      <c r="E86" s="0" t="s">
        <v>3247</v>
      </c>
      <c r="F86" s="0" t="s">
        <v>3089</v>
      </c>
      <c r="G86" s="0" t="s">
        <v>3275</v>
      </c>
    </row>
    <row customHeight="1" ht="11.25">
      <c r="A87" s="0" t="s">
        <v>14</v>
      </c>
      <c r="B87" s="0" t="s">
        <v>3246</v>
      </c>
      <c r="C87" s="0" t="s">
        <v>3247</v>
      </c>
      <c r="D87" s="0" t="s">
        <v>3276</v>
      </c>
      <c r="E87" s="0" t="s">
        <v>3277</v>
      </c>
      <c r="F87" s="0" t="s">
        <v>3092</v>
      </c>
      <c r="G87" s="0" t="s">
        <v>3278</v>
      </c>
    </row>
    <row customHeight="1" ht="11.25">
      <c r="A88" s="0" t="s">
        <v>14</v>
      </c>
      <c r="B88" s="0" t="s">
        <v>3246</v>
      </c>
      <c r="C88" s="0" t="s">
        <v>3247</v>
      </c>
      <c r="D88" s="0" t="s">
        <v>3279</v>
      </c>
      <c r="E88" s="0" t="s">
        <v>3280</v>
      </c>
      <c r="F88" s="0" t="s">
        <v>3092</v>
      </c>
      <c r="G88" s="0" t="s">
        <v>3281</v>
      </c>
    </row>
    <row customHeight="1" ht="11.25">
      <c r="A89" s="0" t="s">
        <v>14</v>
      </c>
      <c r="B89" s="0" t="s">
        <v>3246</v>
      </c>
      <c r="C89" s="0" t="s">
        <v>3247</v>
      </c>
      <c r="D89" s="0" t="s">
        <v>3282</v>
      </c>
      <c r="E89" s="0" t="s">
        <v>3283</v>
      </c>
      <c r="F89" s="0" t="s">
        <v>3092</v>
      </c>
      <c r="G89" s="0" t="s">
        <v>3284</v>
      </c>
    </row>
    <row customHeight="1" ht="11.25">
      <c r="A90" s="0" t="s">
        <v>14</v>
      </c>
      <c r="B90" s="0" t="s">
        <v>3246</v>
      </c>
      <c r="C90" s="0" t="s">
        <v>3247</v>
      </c>
      <c r="D90" s="0" t="s">
        <v>3285</v>
      </c>
      <c r="E90" s="0" t="s">
        <v>3286</v>
      </c>
      <c r="F90" s="0" t="s">
        <v>3092</v>
      </c>
      <c r="G90" s="0" t="s">
        <v>3287</v>
      </c>
    </row>
    <row customHeight="1" ht="11.25">
      <c r="A91" s="0" t="s">
        <v>14</v>
      </c>
      <c r="B91" s="0" t="s">
        <v>3246</v>
      </c>
      <c r="C91" s="0" t="s">
        <v>3247</v>
      </c>
      <c r="D91" s="0" t="s">
        <v>3288</v>
      </c>
      <c r="E91" s="0" t="s">
        <v>3289</v>
      </c>
      <c r="F91" s="0" t="s">
        <v>3092</v>
      </c>
      <c r="G91" s="0" t="s">
        <v>3290</v>
      </c>
    </row>
    <row customHeight="1" ht="11.25">
      <c r="A92" s="0" t="s">
        <v>14</v>
      </c>
      <c r="B92" s="0" t="s">
        <v>3246</v>
      </c>
      <c r="C92" s="0" t="s">
        <v>3247</v>
      </c>
      <c r="D92" s="0" t="s">
        <v>3291</v>
      </c>
      <c r="E92" s="0" t="s">
        <v>3292</v>
      </c>
      <c r="F92" s="0" t="s">
        <v>3092</v>
      </c>
      <c r="G92" s="0" t="s">
        <v>3293</v>
      </c>
    </row>
    <row customHeight="1" ht="11.25">
      <c r="A93" s="0" t="s">
        <v>14</v>
      </c>
      <c r="B93" s="0" t="s">
        <v>3246</v>
      </c>
      <c r="C93" s="0" t="s">
        <v>3247</v>
      </c>
      <c r="D93" s="0" t="s">
        <v>3294</v>
      </c>
      <c r="E93" s="0" t="s">
        <v>3295</v>
      </c>
      <c r="F93" s="0" t="s">
        <v>3092</v>
      </c>
      <c r="G93" s="0" t="s">
        <v>3296</v>
      </c>
    </row>
    <row customHeight="1" ht="11.25">
      <c r="A94" s="0" t="s">
        <v>14</v>
      </c>
      <c r="B94" s="0" t="s">
        <v>3246</v>
      </c>
      <c r="C94" s="0" t="s">
        <v>3247</v>
      </c>
      <c r="D94" s="0" t="s">
        <v>3297</v>
      </c>
      <c r="E94" s="0" t="s">
        <v>3298</v>
      </c>
      <c r="F94" s="0" t="s">
        <v>3092</v>
      </c>
      <c r="G94" s="0" t="s">
        <v>3299</v>
      </c>
    </row>
    <row customHeight="1" ht="11.25">
      <c r="A95" s="0" t="s">
        <v>14</v>
      </c>
      <c r="B95" s="0" t="s">
        <v>3246</v>
      </c>
      <c r="C95" s="0" t="s">
        <v>3247</v>
      </c>
      <c r="D95" s="0" t="s">
        <v>3300</v>
      </c>
      <c r="E95" s="0" t="s">
        <v>3301</v>
      </c>
      <c r="F95" s="0" t="s">
        <v>3092</v>
      </c>
      <c r="G95" s="0" t="s">
        <v>3302</v>
      </c>
    </row>
    <row customHeight="1" ht="11.25">
      <c r="A96" s="0" t="s">
        <v>14</v>
      </c>
      <c r="B96" s="0" t="s">
        <v>3246</v>
      </c>
      <c r="C96" s="0" t="s">
        <v>3247</v>
      </c>
      <c r="D96" s="0" t="s">
        <v>3303</v>
      </c>
      <c r="E96" s="0" t="s">
        <v>3304</v>
      </c>
      <c r="F96" s="0" t="s">
        <v>3092</v>
      </c>
      <c r="G96" s="0" t="s">
        <v>3305</v>
      </c>
    </row>
    <row customHeight="1" ht="11.25">
      <c r="A97" s="0" t="s">
        <v>14</v>
      </c>
      <c r="B97" s="0" t="s">
        <v>3246</v>
      </c>
      <c r="C97" s="0" t="s">
        <v>3247</v>
      </c>
      <c r="D97" s="0" t="s">
        <v>3306</v>
      </c>
      <c r="E97" s="0" t="s">
        <v>3307</v>
      </c>
      <c r="F97" s="0" t="s">
        <v>3092</v>
      </c>
      <c r="G97" s="0" t="s">
        <v>3308</v>
      </c>
    </row>
    <row customHeight="1" ht="11.25">
      <c r="A98" s="0" t="s">
        <v>14</v>
      </c>
      <c r="B98" s="0" t="s">
        <v>3246</v>
      </c>
      <c r="C98" s="0" t="s">
        <v>3247</v>
      </c>
      <c r="D98" s="0" t="s">
        <v>3309</v>
      </c>
      <c r="E98" s="0" t="s">
        <v>3310</v>
      </c>
      <c r="F98" s="0" t="s">
        <v>3092</v>
      </c>
      <c r="G98" s="0" t="s">
        <v>3311</v>
      </c>
    </row>
    <row customHeight="1" ht="11.25">
      <c r="A99" s="0" t="s">
        <v>14</v>
      </c>
      <c r="B99" s="0" t="s">
        <v>3312</v>
      </c>
      <c r="C99" s="0" t="s">
        <v>3313</v>
      </c>
      <c r="D99" s="0" t="s">
        <v>3314</v>
      </c>
      <c r="E99" s="0" t="s">
        <v>3315</v>
      </c>
      <c r="F99" s="0" t="s">
        <v>3092</v>
      </c>
      <c r="G99" s="0" t="s">
        <v>3316</v>
      </c>
    </row>
    <row customHeight="1" ht="11.25">
      <c r="A100" s="0" t="s">
        <v>14</v>
      </c>
      <c r="B100" s="0" t="s">
        <v>3312</v>
      </c>
      <c r="C100" s="0" t="s">
        <v>3313</v>
      </c>
      <c r="D100" s="0" t="s">
        <v>3317</v>
      </c>
      <c r="E100" s="0" t="s">
        <v>3318</v>
      </c>
      <c r="F100" s="0" t="s">
        <v>3092</v>
      </c>
      <c r="G100" s="0" t="s">
        <v>3319</v>
      </c>
    </row>
    <row customHeight="1" ht="11.25">
      <c r="A101" s="0" t="s">
        <v>14</v>
      </c>
      <c r="B101" s="0" t="s">
        <v>3312</v>
      </c>
      <c r="C101" s="0" t="s">
        <v>3313</v>
      </c>
      <c r="D101" s="0" t="s">
        <v>3320</v>
      </c>
      <c r="E101" s="0" t="s">
        <v>3321</v>
      </c>
      <c r="F101" s="0" t="s">
        <v>3092</v>
      </c>
      <c r="G101" s="0" t="s">
        <v>3322</v>
      </c>
    </row>
    <row customHeight="1" ht="11.25">
      <c r="A102" s="0" t="s">
        <v>14</v>
      </c>
      <c r="B102" s="0" t="s">
        <v>3312</v>
      </c>
      <c r="C102" s="0" t="s">
        <v>3313</v>
      </c>
      <c r="D102" s="0" t="s">
        <v>3323</v>
      </c>
      <c r="E102" s="0" t="s">
        <v>3324</v>
      </c>
      <c r="F102" s="0" t="s">
        <v>3092</v>
      </c>
      <c r="G102" s="0" t="s">
        <v>3325</v>
      </c>
    </row>
    <row customHeight="1" ht="11.25">
      <c r="A103" s="0" t="s">
        <v>14</v>
      </c>
      <c r="B103" s="0" t="s">
        <v>3312</v>
      </c>
      <c r="C103" s="0" t="s">
        <v>3313</v>
      </c>
      <c r="D103" s="0" t="s">
        <v>3326</v>
      </c>
      <c r="E103" s="0" t="s">
        <v>3327</v>
      </c>
      <c r="F103" s="0" t="s">
        <v>3092</v>
      </c>
      <c r="G103" s="0" t="s">
        <v>3328</v>
      </c>
    </row>
    <row customHeight="1" ht="11.25">
      <c r="A104" s="0" t="s">
        <v>14</v>
      </c>
      <c r="B104" s="0" t="s">
        <v>3312</v>
      </c>
      <c r="C104" s="0" t="s">
        <v>3313</v>
      </c>
      <c r="D104" s="0" t="s">
        <v>3329</v>
      </c>
      <c r="E104" s="0" t="s">
        <v>3330</v>
      </c>
      <c r="F104" s="0" t="s">
        <v>3092</v>
      </c>
      <c r="G104" s="0" t="s">
        <v>3331</v>
      </c>
    </row>
    <row customHeight="1" ht="11.25">
      <c r="A105" s="0" t="s">
        <v>14</v>
      </c>
      <c r="B105" s="0" t="s">
        <v>3312</v>
      </c>
      <c r="C105" s="0" t="s">
        <v>3313</v>
      </c>
      <c r="D105" s="0" t="s">
        <v>3332</v>
      </c>
      <c r="E105" s="0" t="s">
        <v>3333</v>
      </c>
      <c r="F105" s="0" t="s">
        <v>3092</v>
      </c>
      <c r="G105" s="0" t="s">
        <v>3334</v>
      </c>
    </row>
    <row customHeight="1" ht="11.25">
      <c r="A106" s="0" t="s">
        <v>14</v>
      </c>
      <c r="B106" s="0" t="s">
        <v>3312</v>
      </c>
      <c r="C106" s="0" t="s">
        <v>3313</v>
      </c>
      <c r="D106" s="0" t="s">
        <v>3335</v>
      </c>
      <c r="E106" s="0" t="s">
        <v>3336</v>
      </c>
      <c r="F106" s="0" t="s">
        <v>3092</v>
      </c>
      <c r="G106" s="0" t="s">
        <v>3337</v>
      </c>
    </row>
    <row customHeight="1" ht="11.25">
      <c r="A107" s="0" t="s">
        <v>14</v>
      </c>
      <c r="B107" s="0" t="s">
        <v>3312</v>
      </c>
      <c r="C107" s="0" t="s">
        <v>3313</v>
      </c>
      <c r="D107" s="0" t="s">
        <v>3338</v>
      </c>
      <c r="E107" s="0" t="s">
        <v>3339</v>
      </c>
      <c r="F107" s="0" t="s">
        <v>3092</v>
      </c>
      <c r="G107" s="0" t="s">
        <v>3340</v>
      </c>
    </row>
    <row customHeight="1" ht="11.25">
      <c r="A108" s="0" t="s">
        <v>14</v>
      </c>
      <c r="B108" s="0" t="s">
        <v>3312</v>
      </c>
      <c r="C108" s="0" t="s">
        <v>3313</v>
      </c>
      <c r="D108" s="0" t="s">
        <v>3341</v>
      </c>
      <c r="E108" s="0" t="s">
        <v>3342</v>
      </c>
      <c r="F108" s="0" t="s">
        <v>3092</v>
      </c>
      <c r="G108" s="0" t="s">
        <v>3343</v>
      </c>
    </row>
    <row customHeight="1" ht="11.25">
      <c r="A109" s="0" t="s">
        <v>14</v>
      </c>
      <c r="B109" s="0" t="s">
        <v>3312</v>
      </c>
      <c r="C109" s="0" t="s">
        <v>3313</v>
      </c>
      <c r="D109" s="0" t="s">
        <v>3344</v>
      </c>
      <c r="E109" s="0" t="s">
        <v>3345</v>
      </c>
      <c r="F109" s="0" t="s">
        <v>3092</v>
      </c>
      <c r="G109" s="0" t="s">
        <v>3346</v>
      </c>
    </row>
    <row customHeight="1" ht="11.25">
      <c r="A110" s="0" t="s">
        <v>14</v>
      </c>
      <c r="B110" s="0" t="s">
        <v>3312</v>
      </c>
      <c r="C110" s="0" t="s">
        <v>3313</v>
      </c>
      <c r="D110" s="0" t="s">
        <v>3312</v>
      </c>
      <c r="E110" s="0" t="s">
        <v>3313</v>
      </c>
      <c r="F110" s="0" t="s">
        <v>3089</v>
      </c>
      <c r="G110" s="0" t="s">
        <v>3347</v>
      </c>
    </row>
    <row customHeight="1" ht="11.25">
      <c r="A111" s="0" t="s">
        <v>14</v>
      </c>
      <c r="B111" s="0" t="s">
        <v>3312</v>
      </c>
      <c r="C111" s="0" t="s">
        <v>3313</v>
      </c>
      <c r="D111" s="0" t="s">
        <v>3348</v>
      </c>
      <c r="E111" s="0" t="s">
        <v>3349</v>
      </c>
      <c r="F111" s="0" t="s">
        <v>3092</v>
      </c>
      <c r="G111" s="0" t="s">
        <v>3350</v>
      </c>
    </row>
    <row customHeight="1" ht="11.25">
      <c r="A112" s="0" t="s">
        <v>14</v>
      </c>
      <c r="B112" s="0" t="s">
        <v>3312</v>
      </c>
      <c r="C112" s="0" t="s">
        <v>3313</v>
      </c>
      <c r="D112" s="0" t="s">
        <v>3351</v>
      </c>
      <c r="E112" s="0" t="s">
        <v>3352</v>
      </c>
      <c r="F112" s="0" t="s">
        <v>3092</v>
      </c>
      <c r="G112" s="0" t="s">
        <v>699</v>
      </c>
    </row>
    <row customHeight="1" ht="11.25">
      <c r="A113" s="0" t="s">
        <v>14</v>
      </c>
      <c r="B113" s="0" t="s">
        <v>3312</v>
      </c>
      <c r="C113" s="0" t="s">
        <v>3313</v>
      </c>
      <c r="D113" s="0" t="s">
        <v>3353</v>
      </c>
      <c r="E113" s="0" t="s">
        <v>3354</v>
      </c>
      <c r="F113" s="0" t="s">
        <v>3092</v>
      </c>
      <c r="G113" s="0" t="s">
        <v>3355</v>
      </c>
    </row>
    <row customHeight="1" ht="11.25">
      <c r="A114" s="0" t="s">
        <v>14</v>
      </c>
      <c r="B114" s="0" t="s">
        <v>104</v>
      </c>
      <c r="C114" s="0" t="s">
        <v>3356</v>
      </c>
      <c r="D114" s="0" t="s">
        <v>105</v>
      </c>
      <c r="E114" s="0" t="s">
        <v>106</v>
      </c>
      <c r="F114" s="0" t="s">
        <v>3095</v>
      </c>
      <c r="G114" s="0" t="s">
        <v>103</v>
      </c>
    </row>
    <row customHeight="1" ht="11.25">
      <c r="A115" s="0" t="s">
        <v>14</v>
      </c>
      <c r="B115" s="0" t="s">
        <v>104</v>
      </c>
      <c r="C115" s="0" t="s">
        <v>3356</v>
      </c>
      <c r="D115" s="0" t="s">
        <v>3335</v>
      </c>
      <c r="E115" s="0" t="s">
        <v>3357</v>
      </c>
      <c r="F115" s="0" t="s">
        <v>3092</v>
      </c>
      <c r="G115" s="0" t="s">
        <v>3358</v>
      </c>
    </row>
    <row customHeight="1" ht="11.25">
      <c r="A116" s="0" t="s">
        <v>14</v>
      </c>
      <c r="B116" s="0" t="s">
        <v>104</v>
      </c>
      <c r="C116" s="0" t="s">
        <v>3356</v>
      </c>
      <c r="D116" s="0" t="s">
        <v>3359</v>
      </c>
      <c r="E116" s="0" t="s">
        <v>3360</v>
      </c>
      <c r="F116" s="0" t="s">
        <v>3092</v>
      </c>
      <c r="G116" s="0" t="s">
        <v>3361</v>
      </c>
    </row>
    <row customHeight="1" ht="11.25">
      <c r="A117" s="0" t="s">
        <v>14</v>
      </c>
      <c r="B117" s="0" t="s">
        <v>104</v>
      </c>
      <c r="C117" s="0" t="s">
        <v>3356</v>
      </c>
      <c r="D117" s="0" t="s">
        <v>3362</v>
      </c>
      <c r="E117" s="0" t="s">
        <v>3363</v>
      </c>
      <c r="F117" s="0" t="s">
        <v>3092</v>
      </c>
      <c r="G117" s="0" t="s">
        <v>3364</v>
      </c>
    </row>
    <row customHeight="1" ht="11.25">
      <c r="A118" s="0" t="s">
        <v>14</v>
      </c>
      <c r="B118" s="0" t="s">
        <v>104</v>
      </c>
      <c r="C118" s="0" t="s">
        <v>3356</v>
      </c>
      <c r="D118" s="0" t="s">
        <v>3365</v>
      </c>
      <c r="E118" s="0" t="s">
        <v>3366</v>
      </c>
      <c r="F118" s="0" t="s">
        <v>3092</v>
      </c>
      <c r="G118" s="0" t="s">
        <v>3367</v>
      </c>
    </row>
    <row customHeight="1" ht="11.25">
      <c r="A119" s="0" t="s">
        <v>14</v>
      </c>
      <c r="B119" s="0" t="s">
        <v>104</v>
      </c>
      <c r="C119" s="0" t="s">
        <v>3356</v>
      </c>
      <c r="D119" s="0" t="s">
        <v>3368</v>
      </c>
      <c r="E119" s="0" t="s">
        <v>3369</v>
      </c>
      <c r="F119" s="0" t="s">
        <v>3119</v>
      </c>
      <c r="G119" s="0" t="s">
        <v>3370</v>
      </c>
    </row>
    <row customHeight="1" ht="11.25">
      <c r="A120" s="0" t="s">
        <v>14</v>
      </c>
      <c r="B120" s="0" t="s">
        <v>104</v>
      </c>
      <c r="C120" s="0" t="s">
        <v>3356</v>
      </c>
      <c r="D120" s="0" t="s">
        <v>3371</v>
      </c>
      <c r="E120" s="0" t="s">
        <v>3372</v>
      </c>
      <c r="F120" s="0" t="s">
        <v>3092</v>
      </c>
      <c r="G120" s="0" t="s">
        <v>3373</v>
      </c>
    </row>
    <row customHeight="1" ht="11.25">
      <c r="A121" s="0" t="s">
        <v>14</v>
      </c>
      <c r="B121" s="0" t="s">
        <v>104</v>
      </c>
      <c r="C121" s="0" t="s">
        <v>3356</v>
      </c>
      <c r="D121" s="0" t="s">
        <v>3374</v>
      </c>
      <c r="E121" s="0" t="s">
        <v>3375</v>
      </c>
      <c r="F121" s="0" t="s">
        <v>3092</v>
      </c>
      <c r="G121" s="0" t="s">
        <v>3376</v>
      </c>
    </row>
    <row customHeight="1" ht="11.25">
      <c r="A122" s="0" t="s">
        <v>14</v>
      </c>
      <c r="B122" s="0" t="s">
        <v>104</v>
      </c>
      <c r="C122" s="0" t="s">
        <v>3356</v>
      </c>
      <c r="D122" s="0" t="s">
        <v>104</v>
      </c>
      <c r="E122" s="0" t="s">
        <v>3356</v>
      </c>
      <c r="F122" s="0" t="s">
        <v>3089</v>
      </c>
      <c r="G122" s="0" t="s">
        <v>3377</v>
      </c>
    </row>
    <row customHeight="1" ht="11.25">
      <c r="A123" s="0" t="s">
        <v>14</v>
      </c>
      <c r="B123" s="0" t="s">
        <v>104</v>
      </c>
      <c r="C123" s="0" t="s">
        <v>3356</v>
      </c>
      <c r="D123" s="0" t="s">
        <v>3378</v>
      </c>
      <c r="E123" s="0" t="s">
        <v>3379</v>
      </c>
      <c r="F123" s="0" t="s">
        <v>3092</v>
      </c>
      <c r="G123" s="0" t="s">
        <v>3380</v>
      </c>
    </row>
    <row customHeight="1" ht="11.25">
      <c r="A124" s="0" t="s">
        <v>14</v>
      </c>
      <c r="B124" s="0" t="s">
        <v>104</v>
      </c>
      <c r="C124" s="0" t="s">
        <v>3356</v>
      </c>
      <c r="D124" s="0" t="s">
        <v>3381</v>
      </c>
      <c r="E124" s="0" t="s">
        <v>3382</v>
      </c>
      <c r="F124" s="0" t="s">
        <v>3092</v>
      </c>
      <c r="G124" s="0" t="s">
        <v>3383</v>
      </c>
    </row>
    <row customHeight="1" ht="11.25">
      <c r="A125" s="0" t="s">
        <v>14</v>
      </c>
      <c r="B125" s="0" t="s">
        <v>104</v>
      </c>
      <c r="C125" s="0" t="s">
        <v>3356</v>
      </c>
      <c r="D125" s="0" t="s">
        <v>3384</v>
      </c>
      <c r="E125" s="0" t="s">
        <v>3385</v>
      </c>
      <c r="F125" s="0" t="s">
        <v>3092</v>
      </c>
      <c r="G125" s="0" t="s">
        <v>3386</v>
      </c>
    </row>
    <row customHeight="1" ht="11.25">
      <c r="A126" s="0" t="s">
        <v>14</v>
      </c>
      <c r="B126" s="0" t="s">
        <v>104</v>
      </c>
      <c r="C126" s="0" t="s">
        <v>3356</v>
      </c>
      <c r="D126" s="0" t="s">
        <v>3387</v>
      </c>
      <c r="E126" s="0" t="s">
        <v>3388</v>
      </c>
      <c r="F126" s="0" t="s">
        <v>3108</v>
      </c>
      <c r="G126" s="0" t="s">
        <v>3389</v>
      </c>
    </row>
    <row customHeight="1" ht="11.25">
      <c r="A127" s="0" t="s">
        <v>14</v>
      </c>
      <c r="B127" s="0" t="s">
        <v>104</v>
      </c>
      <c r="C127" s="0" t="s">
        <v>3356</v>
      </c>
      <c r="D127" s="0" t="s">
        <v>3390</v>
      </c>
      <c r="E127" s="0" t="s">
        <v>3391</v>
      </c>
      <c r="F127" s="0" t="s">
        <v>3108</v>
      </c>
      <c r="G127" s="0" t="s">
        <v>3392</v>
      </c>
    </row>
    <row customHeight="1" ht="11.25">
      <c r="A128" s="0" t="s">
        <v>14</v>
      </c>
      <c r="B128" s="0" t="s">
        <v>104</v>
      </c>
      <c r="C128" s="0" t="s">
        <v>3356</v>
      </c>
      <c r="D128" s="0" t="s">
        <v>3393</v>
      </c>
      <c r="E128" s="0" t="s">
        <v>3394</v>
      </c>
      <c r="F128" s="0" t="s">
        <v>3092</v>
      </c>
      <c r="G128" s="0" t="s">
        <v>3395</v>
      </c>
    </row>
    <row customHeight="1" ht="11.25">
      <c r="A129" s="0" t="s">
        <v>14</v>
      </c>
      <c r="B129" s="0" t="s">
        <v>104</v>
      </c>
      <c r="C129" s="0" t="s">
        <v>3356</v>
      </c>
      <c r="D129" s="0" t="s">
        <v>3396</v>
      </c>
      <c r="E129" s="0" t="s">
        <v>3397</v>
      </c>
      <c r="F129" s="0" t="s">
        <v>3092</v>
      </c>
      <c r="G129" s="0" t="s">
        <v>3398</v>
      </c>
    </row>
    <row customHeight="1" ht="11.25">
      <c r="A130" s="0" t="s">
        <v>14</v>
      </c>
      <c r="B130" s="0" t="s">
        <v>3399</v>
      </c>
      <c r="C130" s="0" t="s">
        <v>3400</v>
      </c>
      <c r="D130" s="0" t="s">
        <v>3399</v>
      </c>
      <c r="E130" s="0" t="s">
        <v>3400</v>
      </c>
      <c r="F130" s="0" t="s">
        <v>3401</v>
      </c>
      <c r="G130" s="0" t="s">
        <v>3402</v>
      </c>
    </row>
    <row customHeight="1" ht="11.25">
      <c r="A131" s="0" t="s">
        <v>14</v>
      </c>
      <c r="B131" s="0" t="s">
        <v>3403</v>
      </c>
      <c r="C131" s="0" t="s">
        <v>3404</v>
      </c>
      <c r="D131" s="0" t="s">
        <v>3405</v>
      </c>
      <c r="E131" s="0" t="s">
        <v>3406</v>
      </c>
      <c r="F131" s="0" t="s">
        <v>3092</v>
      </c>
      <c r="G131" s="0" t="s">
        <v>3407</v>
      </c>
    </row>
    <row customHeight="1" ht="11.25">
      <c r="A132" s="0" t="s">
        <v>14</v>
      </c>
      <c r="B132" s="0" t="s">
        <v>3403</v>
      </c>
      <c r="C132" s="0" t="s">
        <v>3404</v>
      </c>
      <c r="D132" s="0" t="s">
        <v>3408</v>
      </c>
      <c r="E132" s="0" t="s">
        <v>3409</v>
      </c>
      <c r="F132" s="0" t="s">
        <v>3092</v>
      </c>
      <c r="G132" s="0" t="s">
        <v>3410</v>
      </c>
    </row>
    <row customHeight="1" ht="11.25">
      <c r="A133" s="0" t="s">
        <v>14</v>
      </c>
      <c r="B133" s="0" t="s">
        <v>3403</v>
      </c>
      <c r="C133" s="0" t="s">
        <v>3404</v>
      </c>
      <c r="D133" s="0" t="s">
        <v>3411</v>
      </c>
      <c r="E133" s="0" t="s">
        <v>3412</v>
      </c>
      <c r="F133" s="0" t="s">
        <v>3092</v>
      </c>
      <c r="G133" s="0" t="s">
        <v>3413</v>
      </c>
    </row>
    <row customHeight="1" ht="11.25">
      <c r="A134" s="0" t="s">
        <v>14</v>
      </c>
      <c r="B134" s="0" t="s">
        <v>3403</v>
      </c>
      <c r="C134" s="0" t="s">
        <v>3404</v>
      </c>
      <c r="D134" s="0" t="s">
        <v>3414</v>
      </c>
      <c r="E134" s="0" t="s">
        <v>3415</v>
      </c>
      <c r="F134" s="0" t="s">
        <v>3092</v>
      </c>
      <c r="G134" s="0" t="s">
        <v>3416</v>
      </c>
    </row>
    <row customHeight="1" ht="11.25">
      <c r="A135" s="0" t="s">
        <v>14</v>
      </c>
      <c r="B135" s="0" t="s">
        <v>3403</v>
      </c>
      <c r="C135" s="0" t="s">
        <v>3404</v>
      </c>
      <c r="D135" s="0" t="s">
        <v>3417</v>
      </c>
      <c r="E135" s="0" t="s">
        <v>3418</v>
      </c>
      <c r="F135" s="0" t="s">
        <v>3092</v>
      </c>
      <c r="G135" s="0" t="s">
        <v>3419</v>
      </c>
    </row>
    <row customHeight="1" ht="11.25">
      <c r="A136" s="0" t="s">
        <v>14</v>
      </c>
      <c r="B136" s="0" t="s">
        <v>3403</v>
      </c>
      <c r="C136" s="0" t="s">
        <v>3404</v>
      </c>
      <c r="D136" s="0" t="s">
        <v>3420</v>
      </c>
      <c r="E136" s="0" t="s">
        <v>3421</v>
      </c>
      <c r="F136" s="0" t="s">
        <v>3092</v>
      </c>
      <c r="G136" s="0" t="s">
        <v>3422</v>
      </c>
    </row>
    <row customHeight="1" ht="11.25">
      <c r="A137" s="0" t="s">
        <v>14</v>
      </c>
      <c r="B137" s="0" t="s">
        <v>3403</v>
      </c>
      <c r="C137" s="0" t="s">
        <v>3404</v>
      </c>
      <c r="D137" s="0" t="s">
        <v>3403</v>
      </c>
      <c r="E137" s="0" t="s">
        <v>3404</v>
      </c>
      <c r="F137" s="0" t="s">
        <v>3089</v>
      </c>
      <c r="G137" s="0" t="s">
        <v>3423</v>
      </c>
    </row>
    <row customHeight="1" ht="11.25">
      <c r="A138" s="0" t="s">
        <v>14</v>
      </c>
      <c r="B138" s="0" t="s">
        <v>3403</v>
      </c>
      <c r="C138" s="0" t="s">
        <v>3404</v>
      </c>
      <c r="D138" s="0" t="s">
        <v>3424</v>
      </c>
      <c r="E138" s="0" t="s">
        <v>3425</v>
      </c>
      <c r="F138" s="0" t="s">
        <v>3108</v>
      </c>
      <c r="G138" s="0" t="s">
        <v>3426</v>
      </c>
    </row>
    <row customHeight="1" ht="11.25">
      <c r="A139" s="0" t="s">
        <v>14</v>
      </c>
      <c r="B139" s="0" t="s">
        <v>3403</v>
      </c>
      <c r="C139" s="0" t="s">
        <v>3404</v>
      </c>
      <c r="D139" s="0" t="s">
        <v>3427</v>
      </c>
      <c r="E139" s="0" t="s">
        <v>3428</v>
      </c>
      <c r="F139" s="0" t="s">
        <v>3092</v>
      </c>
      <c r="G139" s="0" t="s">
        <v>3429</v>
      </c>
    </row>
    <row customHeight="1" ht="11.25">
      <c r="A140" s="0" t="s">
        <v>14</v>
      </c>
      <c r="B140" s="0" t="s">
        <v>113</v>
      </c>
      <c r="C140" s="0" t="s">
        <v>3430</v>
      </c>
      <c r="D140" s="0" t="s">
        <v>3431</v>
      </c>
      <c r="E140" s="0" t="s">
        <v>3432</v>
      </c>
      <c r="F140" s="0" t="s">
        <v>3092</v>
      </c>
      <c r="G140" s="0" t="s">
        <v>3433</v>
      </c>
    </row>
    <row customHeight="1" ht="11.25">
      <c r="A141" s="0" t="s">
        <v>14</v>
      </c>
      <c r="B141" s="0" t="s">
        <v>113</v>
      </c>
      <c r="C141" s="0" t="s">
        <v>3430</v>
      </c>
      <c r="D141" s="0" t="s">
        <v>114</v>
      </c>
      <c r="E141" s="0" t="s">
        <v>115</v>
      </c>
      <c r="F141" s="0" t="s">
        <v>3095</v>
      </c>
      <c r="G141" s="0" t="s">
        <v>112</v>
      </c>
    </row>
    <row customHeight="1" ht="11.25">
      <c r="A142" s="0" t="s">
        <v>14</v>
      </c>
      <c r="B142" s="0" t="s">
        <v>113</v>
      </c>
      <c r="C142" s="0" t="s">
        <v>3430</v>
      </c>
      <c r="D142" s="0" t="s">
        <v>3434</v>
      </c>
      <c r="E142" s="0" t="s">
        <v>3435</v>
      </c>
      <c r="F142" s="0" t="s">
        <v>3119</v>
      </c>
      <c r="G142" s="0" t="s">
        <v>3436</v>
      </c>
    </row>
    <row customHeight="1" ht="11.25">
      <c r="A143" s="0" t="s">
        <v>14</v>
      </c>
      <c r="B143" s="0" t="s">
        <v>113</v>
      </c>
      <c r="C143" s="0" t="s">
        <v>3430</v>
      </c>
      <c r="D143" s="0" t="s">
        <v>3437</v>
      </c>
      <c r="E143" s="0" t="s">
        <v>3438</v>
      </c>
      <c r="F143" s="0" t="s">
        <v>3108</v>
      </c>
      <c r="G143" s="0" t="s">
        <v>3439</v>
      </c>
    </row>
    <row customHeight="1" ht="11.25">
      <c r="A144" s="0" t="s">
        <v>14</v>
      </c>
      <c r="B144" s="0" t="s">
        <v>113</v>
      </c>
      <c r="C144" s="0" t="s">
        <v>3430</v>
      </c>
      <c r="D144" s="0" t="s">
        <v>3440</v>
      </c>
      <c r="E144" s="0" t="s">
        <v>3441</v>
      </c>
      <c r="F144" s="0" t="s">
        <v>3108</v>
      </c>
      <c r="G144" s="0" t="s">
        <v>3442</v>
      </c>
    </row>
    <row customHeight="1" ht="11.25">
      <c r="A145" s="0" t="s">
        <v>14</v>
      </c>
      <c r="B145" s="0" t="s">
        <v>113</v>
      </c>
      <c r="C145" s="0" t="s">
        <v>3430</v>
      </c>
      <c r="D145" s="0" t="s">
        <v>117</v>
      </c>
      <c r="E145" s="0" t="s">
        <v>118</v>
      </c>
      <c r="F145" s="0" t="s">
        <v>3108</v>
      </c>
      <c r="G145" s="0" t="s">
        <v>116</v>
      </c>
    </row>
    <row customHeight="1" ht="11.25">
      <c r="A146" s="0" t="s">
        <v>14</v>
      </c>
      <c r="B146" s="0" t="s">
        <v>113</v>
      </c>
      <c r="C146" s="0" t="s">
        <v>3430</v>
      </c>
      <c r="D146" s="0" t="s">
        <v>113</v>
      </c>
      <c r="E146" s="0" t="s">
        <v>3430</v>
      </c>
      <c r="F146" s="0" t="s">
        <v>3089</v>
      </c>
      <c r="G146" s="0" t="s">
        <v>3443</v>
      </c>
    </row>
    <row customHeight="1" ht="11.25">
      <c r="A147" s="0" t="s">
        <v>14</v>
      </c>
      <c r="B147" s="0" t="s">
        <v>3444</v>
      </c>
      <c r="C147" s="0" t="s">
        <v>3445</v>
      </c>
      <c r="D147" s="0" t="s">
        <v>3446</v>
      </c>
      <c r="E147" s="0" t="s">
        <v>3447</v>
      </c>
      <c r="F147" s="0" t="s">
        <v>3092</v>
      </c>
      <c r="G147" s="0" t="s">
        <v>3448</v>
      </c>
    </row>
    <row customHeight="1" ht="11.25">
      <c r="A148" s="0" t="s">
        <v>14</v>
      </c>
      <c r="B148" s="0" t="s">
        <v>3444</v>
      </c>
      <c r="C148" s="0" t="s">
        <v>3445</v>
      </c>
      <c r="D148" s="0" t="s">
        <v>3449</v>
      </c>
      <c r="E148" s="0" t="s">
        <v>3450</v>
      </c>
      <c r="F148" s="0" t="s">
        <v>3092</v>
      </c>
      <c r="G148" s="0" t="s">
        <v>3451</v>
      </c>
    </row>
    <row customHeight="1" ht="11.25">
      <c r="A149" s="0" t="s">
        <v>14</v>
      </c>
      <c r="B149" s="0" t="s">
        <v>3444</v>
      </c>
      <c r="C149" s="0" t="s">
        <v>3445</v>
      </c>
      <c r="D149" s="0" t="s">
        <v>3452</v>
      </c>
      <c r="E149" s="0" t="s">
        <v>3453</v>
      </c>
      <c r="F149" s="0" t="s">
        <v>3092</v>
      </c>
      <c r="G149" s="0" t="s">
        <v>3454</v>
      </c>
    </row>
    <row customHeight="1" ht="11.25">
      <c r="A150" s="0" t="s">
        <v>14</v>
      </c>
      <c r="B150" s="0" t="s">
        <v>3444</v>
      </c>
      <c r="C150" s="0" t="s">
        <v>3445</v>
      </c>
      <c r="D150" s="0" t="s">
        <v>3455</v>
      </c>
      <c r="E150" s="0" t="s">
        <v>3456</v>
      </c>
      <c r="F150" s="0" t="s">
        <v>3092</v>
      </c>
      <c r="G150" s="0" t="s">
        <v>3457</v>
      </c>
    </row>
    <row customHeight="1" ht="11.25">
      <c r="A151" s="0" t="s">
        <v>14</v>
      </c>
      <c r="B151" s="0" t="s">
        <v>3444</v>
      </c>
      <c r="C151" s="0" t="s">
        <v>3445</v>
      </c>
      <c r="D151" s="0" t="s">
        <v>3458</v>
      </c>
      <c r="E151" s="0" t="s">
        <v>3459</v>
      </c>
      <c r="F151" s="0" t="s">
        <v>3092</v>
      </c>
      <c r="G151" s="0" t="s">
        <v>3460</v>
      </c>
    </row>
    <row customHeight="1" ht="11.25">
      <c r="A152" s="0" t="s">
        <v>14</v>
      </c>
      <c r="B152" s="0" t="s">
        <v>3444</v>
      </c>
      <c r="C152" s="0" t="s">
        <v>3445</v>
      </c>
      <c r="D152" s="0" t="s">
        <v>3461</v>
      </c>
      <c r="E152" s="0" t="s">
        <v>3462</v>
      </c>
      <c r="F152" s="0" t="s">
        <v>3092</v>
      </c>
      <c r="G152" s="0" t="s">
        <v>3463</v>
      </c>
    </row>
    <row customHeight="1" ht="11.25">
      <c r="A153" s="0" t="s">
        <v>14</v>
      </c>
      <c r="B153" s="0" t="s">
        <v>3444</v>
      </c>
      <c r="C153" s="0" t="s">
        <v>3445</v>
      </c>
      <c r="D153" s="0" t="s">
        <v>3464</v>
      </c>
      <c r="E153" s="0" t="s">
        <v>3465</v>
      </c>
      <c r="F153" s="0" t="s">
        <v>3092</v>
      </c>
      <c r="G153" s="0" t="s">
        <v>3466</v>
      </c>
    </row>
    <row customHeight="1" ht="11.25">
      <c r="A154" s="0" t="s">
        <v>14</v>
      </c>
      <c r="B154" s="0" t="s">
        <v>3444</v>
      </c>
      <c r="C154" s="0" t="s">
        <v>3445</v>
      </c>
      <c r="D154" s="0" t="s">
        <v>3467</v>
      </c>
      <c r="E154" s="0" t="s">
        <v>3468</v>
      </c>
      <c r="F154" s="0" t="s">
        <v>3108</v>
      </c>
      <c r="G154" s="0" t="s">
        <v>3469</v>
      </c>
    </row>
    <row customHeight="1" ht="11.25">
      <c r="A155" s="0" t="s">
        <v>14</v>
      </c>
      <c r="B155" s="0" t="s">
        <v>3444</v>
      </c>
      <c r="C155" s="0" t="s">
        <v>3445</v>
      </c>
      <c r="D155" s="0" t="s">
        <v>3470</v>
      </c>
      <c r="E155" s="0" t="s">
        <v>3471</v>
      </c>
      <c r="F155" s="0" t="s">
        <v>3108</v>
      </c>
      <c r="G155" s="0" t="s">
        <v>3472</v>
      </c>
    </row>
    <row customHeight="1" ht="11.25">
      <c r="A156" s="0" t="s">
        <v>14</v>
      </c>
      <c r="B156" s="0" t="s">
        <v>3444</v>
      </c>
      <c r="C156" s="0" t="s">
        <v>3445</v>
      </c>
      <c r="D156" s="0" t="s">
        <v>3444</v>
      </c>
      <c r="E156" s="0" t="s">
        <v>3445</v>
      </c>
      <c r="F156" s="0" t="s">
        <v>3089</v>
      </c>
      <c r="G156" s="0" t="s">
        <v>3473</v>
      </c>
    </row>
    <row customHeight="1" ht="11.25">
      <c r="A157" s="0" t="s">
        <v>14</v>
      </c>
      <c r="B157" s="0" t="s">
        <v>3444</v>
      </c>
      <c r="C157" s="0" t="s">
        <v>3445</v>
      </c>
      <c r="D157" s="0" t="s">
        <v>3474</v>
      </c>
      <c r="E157" s="0" t="s">
        <v>3475</v>
      </c>
      <c r="F157" s="0" t="s">
        <v>3092</v>
      </c>
      <c r="G157" s="0" t="s">
        <v>3476</v>
      </c>
    </row>
    <row customHeight="1" ht="11.25">
      <c r="A158" s="0" t="s">
        <v>14</v>
      </c>
      <c r="B158" s="0" t="s">
        <v>3444</v>
      </c>
      <c r="C158" s="0" t="s">
        <v>3445</v>
      </c>
      <c r="D158" s="0" t="s">
        <v>3477</v>
      </c>
      <c r="E158" s="0" t="s">
        <v>3478</v>
      </c>
      <c r="F158" s="0" t="s">
        <v>3092</v>
      </c>
      <c r="G158" s="0" t="s">
        <v>3479</v>
      </c>
    </row>
    <row customHeight="1" ht="11.25">
      <c r="A159" s="0" t="s">
        <v>14</v>
      </c>
      <c r="B159" s="0" t="s">
        <v>3444</v>
      </c>
      <c r="C159" s="0" t="s">
        <v>3445</v>
      </c>
      <c r="D159" s="0" t="s">
        <v>3480</v>
      </c>
      <c r="E159" s="0" t="s">
        <v>3481</v>
      </c>
      <c r="F159" s="0" t="s">
        <v>3092</v>
      </c>
      <c r="G159" s="0" t="s">
        <v>3482</v>
      </c>
    </row>
    <row customHeight="1" ht="11.25">
      <c r="A160" s="0" t="s">
        <v>14</v>
      </c>
      <c r="B160" s="0" t="s">
        <v>3483</v>
      </c>
      <c r="C160" s="0" t="s">
        <v>3484</v>
      </c>
      <c r="D160" s="0" t="s">
        <v>3485</v>
      </c>
      <c r="E160" s="0" t="s">
        <v>3486</v>
      </c>
      <c r="F160" s="0" t="s">
        <v>3092</v>
      </c>
      <c r="G160" s="0" t="s">
        <v>3487</v>
      </c>
    </row>
    <row customHeight="1" ht="11.25">
      <c r="A161" s="0" t="s">
        <v>14</v>
      </c>
      <c r="B161" s="0" t="s">
        <v>3483</v>
      </c>
      <c r="C161" s="0" t="s">
        <v>3484</v>
      </c>
      <c r="D161" s="0" t="s">
        <v>3488</v>
      </c>
      <c r="E161" s="0" t="s">
        <v>3489</v>
      </c>
      <c r="F161" s="0" t="s">
        <v>3119</v>
      </c>
      <c r="G161" s="0" t="s">
        <v>3490</v>
      </c>
    </row>
    <row customHeight="1" ht="11.25">
      <c r="A162" s="0" t="s">
        <v>14</v>
      </c>
      <c r="B162" s="0" t="s">
        <v>3483</v>
      </c>
      <c r="C162" s="0" t="s">
        <v>3484</v>
      </c>
      <c r="D162" s="0" t="s">
        <v>3491</v>
      </c>
      <c r="E162" s="0" t="s">
        <v>3492</v>
      </c>
      <c r="F162" s="0" t="s">
        <v>3092</v>
      </c>
      <c r="G162" s="0" t="s">
        <v>3493</v>
      </c>
    </row>
    <row customHeight="1" ht="11.25">
      <c r="A163" s="0" t="s">
        <v>14</v>
      </c>
      <c r="B163" s="0" t="s">
        <v>3483</v>
      </c>
      <c r="C163" s="0" t="s">
        <v>3484</v>
      </c>
      <c r="D163" s="0" t="s">
        <v>3483</v>
      </c>
      <c r="E163" s="0" t="s">
        <v>3484</v>
      </c>
      <c r="F163" s="0" t="s">
        <v>3089</v>
      </c>
      <c r="G163" s="0" t="s">
        <v>3494</v>
      </c>
    </row>
    <row customHeight="1" ht="11.25">
      <c r="A164" s="0" t="s">
        <v>14</v>
      </c>
      <c r="B164" s="0" t="s">
        <v>3483</v>
      </c>
      <c r="C164" s="0" t="s">
        <v>3484</v>
      </c>
      <c r="D164" s="0" t="s">
        <v>3495</v>
      </c>
      <c r="E164" s="0" t="s">
        <v>3496</v>
      </c>
      <c r="F164" s="0" t="s">
        <v>3092</v>
      </c>
      <c r="G164" s="0" t="s">
        <v>3497</v>
      </c>
    </row>
    <row customHeight="1" ht="11.25">
      <c r="A165" s="0" t="s">
        <v>14</v>
      </c>
      <c r="B165" s="0" t="s">
        <v>3483</v>
      </c>
      <c r="C165" s="0" t="s">
        <v>3484</v>
      </c>
      <c r="D165" s="0" t="s">
        <v>3498</v>
      </c>
      <c r="E165" s="0" t="s">
        <v>3499</v>
      </c>
      <c r="F165" s="0" t="s">
        <v>3092</v>
      </c>
      <c r="G165" s="0" t="s">
        <v>3500</v>
      </c>
    </row>
    <row customHeight="1" ht="11.25">
      <c r="A166" s="0" t="s">
        <v>14</v>
      </c>
      <c r="B166" s="0" t="s">
        <v>3483</v>
      </c>
      <c r="C166" s="0" t="s">
        <v>3484</v>
      </c>
      <c r="D166" s="0" t="s">
        <v>3501</v>
      </c>
      <c r="E166" s="0" t="s">
        <v>3502</v>
      </c>
      <c r="F166" s="0" t="s">
        <v>3092</v>
      </c>
      <c r="G166" s="0" t="s">
        <v>3503</v>
      </c>
    </row>
    <row customHeight="1" ht="11.25">
      <c r="A167" s="0" t="s">
        <v>14</v>
      </c>
      <c r="B167" s="0" t="s">
        <v>3504</v>
      </c>
      <c r="C167" s="0" t="s">
        <v>3505</v>
      </c>
      <c r="D167" s="0" t="s">
        <v>3506</v>
      </c>
      <c r="E167" s="0" t="s">
        <v>3507</v>
      </c>
      <c r="F167" s="0" t="s">
        <v>3092</v>
      </c>
      <c r="G167" s="0" t="s">
        <v>3508</v>
      </c>
    </row>
    <row customHeight="1" ht="11.25">
      <c r="A168" s="0" t="s">
        <v>14</v>
      </c>
      <c r="B168" s="0" t="s">
        <v>3504</v>
      </c>
      <c r="C168" s="0" t="s">
        <v>3505</v>
      </c>
      <c r="D168" s="0" t="s">
        <v>3509</v>
      </c>
      <c r="E168" s="0" t="s">
        <v>3510</v>
      </c>
      <c r="F168" s="0" t="s">
        <v>3092</v>
      </c>
      <c r="G168" s="0" t="s">
        <v>3511</v>
      </c>
    </row>
    <row customHeight="1" ht="11.25">
      <c r="A169" s="0" t="s">
        <v>14</v>
      </c>
      <c r="B169" s="0" t="s">
        <v>3504</v>
      </c>
      <c r="C169" s="0" t="s">
        <v>3505</v>
      </c>
      <c r="D169" s="0" t="s">
        <v>3512</v>
      </c>
      <c r="E169" s="0" t="s">
        <v>3513</v>
      </c>
      <c r="F169" s="0" t="s">
        <v>3092</v>
      </c>
      <c r="G169" s="0" t="s">
        <v>3514</v>
      </c>
    </row>
    <row customHeight="1" ht="11.25">
      <c r="A170" s="0" t="s">
        <v>14</v>
      </c>
      <c r="B170" s="0" t="s">
        <v>3504</v>
      </c>
      <c r="C170" s="0" t="s">
        <v>3505</v>
      </c>
      <c r="D170" s="0" t="s">
        <v>3515</v>
      </c>
      <c r="E170" s="0" t="s">
        <v>3516</v>
      </c>
      <c r="F170" s="0" t="s">
        <v>3092</v>
      </c>
      <c r="G170" s="0" t="s">
        <v>3517</v>
      </c>
    </row>
    <row customHeight="1" ht="11.25">
      <c r="A171" s="0" t="s">
        <v>14</v>
      </c>
      <c r="B171" s="0" t="s">
        <v>3504</v>
      </c>
      <c r="C171" s="0" t="s">
        <v>3505</v>
      </c>
      <c r="D171" s="0" t="s">
        <v>3518</v>
      </c>
      <c r="E171" s="0" t="s">
        <v>3519</v>
      </c>
      <c r="F171" s="0" t="s">
        <v>3092</v>
      </c>
      <c r="G171" s="0" t="s">
        <v>3520</v>
      </c>
    </row>
    <row customHeight="1" ht="11.25">
      <c r="A172" s="0" t="s">
        <v>14</v>
      </c>
      <c r="B172" s="0" t="s">
        <v>3504</v>
      </c>
      <c r="C172" s="0" t="s">
        <v>3505</v>
      </c>
      <c r="D172" s="0" t="s">
        <v>3521</v>
      </c>
      <c r="E172" s="0" t="s">
        <v>3522</v>
      </c>
      <c r="F172" s="0" t="s">
        <v>3092</v>
      </c>
      <c r="G172" s="0" t="s">
        <v>3523</v>
      </c>
    </row>
    <row customHeight="1" ht="11.25">
      <c r="A173" s="0" t="s">
        <v>14</v>
      </c>
      <c r="B173" s="0" t="s">
        <v>3504</v>
      </c>
      <c r="C173" s="0" t="s">
        <v>3505</v>
      </c>
      <c r="D173" s="0" t="s">
        <v>3524</v>
      </c>
      <c r="E173" s="0" t="s">
        <v>3525</v>
      </c>
      <c r="F173" s="0" t="s">
        <v>3092</v>
      </c>
      <c r="G173" s="0" t="s">
        <v>3526</v>
      </c>
    </row>
    <row customHeight="1" ht="11.25">
      <c r="A174" s="0" t="s">
        <v>14</v>
      </c>
      <c r="B174" s="0" t="s">
        <v>3504</v>
      </c>
      <c r="C174" s="0" t="s">
        <v>3505</v>
      </c>
      <c r="D174" s="0" t="s">
        <v>3527</v>
      </c>
      <c r="E174" s="0" t="s">
        <v>3528</v>
      </c>
      <c r="F174" s="0" t="s">
        <v>3092</v>
      </c>
      <c r="G174" s="0" t="s">
        <v>3529</v>
      </c>
    </row>
    <row customHeight="1" ht="11.25">
      <c r="A175" s="0" t="s">
        <v>14</v>
      </c>
      <c r="B175" s="0" t="s">
        <v>3504</v>
      </c>
      <c r="C175" s="0" t="s">
        <v>3505</v>
      </c>
      <c r="D175" s="0" t="s">
        <v>3530</v>
      </c>
      <c r="E175" s="0" t="s">
        <v>3531</v>
      </c>
      <c r="F175" s="0" t="s">
        <v>3092</v>
      </c>
      <c r="G175" s="0" t="s">
        <v>3532</v>
      </c>
    </row>
    <row customHeight="1" ht="11.25">
      <c r="A176" s="0" t="s">
        <v>14</v>
      </c>
      <c r="B176" s="0" t="s">
        <v>3504</v>
      </c>
      <c r="C176" s="0" t="s">
        <v>3505</v>
      </c>
      <c r="D176" s="0" t="s">
        <v>3533</v>
      </c>
      <c r="E176" s="0" t="s">
        <v>3534</v>
      </c>
      <c r="F176" s="0" t="s">
        <v>3092</v>
      </c>
      <c r="G176" s="0" t="s">
        <v>3535</v>
      </c>
    </row>
    <row customHeight="1" ht="11.25">
      <c r="A177" s="0" t="s">
        <v>14</v>
      </c>
      <c r="B177" s="0" t="s">
        <v>3504</v>
      </c>
      <c r="C177" s="0" t="s">
        <v>3505</v>
      </c>
      <c r="D177" s="0" t="s">
        <v>3536</v>
      </c>
      <c r="E177" s="0" t="s">
        <v>3537</v>
      </c>
      <c r="F177" s="0" t="s">
        <v>3092</v>
      </c>
      <c r="G177" s="0" t="s">
        <v>3538</v>
      </c>
    </row>
    <row customHeight="1" ht="11.25">
      <c r="A178" s="0" t="s">
        <v>14</v>
      </c>
      <c r="B178" s="0" t="s">
        <v>3504</v>
      </c>
      <c r="C178" s="0" t="s">
        <v>3505</v>
      </c>
      <c r="D178" s="0" t="s">
        <v>3539</v>
      </c>
      <c r="E178" s="0" t="s">
        <v>3540</v>
      </c>
      <c r="F178" s="0" t="s">
        <v>3092</v>
      </c>
      <c r="G178" s="0" t="s">
        <v>3541</v>
      </c>
    </row>
    <row customHeight="1" ht="11.25">
      <c r="A179" s="0" t="s">
        <v>14</v>
      </c>
      <c r="B179" s="0" t="s">
        <v>3504</v>
      </c>
      <c r="C179" s="0" t="s">
        <v>3505</v>
      </c>
      <c r="D179" s="0" t="s">
        <v>3542</v>
      </c>
      <c r="E179" s="0" t="s">
        <v>3543</v>
      </c>
      <c r="F179" s="0" t="s">
        <v>3092</v>
      </c>
      <c r="G179" s="0" t="s">
        <v>3544</v>
      </c>
    </row>
    <row customHeight="1" ht="11.25">
      <c r="A180" s="0" t="s">
        <v>14</v>
      </c>
      <c r="B180" s="0" t="s">
        <v>3504</v>
      </c>
      <c r="C180" s="0" t="s">
        <v>3505</v>
      </c>
      <c r="D180" s="0" t="s">
        <v>3545</v>
      </c>
      <c r="E180" s="0" t="s">
        <v>3546</v>
      </c>
      <c r="F180" s="0" t="s">
        <v>3092</v>
      </c>
      <c r="G180" s="0" t="s">
        <v>3547</v>
      </c>
    </row>
    <row customHeight="1" ht="11.25">
      <c r="A181" s="0" t="s">
        <v>14</v>
      </c>
      <c r="B181" s="0" t="s">
        <v>3504</v>
      </c>
      <c r="C181" s="0" t="s">
        <v>3505</v>
      </c>
      <c r="D181" s="0" t="s">
        <v>3548</v>
      </c>
      <c r="E181" s="0" t="s">
        <v>3549</v>
      </c>
      <c r="F181" s="0" t="s">
        <v>3092</v>
      </c>
      <c r="G181" s="0" t="s">
        <v>3550</v>
      </c>
    </row>
    <row customHeight="1" ht="11.25">
      <c r="A182" s="0" t="s">
        <v>14</v>
      </c>
      <c r="B182" s="0" t="s">
        <v>3504</v>
      </c>
      <c r="C182" s="0" t="s">
        <v>3505</v>
      </c>
      <c r="D182" s="0" t="s">
        <v>3551</v>
      </c>
      <c r="E182" s="0" t="s">
        <v>3552</v>
      </c>
      <c r="F182" s="0" t="s">
        <v>3092</v>
      </c>
      <c r="G182" s="0" t="s">
        <v>3553</v>
      </c>
    </row>
    <row customHeight="1" ht="11.25">
      <c r="A183" s="0" t="s">
        <v>14</v>
      </c>
      <c r="B183" s="0" t="s">
        <v>3504</v>
      </c>
      <c r="C183" s="0" t="s">
        <v>3505</v>
      </c>
      <c r="D183" s="0" t="s">
        <v>3504</v>
      </c>
      <c r="E183" s="0" t="s">
        <v>3505</v>
      </c>
      <c r="F183" s="0" t="s">
        <v>3089</v>
      </c>
      <c r="G183" s="0" t="s">
        <v>3554</v>
      </c>
    </row>
    <row customHeight="1" ht="11.25">
      <c r="A184" s="0" t="s">
        <v>14</v>
      </c>
      <c r="B184" s="0" t="s">
        <v>3504</v>
      </c>
      <c r="C184" s="0" t="s">
        <v>3505</v>
      </c>
      <c r="D184" s="0" t="s">
        <v>3555</v>
      </c>
      <c r="E184" s="0" t="s">
        <v>3556</v>
      </c>
      <c r="F184" s="0" t="s">
        <v>3092</v>
      </c>
      <c r="G184" s="0" t="s">
        <v>3557</v>
      </c>
    </row>
    <row customHeight="1" ht="11.25">
      <c r="A185" s="0" t="s">
        <v>14</v>
      </c>
      <c r="B185" s="0" t="s">
        <v>3504</v>
      </c>
      <c r="C185" s="0" t="s">
        <v>3505</v>
      </c>
      <c r="D185" s="0" t="s">
        <v>3558</v>
      </c>
      <c r="E185" s="0" t="s">
        <v>3559</v>
      </c>
      <c r="F185" s="0" t="s">
        <v>3092</v>
      </c>
      <c r="G185" s="0" t="s">
        <v>3560</v>
      </c>
    </row>
    <row customHeight="1" ht="11.25">
      <c r="A186" s="0" t="s">
        <v>14</v>
      </c>
      <c r="B186" s="0" t="s">
        <v>130</v>
      </c>
      <c r="C186" s="0" t="s">
        <v>3561</v>
      </c>
      <c r="D186" s="0" t="s">
        <v>3562</v>
      </c>
      <c r="E186" s="0" t="s">
        <v>3563</v>
      </c>
      <c r="F186" s="0" t="s">
        <v>3092</v>
      </c>
      <c r="G186" s="0" t="s">
        <v>3564</v>
      </c>
    </row>
    <row customHeight="1" ht="11.25">
      <c r="A187" s="0" t="s">
        <v>14</v>
      </c>
      <c r="B187" s="0" t="s">
        <v>130</v>
      </c>
      <c r="C187" s="0" t="s">
        <v>3561</v>
      </c>
      <c r="D187" s="0" t="s">
        <v>3565</v>
      </c>
      <c r="E187" s="0" t="s">
        <v>3566</v>
      </c>
      <c r="F187" s="0" t="s">
        <v>3092</v>
      </c>
      <c r="G187" s="0" t="s">
        <v>3567</v>
      </c>
    </row>
    <row customHeight="1" ht="11.25">
      <c r="A188" s="0" t="s">
        <v>14</v>
      </c>
      <c r="B188" s="0" t="s">
        <v>130</v>
      </c>
      <c r="C188" s="0" t="s">
        <v>3561</v>
      </c>
      <c r="D188" s="0" t="s">
        <v>143</v>
      </c>
      <c r="E188" s="0" t="s">
        <v>144</v>
      </c>
      <c r="F188" s="0" t="s">
        <v>3092</v>
      </c>
      <c r="G188" s="0" t="s">
        <v>142</v>
      </c>
    </row>
    <row customHeight="1" ht="11.25">
      <c r="A189" s="0" t="s">
        <v>14</v>
      </c>
      <c r="B189" s="0" t="s">
        <v>130</v>
      </c>
      <c r="C189" s="0" t="s">
        <v>3561</v>
      </c>
      <c r="D189" s="0" t="s">
        <v>3568</v>
      </c>
      <c r="E189" s="0" t="s">
        <v>3569</v>
      </c>
      <c r="F189" s="0" t="s">
        <v>3092</v>
      </c>
      <c r="G189" s="0" t="s">
        <v>3570</v>
      </c>
    </row>
    <row customHeight="1" ht="11.25">
      <c r="A190" s="0" t="s">
        <v>14</v>
      </c>
      <c r="B190" s="0" t="s">
        <v>130</v>
      </c>
      <c r="C190" s="0" t="s">
        <v>3561</v>
      </c>
      <c r="D190" s="0" t="s">
        <v>154</v>
      </c>
      <c r="E190" s="0" t="s">
        <v>155</v>
      </c>
      <c r="F190" s="0" t="s">
        <v>3092</v>
      </c>
      <c r="G190" s="0" t="s">
        <v>153</v>
      </c>
    </row>
    <row customHeight="1" ht="11.25">
      <c r="A191" s="0" t="s">
        <v>14</v>
      </c>
      <c r="B191" s="0" t="s">
        <v>130</v>
      </c>
      <c r="C191" s="0" t="s">
        <v>3561</v>
      </c>
      <c r="D191" s="0" t="s">
        <v>3571</v>
      </c>
      <c r="E191" s="0" t="s">
        <v>3572</v>
      </c>
      <c r="F191" s="0" t="s">
        <v>3092</v>
      </c>
      <c r="G191" s="0" t="s">
        <v>3573</v>
      </c>
    </row>
    <row customHeight="1" ht="11.25">
      <c r="A192" s="0" t="s">
        <v>14</v>
      </c>
      <c r="B192" s="0" t="s">
        <v>130</v>
      </c>
      <c r="C192" s="0" t="s">
        <v>3561</v>
      </c>
      <c r="D192" s="0" t="s">
        <v>131</v>
      </c>
      <c r="E192" s="0" t="s">
        <v>132</v>
      </c>
      <c r="F192" s="0" t="s">
        <v>3092</v>
      </c>
      <c r="G192" s="0" t="s">
        <v>129</v>
      </c>
    </row>
    <row customHeight="1" ht="11.25">
      <c r="A193" s="0" t="s">
        <v>14</v>
      </c>
      <c r="B193" s="0" t="s">
        <v>130</v>
      </c>
      <c r="C193" s="0" t="s">
        <v>3561</v>
      </c>
      <c r="D193" s="0" t="s">
        <v>3574</v>
      </c>
      <c r="E193" s="0" t="s">
        <v>3575</v>
      </c>
      <c r="F193" s="0" t="s">
        <v>3092</v>
      </c>
      <c r="G193" s="0" t="s">
        <v>3576</v>
      </c>
    </row>
    <row customHeight="1" ht="11.25">
      <c r="A194" s="0" t="s">
        <v>14</v>
      </c>
      <c r="B194" s="0" t="s">
        <v>130</v>
      </c>
      <c r="C194" s="0" t="s">
        <v>3561</v>
      </c>
      <c r="D194" s="0" t="s">
        <v>3577</v>
      </c>
      <c r="E194" s="0" t="s">
        <v>3578</v>
      </c>
      <c r="F194" s="0" t="s">
        <v>3092</v>
      </c>
      <c r="G194" s="0" t="s">
        <v>3579</v>
      </c>
    </row>
    <row customHeight="1" ht="11.25">
      <c r="A195" s="0" t="s">
        <v>14</v>
      </c>
      <c r="B195" s="0" t="s">
        <v>130</v>
      </c>
      <c r="C195" s="0" t="s">
        <v>3561</v>
      </c>
      <c r="D195" s="0" t="s">
        <v>3580</v>
      </c>
      <c r="E195" s="0" t="s">
        <v>3581</v>
      </c>
      <c r="F195" s="0" t="s">
        <v>3092</v>
      </c>
      <c r="G195" s="0" t="s">
        <v>3582</v>
      </c>
    </row>
    <row customHeight="1" ht="11.25">
      <c r="A196" s="0" t="s">
        <v>14</v>
      </c>
      <c r="B196" s="0" t="s">
        <v>130</v>
      </c>
      <c r="C196" s="0" t="s">
        <v>3561</v>
      </c>
      <c r="D196" s="0" t="s">
        <v>3583</v>
      </c>
      <c r="E196" s="0" t="s">
        <v>3584</v>
      </c>
      <c r="F196" s="0" t="s">
        <v>3092</v>
      </c>
      <c r="G196" s="0" t="s">
        <v>3585</v>
      </c>
    </row>
    <row customHeight="1" ht="11.25">
      <c r="A197" s="0" t="s">
        <v>14</v>
      </c>
      <c r="B197" s="0" t="s">
        <v>130</v>
      </c>
      <c r="C197" s="0" t="s">
        <v>3561</v>
      </c>
      <c r="D197" s="0" t="s">
        <v>3586</v>
      </c>
      <c r="E197" s="0" t="s">
        <v>3587</v>
      </c>
      <c r="F197" s="0" t="s">
        <v>3092</v>
      </c>
      <c r="G197" s="0" t="s">
        <v>3588</v>
      </c>
    </row>
    <row customHeight="1" ht="11.25">
      <c r="A198" s="0" t="s">
        <v>14</v>
      </c>
      <c r="B198" s="0" t="s">
        <v>130</v>
      </c>
      <c r="C198" s="0" t="s">
        <v>3561</v>
      </c>
      <c r="D198" s="0" t="s">
        <v>146</v>
      </c>
      <c r="E198" s="0" t="s">
        <v>147</v>
      </c>
      <c r="F198" s="0" t="s">
        <v>3092</v>
      </c>
      <c r="G198" s="0" t="s">
        <v>145</v>
      </c>
    </row>
    <row customHeight="1" ht="11.25">
      <c r="A199" s="0" t="s">
        <v>14</v>
      </c>
      <c r="B199" s="0" t="s">
        <v>130</v>
      </c>
      <c r="C199" s="0" t="s">
        <v>3561</v>
      </c>
      <c r="D199" s="0" t="s">
        <v>3589</v>
      </c>
      <c r="E199" s="0" t="s">
        <v>3590</v>
      </c>
      <c r="F199" s="0" t="s">
        <v>3092</v>
      </c>
      <c r="G199" s="0" t="s">
        <v>3591</v>
      </c>
    </row>
    <row customHeight="1" ht="11.25">
      <c r="A200" s="0" t="s">
        <v>14</v>
      </c>
      <c r="B200" s="0" t="s">
        <v>130</v>
      </c>
      <c r="C200" s="0" t="s">
        <v>3561</v>
      </c>
      <c r="D200" s="0" t="s">
        <v>3592</v>
      </c>
      <c r="E200" s="0" t="s">
        <v>3593</v>
      </c>
      <c r="F200" s="0" t="s">
        <v>3092</v>
      </c>
      <c r="G200" s="0" t="s">
        <v>3594</v>
      </c>
    </row>
    <row customHeight="1" ht="11.25">
      <c r="A201" s="0" t="s">
        <v>14</v>
      </c>
      <c r="B201" s="0" t="s">
        <v>130</v>
      </c>
      <c r="C201" s="0" t="s">
        <v>3561</v>
      </c>
      <c r="D201" s="0" t="s">
        <v>157</v>
      </c>
      <c r="E201" s="0" t="s">
        <v>158</v>
      </c>
      <c r="F201" s="0" t="s">
        <v>3092</v>
      </c>
      <c r="G201" s="0" t="s">
        <v>156</v>
      </c>
    </row>
    <row customHeight="1" ht="11.25">
      <c r="A202" s="0" t="s">
        <v>14</v>
      </c>
      <c r="B202" s="0" t="s">
        <v>130</v>
      </c>
      <c r="C202" s="0" t="s">
        <v>3561</v>
      </c>
      <c r="D202" s="0" t="s">
        <v>3595</v>
      </c>
      <c r="E202" s="0" t="s">
        <v>3596</v>
      </c>
      <c r="F202" s="0" t="s">
        <v>3092</v>
      </c>
      <c r="G202" s="0" t="s">
        <v>3597</v>
      </c>
    </row>
    <row customHeight="1" ht="11.25">
      <c r="A203" s="0" t="s">
        <v>14</v>
      </c>
      <c r="B203" s="0" t="s">
        <v>130</v>
      </c>
      <c r="C203" s="0" t="s">
        <v>3561</v>
      </c>
      <c r="D203" s="0" t="s">
        <v>3598</v>
      </c>
      <c r="E203" s="0" t="s">
        <v>3599</v>
      </c>
      <c r="F203" s="0" t="s">
        <v>3092</v>
      </c>
      <c r="G203" s="0" t="s">
        <v>3600</v>
      </c>
    </row>
    <row customHeight="1" ht="11.25">
      <c r="A204" s="0" t="s">
        <v>14</v>
      </c>
      <c r="B204" s="0" t="s">
        <v>130</v>
      </c>
      <c r="C204" s="0" t="s">
        <v>3561</v>
      </c>
      <c r="D204" s="0" t="s">
        <v>3601</v>
      </c>
      <c r="E204" s="0" t="s">
        <v>3602</v>
      </c>
      <c r="F204" s="0" t="s">
        <v>3092</v>
      </c>
      <c r="G204" s="0" t="s">
        <v>3603</v>
      </c>
    </row>
    <row customHeight="1" ht="11.25">
      <c r="A205" s="0" t="s">
        <v>14</v>
      </c>
      <c r="B205" s="0" t="s">
        <v>130</v>
      </c>
      <c r="C205" s="0" t="s">
        <v>3561</v>
      </c>
      <c r="D205" s="0" t="s">
        <v>3604</v>
      </c>
      <c r="E205" s="0" t="s">
        <v>3605</v>
      </c>
      <c r="F205" s="0" t="s">
        <v>3092</v>
      </c>
      <c r="G205" s="0" t="s">
        <v>3606</v>
      </c>
    </row>
    <row customHeight="1" ht="11.25">
      <c r="A206" s="0" t="s">
        <v>14</v>
      </c>
      <c r="B206" s="0" t="s">
        <v>130</v>
      </c>
      <c r="C206" s="0" t="s">
        <v>3561</v>
      </c>
      <c r="D206" s="0" t="s">
        <v>134</v>
      </c>
      <c r="E206" s="0" t="s">
        <v>135</v>
      </c>
      <c r="F206" s="0" t="s">
        <v>3108</v>
      </c>
      <c r="G206" s="0" t="s">
        <v>133</v>
      </c>
    </row>
    <row customHeight="1" ht="11.25">
      <c r="A207" s="0" t="s">
        <v>14</v>
      </c>
      <c r="B207" s="0" t="s">
        <v>130</v>
      </c>
      <c r="C207" s="0" t="s">
        <v>3561</v>
      </c>
      <c r="D207" s="0" t="s">
        <v>137</v>
      </c>
      <c r="E207" s="0" t="s">
        <v>138</v>
      </c>
      <c r="F207" s="0" t="s">
        <v>3092</v>
      </c>
      <c r="G207" s="0" t="s">
        <v>136</v>
      </c>
    </row>
    <row customHeight="1" ht="11.25">
      <c r="A208" s="0" t="s">
        <v>14</v>
      </c>
      <c r="B208" s="0" t="s">
        <v>130</v>
      </c>
      <c r="C208" s="0" t="s">
        <v>3561</v>
      </c>
      <c r="D208" s="0" t="s">
        <v>3607</v>
      </c>
      <c r="E208" s="0" t="s">
        <v>3608</v>
      </c>
      <c r="F208" s="0" t="s">
        <v>3092</v>
      </c>
      <c r="G208" s="0" t="s">
        <v>3609</v>
      </c>
    </row>
    <row customHeight="1" ht="11.25">
      <c r="A209" s="0" t="s">
        <v>14</v>
      </c>
      <c r="B209" s="0" t="s">
        <v>130</v>
      </c>
      <c r="C209" s="0" t="s">
        <v>3561</v>
      </c>
      <c r="D209" s="0" t="s">
        <v>3610</v>
      </c>
      <c r="E209" s="0" t="s">
        <v>3611</v>
      </c>
      <c r="F209" s="0" t="s">
        <v>3092</v>
      </c>
      <c r="G209" s="0" t="s">
        <v>3612</v>
      </c>
    </row>
    <row customHeight="1" ht="11.25">
      <c r="A210" s="0" t="s">
        <v>14</v>
      </c>
      <c r="B210" s="0" t="s">
        <v>130</v>
      </c>
      <c r="C210" s="0" t="s">
        <v>3561</v>
      </c>
      <c r="D210" s="0" t="s">
        <v>149</v>
      </c>
      <c r="E210" s="0" t="s">
        <v>150</v>
      </c>
      <c r="F210" s="0" t="s">
        <v>3092</v>
      </c>
      <c r="G210" s="0" t="s">
        <v>148</v>
      </c>
    </row>
    <row customHeight="1" ht="11.25">
      <c r="A211" s="0" t="s">
        <v>14</v>
      </c>
      <c r="B211" s="0" t="s">
        <v>130</v>
      </c>
      <c r="C211" s="0" t="s">
        <v>3561</v>
      </c>
      <c r="D211" s="0" t="s">
        <v>3613</v>
      </c>
      <c r="E211" s="0" t="s">
        <v>3614</v>
      </c>
      <c r="F211" s="0" t="s">
        <v>3092</v>
      </c>
      <c r="G211" s="0" t="s">
        <v>3615</v>
      </c>
    </row>
    <row customHeight="1" ht="11.25">
      <c r="A212" s="0" t="s">
        <v>14</v>
      </c>
      <c r="B212" s="0" t="s">
        <v>130</v>
      </c>
      <c r="C212" s="0" t="s">
        <v>3561</v>
      </c>
      <c r="D212" s="0" t="s">
        <v>130</v>
      </c>
      <c r="E212" s="0" t="s">
        <v>3561</v>
      </c>
      <c r="F212" s="0" t="s">
        <v>3089</v>
      </c>
      <c r="G212" s="0" t="s">
        <v>3616</v>
      </c>
    </row>
    <row customHeight="1" ht="11.25">
      <c r="A213" s="0" t="s">
        <v>14</v>
      </c>
      <c r="B213" s="0" t="s">
        <v>130</v>
      </c>
      <c r="C213" s="0" t="s">
        <v>3561</v>
      </c>
      <c r="D213" s="0" t="s">
        <v>3617</v>
      </c>
      <c r="E213" s="0" t="s">
        <v>3618</v>
      </c>
      <c r="F213" s="0" t="s">
        <v>3092</v>
      </c>
      <c r="G213" s="0" t="s">
        <v>3619</v>
      </c>
    </row>
    <row customHeight="1" ht="11.25">
      <c r="A214" s="0" t="s">
        <v>14</v>
      </c>
      <c r="B214" s="0" t="s">
        <v>3620</v>
      </c>
      <c r="C214" s="0" t="s">
        <v>3621</v>
      </c>
      <c r="D214" s="0" t="s">
        <v>3622</v>
      </c>
      <c r="E214" s="0" t="s">
        <v>3623</v>
      </c>
      <c r="F214" s="0" t="s">
        <v>3092</v>
      </c>
      <c r="G214" s="0" t="s">
        <v>3624</v>
      </c>
    </row>
    <row customHeight="1" ht="11.25">
      <c r="A215" s="0" t="s">
        <v>14</v>
      </c>
      <c r="B215" s="0" t="s">
        <v>3620</v>
      </c>
      <c r="C215" s="0" t="s">
        <v>3621</v>
      </c>
      <c r="D215" s="0" t="s">
        <v>3625</v>
      </c>
      <c r="E215" s="0" t="s">
        <v>3626</v>
      </c>
      <c r="F215" s="0" t="s">
        <v>3092</v>
      </c>
      <c r="G215" s="0" t="s">
        <v>3627</v>
      </c>
    </row>
    <row customHeight="1" ht="11.25">
      <c r="A216" s="0" t="s">
        <v>14</v>
      </c>
      <c r="B216" s="0" t="s">
        <v>3620</v>
      </c>
      <c r="C216" s="0" t="s">
        <v>3621</v>
      </c>
      <c r="D216" s="0" t="s">
        <v>3628</v>
      </c>
      <c r="E216" s="0" t="s">
        <v>3629</v>
      </c>
      <c r="F216" s="0" t="s">
        <v>3092</v>
      </c>
      <c r="G216" s="0" t="s">
        <v>3630</v>
      </c>
    </row>
    <row customHeight="1" ht="11.25">
      <c r="A217" s="0" t="s">
        <v>14</v>
      </c>
      <c r="B217" s="0" t="s">
        <v>3620</v>
      </c>
      <c r="C217" s="0" t="s">
        <v>3621</v>
      </c>
      <c r="D217" s="0" t="s">
        <v>3631</v>
      </c>
      <c r="E217" s="0" t="s">
        <v>3632</v>
      </c>
      <c r="F217" s="0" t="s">
        <v>3092</v>
      </c>
      <c r="G217" s="0" t="s">
        <v>3633</v>
      </c>
    </row>
    <row customHeight="1" ht="11.25">
      <c r="A218" s="0" t="s">
        <v>14</v>
      </c>
      <c r="B218" s="0" t="s">
        <v>3620</v>
      </c>
      <c r="C218" s="0" t="s">
        <v>3621</v>
      </c>
      <c r="D218" s="0" t="s">
        <v>3634</v>
      </c>
      <c r="E218" s="0" t="s">
        <v>3635</v>
      </c>
      <c r="F218" s="0" t="s">
        <v>3092</v>
      </c>
      <c r="G218" s="0" t="s">
        <v>3636</v>
      </c>
    </row>
    <row customHeight="1" ht="11.25">
      <c r="A219" s="0" t="s">
        <v>14</v>
      </c>
      <c r="B219" s="0" t="s">
        <v>3620</v>
      </c>
      <c r="C219" s="0" t="s">
        <v>3621</v>
      </c>
      <c r="D219" s="0" t="s">
        <v>3637</v>
      </c>
      <c r="E219" s="0" t="s">
        <v>3638</v>
      </c>
      <c r="F219" s="0" t="s">
        <v>3092</v>
      </c>
      <c r="G219" s="0" t="s">
        <v>3639</v>
      </c>
    </row>
    <row customHeight="1" ht="11.25">
      <c r="A220" s="0" t="s">
        <v>14</v>
      </c>
      <c r="B220" s="0" t="s">
        <v>3620</v>
      </c>
      <c r="C220" s="0" t="s">
        <v>3621</v>
      </c>
      <c r="D220" s="0" t="s">
        <v>3640</v>
      </c>
      <c r="E220" s="0" t="s">
        <v>3641</v>
      </c>
      <c r="F220" s="0" t="s">
        <v>3092</v>
      </c>
      <c r="G220" s="0" t="s">
        <v>3642</v>
      </c>
    </row>
    <row customHeight="1" ht="11.25">
      <c r="A221" s="0" t="s">
        <v>14</v>
      </c>
      <c r="B221" s="0" t="s">
        <v>3620</v>
      </c>
      <c r="C221" s="0" t="s">
        <v>3621</v>
      </c>
      <c r="D221" s="0" t="s">
        <v>3643</v>
      </c>
      <c r="E221" s="0" t="s">
        <v>3644</v>
      </c>
      <c r="F221" s="0" t="s">
        <v>3092</v>
      </c>
      <c r="G221" s="0" t="s">
        <v>3645</v>
      </c>
    </row>
    <row customHeight="1" ht="11.25">
      <c r="A222" s="0" t="s">
        <v>14</v>
      </c>
      <c r="B222" s="0" t="s">
        <v>3620</v>
      </c>
      <c r="C222" s="0" t="s">
        <v>3621</v>
      </c>
      <c r="D222" s="0" t="s">
        <v>3646</v>
      </c>
      <c r="E222" s="0" t="s">
        <v>3647</v>
      </c>
      <c r="F222" s="0" t="s">
        <v>3092</v>
      </c>
      <c r="G222" s="0" t="s">
        <v>3648</v>
      </c>
    </row>
    <row customHeight="1" ht="11.25">
      <c r="A223" s="0" t="s">
        <v>14</v>
      </c>
      <c r="B223" s="0" t="s">
        <v>3620</v>
      </c>
      <c r="C223" s="0" t="s">
        <v>3621</v>
      </c>
      <c r="D223" s="0" t="s">
        <v>3649</v>
      </c>
      <c r="E223" s="0" t="s">
        <v>3650</v>
      </c>
      <c r="F223" s="0" t="s">
        <v>3092</v>
      </c>
      <c r="G223" s="0" t="s">
        <v>3651</v>
      </c>
    </row>
    <row customHeight="1" ht="11.25">
      <c r="A224" s="0" t="s">
        <v>14</v>
      </c>
      <c r="B224" s="0" t="s">
        <v>3620</v>
      </c>
      <c r="C224" s="0" t="s">
        <v>3621</v>
      </c>
      <c r="D224" s="0" t="s">
        <v>3652</v>
      </c>
      <c r="E224" s="0" t="s">
        <v>3653</v>
      </c>
      <c r="F224" s="0" t="s">
        <v>3092</v>
      </c>
      <c r="G224" s="0" t="s">
        <v>3654</v>
      </c>
    </row>
    <row customHeight="1" ht="11.25">
      <c r="A225" s="0" t="s">
        <v>14</v>
      </c>
      <c r="B225" s="0" t="s">
        <v>3620</v>
      </c>
      <c r="C225" s="0" t="s">
        <v>3621</v>
      </c>
      <c r="D225" s="0" t="s">
        <v>3655</v>
      </c>
      <c r="E225" s="0" t="s">
        <v>3656</v>
      </c>
      <c r="F225" s="0" t="s">
        <v>3092</v>
      </c>
      <c r="G225" s="0" t="s">
        <v>3657</v>
      </c>
    </row>
    <row customHeight="1" ht="11.25">
      <c r="A226" s="0" t="s">
        <v>14</v>
      </c>
      <c r="B226" s="0" t="s">
        <v>3620</v>
      </c>
      <c r="C226" s="0" t="s">
        <v>3621</v>
      </c>
      <c r="D226" s="0" t="s">
        <v>3658</v>
      </c>
      <c r="E226" s="0" t="s">
        <v>3659</v>
      </c>
      <c r="F226" s="0" t="s">
        <v>3108</v>
      </c>
      <c r="G226" s="0" t="s">
        <v>3660</v>
      </c>
    </row>
    <row customHeight="1" ht="11.25">
      <c r="A227" s="0" t="s">
        <v>14</v>
      </c>
      <c r="B227" s="0" t="s">
        <v>3620</v>
      </c>
      <c r="C227" s="0" t="s">
        <v>3621</v>
      </c>
      <c r="D227" s="0" t="s">
        <v>3661</v>
      </c>
      <c r="E227" s="0" t="s">
        <v>3662</v>
      </c>
      <c r="F227" s="0" t="s">
        <v>3108</v>
      </c>
      <c r="G227" s="0" t="s">
        <v>3663</v>
      </c>
    </row>
    <row customHeight="1" ht="11.25">
      <c r="A228" s="0" t="s">
        <v>14</v>
      </c>
      <c r="B228" s="0" t="s">
        <v>3620</v>
      </c>
      <c r="C228" s="0" t="s">
        <v>3621</v>
      </c>
      <c r="D228" s="0" t="s">
        <v>3664</v>
      </c>
      <c r="E228" s="0" t="s">
        <v>3665</v>
      </c>
      <c r="F228" s="0" t="s">
        <v>3108</v>
      </c>
      <c r="G228" s="0" t="s">
        <v>3666</v>
      </c>
    </row>
    <row customHeight="1" ht="11.25">
      <c r="A229" s="0" t="s">
        <v>14</v>
      </c>
      <c r="B229" s="0" t="s">
        <v>3620</v>
      </c>
      <c r="C229" s="0" t="s">
        <v>3621</v>
      </c>
      <c r="D229" s="0" t="s">
        <v>3667</v>
      </c>
      <c r="E229" s="0" t="s">
        <v>3668</v>
      </c>
      <c r="F229" s="0" t="s">
        <v>3092</v>
      </c>
      <c r="G229" s="0" t="s">
        <v>3669</v>
      </c>
    </row>
    <row customHeight="1" ht="11.25">
      <c r="A230" s="0" t="s">
        <v>14</v>
      </c>
      <c r="B230" s="0" t="s">
        <v>3620</v>
      </c>
      <c r="C230" s="0" t="s">
        <v>3621</v>
      </c>
      <c r="D230" s="0" t="s">
        <v>3670</v>
      </c>
      <c r="E230" s="0" t="s">
        <v>3671</v>
      </c>
      <c r="F230" s="0" t="s">
        <v>3092</v>
      </c>
      <c r="G230" s="0" t="s">
        <v>3672</v>
      </c>
    </row>
    <row customHeight="1" ht="11.25">
      <c r="A231" s="0" t="s">
        <v>14</v>
      </c>
      <c r="B231" s="0" t="s">
        <v>3620</v>
      </c>
      <c r="C231" s="0" t="s">
        <v>3621</v>
      </c>
      <c r="D231" s="0" t="s">
        <v>3673</v>
      </c>
      <c r="E231" s="0" t="s">
        <v>3674</v>
      </c>
      <c r="F231" s="0" t="s">
        <v>3092</v>
      </c>
      <c r="G231" s="0" t="s">
        <v>3675</v>
      </c>
    </row>
    <row customHeight="1" ht="11.25">
      <c r="A232" s="0" t="s">
        <v>14</v>
      </c>
      <c r="B232" s="0" t="s">
        <v>3620</v>
      </c>
      <c r="C232" s="0" t="s">
        <v>3621</v>
      </c>
      <c r="D232" s="0" t="s">
        <v>3676</v>
      </c>
      <c r="E232" s="0" t="s">
        <v>3677</v>
      </c>
      <c r="F232" s="0" t="s">
        <v>3092</v>
      </c>
      <c r="G232" s="0" t="s">
        <v>3678</v>
      </c>
    </row>
    <row customHeight="1" ht="11.25">
      <c r="A233" s="0" t="s">
        <v>14</v>
      </c>
      <c r="B233" s="0" t="s">
        <v>3620</v>
      </c>
      <c r="C233" s="0" t="s">
        <v>3621</v>
      </c>
      <c r="D233" s="0" t="s">
        <v>3679</v>
      </c>
      <c r="E233" s="0" t="s">
        <v>3680</v>
      </c>
      <c r="F233" s="0" t="s">
        <v>3092</v>
      </c>
      <c r="G233" s="0" t="s">
        <v>3681</v>
      </c>
    </row>
    <row customHeight="1" ht="11.25">
      <c r="A234" s="0" t="s">
        <v>14</v>
      </c>
      <c r="B234" s="0" t="s">
        <v>3620</v>
      </c>
      <c r="C234" s="0" t="s">
        <v>3621</v>
      </c>
      <c r="D234" s="0" t="s">
        <v>3682</v>
      </c>
      <c r="E234" s="0" t="s">
        <v>3683</v>
      </c>
      <c r="F234" s="0" t="s">
        <v>3092</v>
      </c>
      <c r="G234" s="0" t="s">
        <v>3684</v>
      </c>
    </row>
    <row customHeight="1" ht="11.25">
      <c r="A235" s="0" t="s">
        <v>14</v>
      </c>
      <c r="B235" s="0" t="s">
        <v>3620</v>
      </c>
      <c r="C235" s="0" t="s">
        <v>3621</v>
      </c>
      <c r="D235" s="0" t="s">
        <v>3620</v>
      </c>
      <c r="E235" s="0" t="s">
        <v>3621</v>
      </c>
      <c r="F235" s="0" t="s">
        <v>3089</v>
      </c>
      <c r="G235" s="0" t="s">
        <v>3685</v>
      </c>
    </row>
    <row customHeight="1" ht="11.25">
      <c r="A236" s="0" t="s">
        <v>14</v>
      </c>
      <c r="B236" s="0" t="s">
        <v>3686</v>
      </c>
      <c r="C236" s="0" t="s">
        <v>3687</v>
      </c>
      <c r="D236" s="0" t="s">
        <v>3688</v>
      </c>
      <c r="E236" s="0" t="s">
        <v>3689</v>
      </c>
      <c r="F236" s="0" t="s">
        <v>3092</v>
      </c>
      <c r="G236" s="0" t="s">
        <v>3690</v>
      </c>
    </row>
    <row customHeight="1" ht="11.25">
      <c r="A237" s="0" t="s">
        <v>14</v>
      </c>
      <c r="B237" s="0" t="s">
        <v>3686</v>
      </c>
      <c r="C237" s="0" t="s">
        <v>3687</v>
      </c>
      <c r="D237" s="0" t="s">
        <v>3691</v>
      </c>
      <c r="E237" s="0" t="s">
        <v>3692</v>
      </c>
      <c r="F237" s="0" t="s">
        <v>3092</v>
      </c>
      <c r="G237" s="0" t="s">
        <v>3693</v>
      </c>
    </row>
    <row customHeight="1" ht="11.25">
      <c r="A238" s="0" t="s">
        <v>14</v>
      </c>
      <c r="B238" s="0" t="s">
        <v>3686</v>
      </c>
      <c r="C238" s="0" t="s">
        <v>3687</v>
      </c>
      <c r="D238" s="0" t="s">
        <v>3694</v>
      </c>
      <c r="E238" s="0" t="s">
        <v>3695</v>
      </c>
      <c r="F238" s="0" t="s">
        <v>3119</v>
      </c>
      <c r="G238" s="0" t="s">
        <v>3696</v>
      </c>
    </row>
    <row customHeight="1" ht="11.25">
      <c r="A239" s="0" t="s">
        <v>14</v>
      </c>
      <c r="B239" s="0" t="s">
        <v>3686</v>
      </c>
      <c r="C239" s="0" t="s">
        <v>3687</v>
      </c>
      <c r="D239" s="0" t="s">
        <v>3697</v>
      </c>
      <c r="E239" s="0" t="s">
        <v>3698</v>
      </c>
      <c r="F239" s="0" t="s">
        <v>3092</v>
      </c>
      <c r="G239" s="0" t="s">
        <v>3699</v>
      </c>
    </row>
    <row customHeight="1" ht="11.25">
      <c r="A240" s="0" t="s">
        <v>14</v>
      </c>
      <c r="B240" s="0" t="s">
        <v>3686</v>
      </c>
      <c r="C240" s="0" t="s">
        <v>3687</v>
      </c>
      <c r="D240" s="0" t="s">
        <v>3700</v>
      </c>
      <c r="E240" s="0" t="s">
        <v>3701</v>
      </c>
      <c r="F240" s="0" t="s">
        <v>3092</v>
      </c>
      <c r="G240" s="0" t="s">
        <v>3702</v>
      </c>
    </row>
    <row customHeight="1" ht="11.25">
      <c r="A241" s="0" t="s">
        <v>14</v>
      </c>
      <c r="B241" s="0" t="s">
        <v>3686</v>
      </c>
      <c r="C241" s="0" t="s">
        <v>3687</v>
      </c>
      <c r="D241" s="0" t="s">
        <v>3703</v>
      </c>
      <c r="E241" s="0" t="s">
        <v>3704</v>
      </c>
      <c r="F241" s="0" t="s">
        <v>3092</v>
      </c>
      <c r="G241" s="0" t="s">
        <v>3705</v>
      </c>
    </row>
    <row customHeight="1" ht="11.25">
      <c r="A242" s="0" t="s">
        <v>14</v>
      </c>
      <c r="B242" s="0" t="s">
        <v>3686</v>
      </c>
      <c r="C242" s="0" t="s">
        <v>3687</v>
      </c>
      <c r="D242" s="0" t="s">
        <v>3686</v>
      </c>
      <c r="E242" s="0" t="s">
        <v>3687</v>
      </c>
      <c r="F242" s="0" t="s">
        <v>3089</v>
      </c>
      <c r="G242" s="0" t="s">
        <v>3706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BF933-85BF-4A55-3BE9-E94870E235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631" width="9.140625"/>
    <col min="2" max="2" style="13631" width="84.28125" customWidth="1"/>
    <col min="3" max="3" style="13631" width="9.140625"/>
  </cols>
  <sheetData>
    <row customHeight="1" ht="11.25">
      <c r="A1" s="965" t="s">
        <v>3863</v>
      </c>
      <c r="B1" s="965" t="s">
        <v>3864</v>
      </c>
      <c r="C1" s="965" t="s">
        <v>1187</v>
      </c>
    </row>
    <row customHeight="1" ht="11.25">
      <c r="A2" s="965">
        <v>4189678</v>
      </c>
      <c r="B2" s="965" t="s">
        <v>3865</v>
      </c>
      <c r="C2" s="965" t="s">
        <v>3866</v>
      </c>
    </row>
    <row customHeight="1" ht="11.25">
      <c r="A3" s="965">
        <v>4190415</v>
      </c>
      <c r="B3" s="965" t="s">
        <v>3867</v>
      </c>
      <c r="C3" s="965" t="s">
        <v>3866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C0AC4-570E-774A-2021-7446A07859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636" width="38.421875" customWidth="1"/>
    <col min="2" max="5" style="13636" width="9.140625"/>
  </cols>
  <sheetData>
    <row customHeight="1" ht="15">
      <c r="A1" s="293" t="s">
        <v>3868</v>
      </c>
      <c r="B1" s="293" t="s">
        <v>3869</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320B1-BD9C-1932-FE66-B2D3DB9DBF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3870</v>
      </c>
      <c r="B1" s="0" t="b">
        <v>1</v>
      </c>
    </row>
    <row customHeight="1" ht="11.25">
      <c r="A2" s="0" t="s">
        <v>3871</v>
      </c>
      <c r="B2" s="0" t="b">
        <v>0</v>
      </c>
    </row>
    <row customHeight="1" ht="11.25">
      <c r="A3" s="0" t="s">
        <v>3872</v>
      </c>
      <c r="B3" s="0" t="b">
        <v>1</v>
      </c>
    </row>
    <row customHeight="1" ht="11.25">
      <c r="A4" s="0" t="s">
        <v>3873</v>
      </c>
      <c r="B4" s="0" t="b">
        <v>0</v>
      </c>
    </row>
    <row customHeight="1" ht="11.25">
      <c r="A5" s="0" t="s">
        <v>3874</v>
      </c>
      <c r="B5" s="0" t="b">
        <v>0</v>
      </c>
    </row>
    <row customHeight="1" ht="11.25">
      <c r="A6" s="0" t="s">
        <v>3875</v>
      </c>
      <c r="B6" s="0" t="b">
        <v>0</v>
      </c>
    </row>
    <row customHeight="1" ht="11.25">
      <c r="A7" s="0" t="s">
        <v>3876</v>
      </c>
      <c r="B7" s="0" t="b">
        <v>0</v>
      </c>
    </row>
    <row customHeight="1" ht="11.25">
      <c r="A8" s="0" t="s">
        <v>3877</v>
      </c>
      <c r="B8" s="0" t="b">
        <v>0</v>
      </c>
    </row>
    <row customHeight="1" ht="11.25">
      <c r="A9" s="0" t="s">
        <v>3878</v>
      </c>
      <c r="B9" s="0" t="b">
        <v>0</v>
      </c>
    </row>
    <row customHeight="1" ht="11.25">
      <c r="A10" s="0" t="s">
        <v>3879</v>
      </c>
      <c r="B10" s="0" t="b">
        <v>0</v>
      </c>
    </row>
    <row customHeight="1" ht="11.25">
      <c r="A11" s="0" t="s">
        <v>3880</v>
      </c>
      <c r="B11" s="0" t="b">
        <v>1</v>
      </c>
    </row>
    <row customHeight="1" ht="11.25">
      <c r="A12" s="0" t="s">
        <v>3881</v>
      </c>
      <c r="B12" s="0" t="b">
        <v>0</v>
      </c>
    </row>
    <row customHeight="1" ht="11.25">
      <c r="A13" s="0" t="s">
        <v>3882</v>
      </c>
      <c r="B13" s="0" t="b">
        <v>0</v>
      </c>
    </row>
    <row customHeight="1" ht="11.25">
      <c r="A14" s="0" t="s">
        <v>3883</v>
      </c>
      <c r="B14" s="0" t="b">
        <v>0</v>
      </c>
    </row>
    <row customHeight="1" ht="11.25">
      <c r="A15" s="0" t="s">
        <v>3884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C46EB-7B6C-1BA9-93DD-10143033B0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38" width="9.140625"/>
  </cols>
  <sheetData>
    <row customHeight="1" ht="12.75">
      <c r="A1" s="22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41416-B0FC-89C9-325D-08378597A7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640" width="36.28125" customWidth="1"/>
    <col min="2" max="2" style="13640" width="21.140625" customWidth="1"/>
  </cols>
  <sheetData>
    <row customHeight="1" ht="11.25">
      <c r="A1" s="196" t="s">
        <v>3885</v>
      </c>
      <c r="B1" s="196" t="s">
        <v>3886</v>
      </c>
    </row>
    <row customHeight="1" ht="11.25">
      <c r="A2" s="192" t="s">
        <v>3887</v>
      </c>
      <c r="B2" s="192" t="s">
        <v>3888</v>
      </c>
    </row>
    <row customHeight="1" ht="11.25">
      <c r="A3" s="192" t="s">
        <v>3889</v>
      </c>
      <c r="B3" s="192" t="s">
        <v>3890</v>
      </c>
    </row>
    <row customHeight="1" ht="11.25">
      <c r="A4" s="192" t="s">
        <v>3891</v>
      </c>
      <c r="B4" s="192" t="s">
        <v>3892</v>
      </c>
    </row>
    <row customHeight="1" ht="11.25">
      <c r="A5" s="192" t="s">
        <v>3893</v>
      </c>
      <c r="B5" s="192" t="s">
        <v>3894</v>
      </c>
    </row>
    <row customHeight="1" ht="11.25">
      <c r="A6" s="192" t="s">
        <v>3895</v>
      </c>
      <c r="B6" s="192" t="s">
        <v>3896</v>
      </c>
    </row>
    <row customHeight="1" ht="11.25">
      <c r="A7" s="192" t="s">
        <v>3897</v>
      </c>
      <c r="B7" s="192" t="s">
        <v>3898</v>
      </c>
    </row>
    <row customHeight="1" ht="11.25">
      <c r="A8" s="192" t="s">
        <v>3899</v>
      </c>
      <c r="B8" s="192" t="s">
        <v>3900</v>
      </c>
    </row>
    <row customHeight="1" ht="11.25">
      <c r="A9" s="192" t="s">
        <v>3901</v>
      </c>
      <c r="B9" s="192" t="s">
        <v>3902</v>
      </c>
    </row>
    <row customHeight="1" ht="11.25">
      <c r="A10" s="192" t="s">
        <v>3903</v>
      </c>
      <c r="B10" s="192" t="s">
        <v>3904</v>
      </c>
    </row>
    <row customHeight="1" ht="11.25">
      <c r="A11" s="192" t="s">
        <v>3905</v>
      </c>
      <c r="B11" s="192" t="s">
        <v>3906</v>
      </c>
    </row>
    <row customHeight="1" ht="11.25">
      <c r="A12" s="192" t="s">
        <v>3907</v>
      </c>
      <c r="B12" s="192" t="s">
        <v>3908</v>
      </c>
    </row>
    <row customHeight="1" ht="11.25">
      <c r="A13" s="192" t="s">
        <v>3909</v>
      </c>
      <c r="B13" s="192" t="s">
        <v>3910</v>
      </c>
    </row>
    <row customHeight="1" ht="11.25">
      <c r="A14" s="192" t="s">
        <v>3911</v>
      </c>
      <c r="B14" s="192" t="s">
        <v>3912</v>
      </c>
    </row>
    <row customHeight="1" ht="11.25">
      <c r="A15" s="192" t="s">
        <v>3913</v>
      </c>
      <c r="B15" s="192" t="s">
        <v>3914</v>
      </c>
    </row>
    <row customHeight="1" ht="11.25">
      <c r="A16" s="192" t="s">
        <v>3915</v>
      </c>
      <c r="B16" s="192" t="s">
        <v>3916</v>
      </c>
    </row>
    <row customHeight="1" ht="11.25">
      <c r="A17" s="192" t="s">
        <v>3917</v>
      </c>
      <c r="B17" s="192" t="s">
        <v>3918</v>
      </c>
    </row>
    <row customHeight="1" ht="11.25">
      <c r="A18" s="192" t="s">
        <v>3919</v>
      </c>
      <c r="B18" s="192" t="s">
        <v>3920</v>
      </c>
    </row>
    <row customHeight="1" ht="11.25">
      <c r="A19" s="192" t="s">
        <v>3921</v>
      </c>
      <c r="B19" s="192" t="s">
        <v>3922</v>
      </c>
    </row>
    <row customHeight="1" ht="11.25">
      <c r="A20" s="192" t="s">
        <v>3923</v>
      </c>
      <c r="B20" s="192" t="s">
        <v>3924</v>
      </c>
    </row>
    <row customHeight="1" ht="11.25">
      <c r="A21" s="192" t="s">
        <v>3925</v>
      </c>
      <c r="B21" s="192" t="s">
        <v>3926</v>
      </c>
    </row>
    <row customHeight="1" ht="11.25">
      <c r="A22" s="192" t="s">
        <v>3927</v>
      </c>
      <c r="B22" s="192" t="s">
        <v>3928</v>
      </c>
    </row>
    <row customHeight="1" ht="11.25">
      <c r="A23" s="192" t="s">
        <v>3929</v>
      </c>
      <c r="B23" s="192" t="s">
        <v>3930</v>
      </c>
    </row>
    <row customHeight="1" ht="11.25">
      <c r="A24" s="192" t="s">
        <v>3931</v>
      </c>
      <c r="B24" s="192" t="s">
        <v>3932</v>
      </c>
    </row>
    <row customHeight="1" ht="11.25">
      <c r="A25" s="192" t="s">
        <v>3933</v>
      </c>
      <c r="B25" s="192" t="s">
        <v>3934</v>
      </c>
    </row>
    <row customHeight="1" ht="11.25">
      <c r="A26" s="192" t="s">
        <v>3935</v>
      </c>
      <c r="B26" s="192" t="s">
        <v>3936</v>
      </c>
    </row>
    <row customHeight="1" ht="11.25">
      <c r="A27" s="192" t="s">
        <v>3937</v>
      </c>
      <c r="B27" s="192" t="s">
        <v>3938</v>
      </c>
    </row>
    <row customHeight="1" ht="11.25">
      <c r="A28" s="192" t="s">
        <v>3939</v>
      </c>
      <c r="B28" s="192" t="s">
        <v>3940</v>
      </c>
    </row>
    <row customHeight="1" ht="11.25">
      <c r="A29" s="192" t="s">
        <v>3941</v>
      </c>
      <c r="B29" s="192" t="s">
        <v>3942</v>
      </c>
    </row>
    <row customHeight="1" ht="11.25">
      <c r="A30" s="192" t="s">
        <v>3943</v>
      </c>
      <c r="B30" s="192" t="s">
        <v>3944</v>
      </c>
    </row>
    <row customHeight="1" ht="11.25">
      <c r="A31" s="192" t="s">
        <v>3945</v>
      </c>
      <c r="B31" s="192" t="s">
        <v>3946</v>
      </c>
    </row>
    <row customHeight="1" ht="11.25">
      <c r="A32" s="192" t="s">
        <v>3947</v>
      </c>
      <c r="B32" s="192" t="s">
        <v>3948</v>
      </c>
    </row>
    <row customHeight="1" ht="11.25">
      <c r="A33" s="192" t="s">
        <v>3949</v>
      </c>
      <c r="B33" s="192" t="s">
        <v>3950</v>
      </c>
    </row>
    <row customHeight="1" ht="11.25">
      <c r="A34" s="192" t="s">
        <v>3951</v>
      </c>
      <c r="B34" s="192" t="s">
        <v>3952</v>
      </c>
    </row>
    <row customHeight="1" ht="11.25">
      <c r="A35" s="192" t="s">
        <v>3953</v>
      </c>
      <c r="B35" s="192" t="s">
        <v>3954</v>
      </c>
    </row>
    <row customHeight="1" ht="11.25">
      <c r="A36" s="192" t="s">
        <v>3955</v>
      </c>
      <c r="B36" s="192" t="s">
        <v>3956</v>
      </c>
    </row>
    <row customHeight="1" ht="11.25">
      <c r="A37" s="192" t="s">
        <v>3957</v>
      </c>
      <c r="B37" s="192" t="s">
        <v>3958</v>
      </c>
    </row>
    <row customHeight="1" ht="11.25">
      <c r="A38" s="192" t="s">
        <v>3959</v>
      </c>
      <c r="B38" s="192" t="s">
        <v>3960</v>
      </c>
    </row>
    <row customHeight="1" ht="11.25">
      <c r="A39" s="192" t="s">
        <v>3961</v>
      </c>
      <c r="B39" s="192" t="s">
        <v>3962</v>
      </c>
    </row>
    <row customHeight="1" ht="11.25">
      <c r="A40" s="192" t="s">
        <v>3963</v>
      </c>
      <c r="B40" s="192" t="s">
        <v>3964</v>
      </c>
    </row>
    <row customHeight="1" ht="11.25">
      <c r="A41" s="192" t="s">
        <v>3965</v>
      </c>
      <c r="B41" s="192" t="s">
        <v>3966</v>
      </c>
    </row>
    <row customHeight="1" ht="11.25">
      <c r="A42" s="192" t="s">
        <v>3967</v>
      </c>
      <c r="B42" s="192" t="s">
        <v>3968</v>
      </c>
    </row>
    <row customHeight="1" ht="11.25">
      <c r="A43" s="192" t="s">
        <v>3969</v>
      </c>
      <c r="B43" s="192" t="s">
        <v>3970</v>
      </c>
    </row>
    <row customHeight="1" ht="11.25">
      <c r="A44" s="192" t="s">
        <v>3971</v>
      </c>
      <c r="B44" s="192" t="s">
        <v>3972</v>
      </c>
    </row>
    <row customHeight="1" ht="11.25">
      <c r="A45" s="192" t="s">
        <v>3973</v>
      </c>
      <c r="B45" s="192" t="s">
        <v>3974</v>
      </c>
    </row>
    <row customHeight="1" ht="11.25">
      <c r="A46" s="192" t="s">
        <v>3975</v>
      </c>
      <c r="B46" s="192" t="s">
        <v>3976</v>
      </c>
    </row>
    <row customHeight="1" ht="11.25">
      <c r="A47" s="192" t="s">
        <v>3977</v>
      </c>
      <c r="B47" s="192" t="s">
        <v>3978</v>
      </c>
    </row>
    <row customHeight="1" ht="11.25">
      <c r="A48" s="192" t="s">
        <v>3979</v>
      </c>
      <c r="B48" s="192" t="s">
        <v>3980</v>
      </c>
    </row>
    <row customHeight="1" ht="11.25">
      <c r="A49" s="192" t="s">
        <v>3981</v>
      </c>
      <c r="B49" s="192" t="s">
        <v>3982</v>
      </c>
    </row>
    <row customHeight="1" ht="11.25">
      <c r="A50" s="192" t="s">
        <v>3983</v>
      </c>
      <c r="B50" s="192" t="s">
        <v>3984</v>
      </c>
    </row>
    <row customHeight="1" ht="11.25">
      <c r="A51" s="192" t="s">
        <v>3985</v>
      </c>
      <c r="B51" s="192" t="s">
        <v>3986</v>
      </c>
    </row>
    <row customHeight="1" ht="11.25">
      <c r="A52" s="192" t="s">
        <v>3987</v>
      </c>
      <c r="B52" s="192" t="s">
        <v>3988</v>
      </c>
    </row>
    <row customHeight="1" ht="11.25">
      <c r="A53" s="192" t="s">
        <v>3989</v>
      </c>
      <c r="B53" s="192" t="s">
        <v>3990</v>
      </c>
    </row>
    <row customHeight="1" ht="11.25">
      <c r="A54" s="192" t="s">
        <v>3991</v>
      </c>
      <c r="B54" s="192" t="s">
        <v>3992</v>
      </c>
    </row>
    <row customHeight="1" ht="11.25">
      <c r="A55" s="192" t="s">
        <v>3993</v>
      </c>
      <c r="B55" s="192" t="s">
        <v>3994</v>
      </c>
    </row>
    <row customHeight="1" ht="11.25">
      <c r="A56" s="192" t="s">
        <v>3995</v>
      </c>
      <c r="B56" s="192" t="s">
        <v>3996</v>
      </c>
    </row>
    <row customHeight="1" ht="11.25">
      <c r="A57" s="192" t="s">
        <v>3997</v>
      </c>
      <c r="B57" s="192" t="s">
        <v>3998</v>
      </c>
    </row>
    <row customHeight="1" ht="11.25">
      <c r="A58" s="192" t="s">
        <v>3999</v>
      </c>
      <c r="B58" s="192" t="s">
        <v>4000</v>
      </c>
    </row>
    <row customHeight="1" ht="11.25">
      <c r="A59" s="192" t="s">
        <v>4001</v>
      </c>
      <c r="B59" s="192" t="s">
        <v>4002</v>
      </c>
    </row>
    <row customHeight="1" ht="11.25">
      <c r="A60" s="192" t="s">
        <v>4003</v>
      </c>
      <c r="B60" s="192" t="s">
        <v>4004</v>
      </c>
    </row>
    <row customHeight="1" ht="11.25">
      <c r="A61" s="192"/>
      <c r="B61" s="192" t="s">
        <v>4005</v>
      </c>
    </row>
    <row customHeight="1" ht="11.25">
      <c r="A62" s="192"/>
      <c r="B62" s="192" t="s">
        <v>4006</v>
      </c>
    </row>
    <row customHeight="1" ht="11.25">
      <c r="A63" s="192"/>
      <c r="B63" s="192" t="s">
        <v>4007</v>
      </c>
    </row>
    <row customHeight="1" ht="11.25">
      <c r="A64" s="192"/>
      <c r="B64" s="192" t="s">
        <v>4008</v>
      </c>
    </row>
    <row customHeight="1" ht="11.25">
      <c r="A65" s="192"/>
      <c r="B65" s="192" t="s">
        <v>4009</v>
      </c>
    </row>
    <row customHeight="1" ht="11.25">
      <c r="A66" s="192"/>
      <c r="B66" s="192" t="s">
        <v>4010</v>
      </c>
    </row>
    <row customHeight="1" ht="11.25">
      <c r="A67" s="192"/>
      <c r="B67" s="192" t="s">
        <v>4011</v>
      </c>
    </row>
    <row customHeight="1" ht="11.25">
      <c r="A68" s="192"/>
      <c r="B68" s="192" t="s">
        <v>4012</v>
      </c>
    </row>
    <row customHeight="1" ht="11.25">
      <c r="A69" s="192"/>
      <c r="B69" s="192" t="s">
        <v>4013</v>
      </c>
    </row>
    <row customHeight="1" ht="11.25">
      <c r="A70" s="192"/>
      <c r="B70" s="192" t="s">
        <v>4014</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408F7-7E1D-AA0B-52BC-8CA7B867B3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652" width="3.7109375" customWidth="1"/>
    <col min="2" max="2" style="13652" width="90.7109375" customWidth="1"/>
    <col min="3" max="4" style="13652" width="9.140625"/>
  </cols>
  <sheetData>
    <row customHeight="1" ht="11.25">
      <c r="B1" s="222" t="s">
        <v>4015</v>
      </c>
    </row>
    <row customHeight="1" ht="90">
      <c r="B2" s="223" t="s">
        <v>4016</v>
      </c>
    </row>
    <row customHeight="1" ht="67.5">
      <c r="B3" s="223" t="s">
        <v>4017</v>
      </c>
    </row>
    <row customHeight="1" ht="33.75">
      <c r="B4" s="223" t="s">
        <v>4018</v>
      </c>
    </row>
    <row customHeight="1" ht="11.25">
      <c r="B5" s="223" t="s">
        <v>4019</v>
      </c>
    </row>
    <row customHeight="1" ht="22.5">
      <c r="B6" s="223" t="s">
        <v>4020</v>
      </c>
    </row>
    <row customHeight="1" ht="22.5">
      <c r="B7" s="223" t="s">
        <v>4021</v>
      </c>
    </row>
    <row customHeight="1" ht="22.5">
      <c r="B8" s="223" t="s">
        <v>4022</v>
      </c>
    </row>
    <row customHeight="1" ht="22.5">
      <c r="B9" s="223" t="s">
        <v>4023</v>
      </c>
    </row>
    <row customHeight="1" ht="56.25">
      <c r="B10" s="223" t="s">
        <v>4024</v>
      </c>
    </row>
    <row customHeight="1" ht="12.75">
      <c r="B11" s="289" t="s">
        <v>4025</v>
      </c>
    </row>
    <row customHeight="1" ht="11.25">
      <c r="B12" s="222" t="s">
        <v>4026</v>
      </c>
    </row>
    <row customHeight="1" ht="22.5">
      <c r="B13" s="223" t="s">
        <v>4027</v>
      </c>
    </row>
    <row customHeight="1" ht="67.5">
      <c r="B14" s="223" t="s">
        <v>4028</v>
      </c>
    </row>
    <row customHeight="1" ht="22.5">
      <c r="B15" s="223" t="s">
        <v>4029</v>
      </c>
    </row>
    <row customHeight="1" ht="11.25">
      <c r="B16" s="222" t="s">
        <v>4030</v>
      </c>
      <c r="D16" s="230"/>
    </row>
    <row customHeight="1" ht="33.75">
      <c r="B17" s="223" t="s">
        <v>4031</v>
      </c>
    </row>
    <row customHeight="1" ht="33.75">
      <c r="B18" s="223" t="s">
        <v>4032</v>
      </c>
    </row>
    <row customHeight="1" ht="11.25">
      <c r="B19" s="223" t="s">
        <v>4033</v>
      </c>
    </row>
    <row customHeight="1" ht="33.75">
      <c r="B20" s="223" t="s">
        <v>4034</v>
      </c>
    </row>
    <row customHeight="1" ht="11.25">
      <c r="B21" s="222" t="s">
        <v>4035</v>
      </c>
    </row>
    <row customHeight="1" ht="11.25">
      <c r="B22" s="223" t="s">
        <v>4036</v>
      </c>
    </row>
    <row r="24" customHeight="1" ht="22.5">
      <c r="B24" s="291" t="s">
        <v>4037</v>
      </c>
    </row>
    <row r="26" customHeight="1" ht="11.25">
      <c r="B26" s="222" t="s">
        <v>4038</v>
      </c>
    </row>
    <row customHeight="1" ht="22.5">
      <c r="B27" s="290" t="s">
        <v>476</v>
      </c>
    </row>
    <row customHeight="1" ht="56.25">
      <c r="B28" s="290" t="s">
        <v>4039</v>
      </c>
    </row>
    <row customHeight="1" ht="11.25">
      <c r="B29" s="340" t="s">
        <v>4040</v>
      </c>
    </row>
    <row customHeight="1" ht="22.5">
      <c r="B30" s="290" t="s">
        <v>4041</v>
      </c>
    </row>
    <row r="32" customHeight="1" ht="11.25">
      <c r="A32" s="318"/>
      <c r="B32" s="319" t="s">
        <v>4042</v>
      </c>
    </row>
    <row customHeight="1" ht="14.25">
      <c r="A33" s="320">
        <v>1</v>
      </c>
      <c r="B33" s="321" t="s">
        <v>4043</v>
      </c>
    </row>
    <row customHeight="1" ht="14.25">
      <c r="A34" s="320">
        <v>2</v>
      </c>
      <c r="B34" s="321" t="s">
        <v>4044</v>
      </c>
    </row>
    <row customHeight="1" ht="11.25">
      <c r="B35" s="319" t="s">
        <v>4045</v>
      </c>
    </row>
    <row customHeight="1" ht="11.25">
      <c r="B36" s="321" t="s">
        <v>4046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