
<file path=[Content_Types].xml><?xml version="1.0" encoding="utf-8"?>
<Types xmlns="http://schemas.openxmlformats.org/package/2006/content-types">
  <Default Extension="vml" ContentType="application/vnd.openxmlformats-officedocument.vmlDrawing"/>
  <Default Extension="wmf" ContentType="image/x-wmf"/>
  <Default Extension="png" ContentType="image/png"/>
  <Default Extension="jpeg" ContentType="image/jpeg"/>
  <Default Extension="xml" ContentType="application/xml"/>
  <Default Extension="rels" ContentType="application/vnd.openxmlformats-package.relationships+xml"/>
  <Default Extension="bin" ContentType="application/vnd.openxmlformats-officedocument.oleObject"/>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docProps/custom.xml" ContentType="application/vnd.openxmlformats-officedocument.custom-properties+xml"/>
  <Override PartName="/xl/worksheets/sheet29.xml" ContentType="application/vnd.openxmlformats-officedocument.spreadsheetml.worksheet+xml"/>
  <Override PartName="/xl/worksheets/sheet71.xml" ContentType="application/vnd.openxmlformats-officedocument.spreadsheetml.worksheet+xml"/>
  <Override PartName="/xl/worksheets/sheet11.xml" ContentType="application/vnd.openxmlformats-officedocument.spreadsheetml.worksheet+xml"/>
  <Override PartName="/xl/worksheets/sheet3.xml" ContentType="application/vnd.openxmlformats-officedocument.spreadsheetml.worksheet+xml"/>
  <Override PartName="/xl/persons/person.xml" ContentType="application/vnd.ms-excel.person+xml"/>
  <Override PartName="/xl/worksheets/sheet76.xml" ContentType="application/vnd.openxmlformats-officedocument.spreadsheetml.worksheet+xml"/>
  <Override PartName="/xl/worksheets/sheet13.xml" ContentType="application/vnd.openxmlformats-officedocument.spreadsheetml.worksheet+xml"/>
  <Override PartName="/xl/worksheets/sheet45.xml" ContentType="application/vnd.openxmlformats-officedocument.spreadsheetml.worksheet+xml"/>
  <Override PartName="/xl/worksheets/sheet36.xml" ContentType="application/vnd.openxmlformats-officedocument.spreadsheetml.worksheet+xml"/>
  <Override PartName="/xl/worksheets/sheet6.xml" ContentType="application/vnd.openxmlformats-officedocument.spreadsheetml.worksheet+xml"/>
  <Override PartName="/xl/worksheets/sheet30.xml" ContentType="application/vnd.openxmlformats-officedocument.spreadsheetml.worksheet+xml"/>
  <Override PartName="/xl/worksheets/sheet7.xml" ContentType="application/vnd.openxmlformats-officedocument.spreadsheetml.worksheet+xml"/>
  <Override PartName="/xl/worksheets/sheet5.xml" ContentType="application/vnd.openxmlformats-officedocument.spreadsheetml.worksheet+xml"/>
  <Override PartName="/xl/worksheets/sheet25.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52.xml" ContentType="application/vnd.openxmlformats-officedocument.spreadsheetml.worksheet+xml"/>
  <Override PartName="/xl/worksheets/sheet16.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1.xml" ContentType="application/vnd.openxmlformats-officedocument.spreadsheetml.worksheet+xml"/>
  <Override PartName="/xl/worksheets/sheet75.xml" ContentType="application/vnd.openxmlformats-officedocument.spreadsheetml.worksheet+xml"/>
  <Override PartName="/xl/worksheets/sheet60.xml" ContentType="application/vnd.openxmlformats-officedocument.spreadsheetml.worksheet+xml"/>
  <Override PartName="/xl/worksheets/sheet51.xml" ContentType="application/vnd.openxmlformats-officedocument.spreadsheetml.worksheet+xml"/>
  <Override PartName="/xl/worksheets/sheet32.xml" ContentType="application/vnd.openxmlformats-officedocument.spreadsheetml.worksheet+xml"/>
  <Override PartName="/xl/worksheets/sheet72.xml" ContentType="application/vnd.openxmlformats-officedocument.spreadsheetml.worksheet+xml"/>
  <Override PartName="/xl/worksheets/sheet33.xml" ContentType="application/vnd.openxmlformats-officedocument.spreadsheetml.worksheet+xml"/>
  <Override PartName="/xl/threadedComments/threadedComment2.xml" ContentType="application/vnd.ms-excel.threadedcomments+xml"/>
  <Override PartName="/xl/worksheets/sheet34.xml" ContentType="application/vnd.openxmlformats-officedocument.spreadsheetml.worksheet+xml"/>
  <Override PartName="/xl/worksheets/sheet57.xml" ContentType="application/vnd.openxmlformats-officedocument.spreadsheetml.worksheet+xml"/>
  <Override PartName="/xl/worksheets/sheet35.xml" ContentType="application/vnd.openxmlformats-officedocument.spreadsheetml.worksheet+xml"/>
  <Override PartName="/xl/worksheets/sheet10.xml" ContentType="application/vnd.openxmlformats-officedocument.spreadsheetml.worksheet+xml"/>
  <Override PartName="/xl/worksheets/sheet40.xml" ContentType="application/vnd.openxmlformats-officedocument.spreadsheetml.worksheet+xml"/>
  <Override PartName="/xl/worksheets/sheet79.xml" ContentType="application/vnd.openxmlformats-officedocument.spreadsheetml.worksheet+xml"/>
  <Override PartName="/xl/worksheets/sheet18.xml" ContentType="application/vnd.openxmlformats-officedocument.spreadsheetml.worksheet+xml"/>
  <Override PartName="/xl/worksheets/sheet39.xml" ContentType="application/vnd.openxmlformats-officedocument.spreadsheetml.worksheet+xml"/>
  <Override PartName="/xl/worksheets/sheet19.xml" ContentType="application/vnd.openxmlformats-officedocument.spreadsheetml.worksheet+xml"/>
  <Override PartName="/xl/worksheets/sheet61.xml" ContentType="application/vnd.openxmlformats-officedocument.spreadsheetml.worksheet+xml"/>
  <Override PartName="/xl/worksheets/sheet8.xml" ContentType="application/vnd.openxmlformats-officedocument.spreadsheetml.worksheet+xml"/>
  <Override PartName="/xl/worksheets/sheet41.xml" ContentType="application/vnd.openxmlformats-officedocument.spreadsheetml.worksheet+xml"/>
  <Override PartName="/xl/worksheets/sheet49.xml" ContentType="application/vnd.openxmlformats-officedocument.spreadsheetml.worksheet+xml"/>
  <Override PartName="/xl/worksheets/sheet69.xml" ContentType="application/vnd.openxmlformats-officedocument.spreadsheetml.worksheet+xml"/>
  <Override PartName="/xl/worksheets/sheet28.xml" ContentType="application/vnd.openxmlformats-officedocument.spreadsheetml.worksheet+xml"/>
  <Override PartName="/xl/worksheets/sheet73.xml" ContentType="application/vnd.openxmlformats-officedocument.spreadsheetml.worksheet+xml"/>
  <Override PartName="/xl/worksheets/sheet85.xml" ContentType="application/vnd.openxmlformats-officedocument.spreadsheetml.worksheet+xml"/>
  <Override PartName="/xl/worksheets/sheet43.xml" ContentType="application/vnd.openxmlformats-officedocument.spreadsheetml.worksheet+xml"/>
  <Override PartName="/xl/worksheets/sheet4.xml" ContentType="application/vnd.openxmlformats-officedocument.spreadsheetml.worksheet+xml"/>
  <Override PartName="/xl/comments3.xml" ContentType="application/vnd.openxmlformats-officedocument.spreadsheetml.comments+xml"/>
  <Override PartName="/xl/worksheets/sheet63.xml" ContentType="application/vnd.openxmlformats-officedocument.spreadsheetml.worksheet+xml"/>
  <Override PartName="/xl/worksheets/sheet89.xml" ContentType="application/vnd.openxmlformats-officedocument.spreadsheetml.worksheet+xml"/>
  <Override PartName="/xl/worksheets/sheet44.xml" ContentType="application/vnd.openxmlformats-officedocument.spreadsheetml.worksheet+xml"/>
  <Override PartName="/xl/worksheets/sheet26.xml" ContentType="application/vnd.openxmlformats-officedocument.spreadsheetml.worksheet+xml"/>
  <Override PartName="/xl/worksheets/sheet46.xml" ContentType="application/vnd.openxmlformats-officedocument.spreadsheetml.worksheet+xml"/>
  <Override PartName="/xl/worksheets/sheet38.xml" ContentType="application/vnd.openxmlformats-officedocument.spreadsheetml.worksheet+xml"/>
  <Override PartName="/xl/threadedComments/threadedComment3.xml" ContentType="application/vnd.ms-excel.threadedcomments+xml"/>
  <Override PartName="/xl/worksheets/sheet54.xml" ContentType="application/vnd.openxmlformats-officedocument.spreadsheetml.worksheet+xml"/>
  <Override PartName="/xl/worksheets/sheet50.xml" ContentType="application/vnd.openxmlformats-officedocument.spreadsheetml.worksheet+xml"/>
  <Override PartName="/xl/worksheets/sheet56.xml" ContentType="application/vnd.openxmlformats-officedocument.spreadsheetml.worksheet+xml"/>
  <Override PartName="/xl/theme/theme1.xml" ContentType="application/vnd.openxmlformats-officedocument.theme+xml"/>
  <Override PartName="/xl/worksheets/sheet15.xml" ContentType="application/vnd.openxmlformats-officedocument.spreadsheetml.worksheet+xml"/>
  <Override PartName="/xl/worksheets/sheet17.xml" ContentType="application/vnd.openxmlformats-officedocument.spreadsheetml.worksheet+xml"/>
  <Override PartName="/xl/worksheets/sheet20.xml" ContentType="application/vnd.openxmlformats-officedocument.spreadsheetml.worksheet+xml"/>
  <Override PartName="/xl/worksheets/sheet31.xml" ContentType="application/vnd.openxmlformats-officedocument.spreadsheetml.worksheet+xml"/>
  <Override PartName="/xl/worksheets/sheet82.xml" ContentType="application/vnd.openxmlformats-officedocument.spreadsheetml.worksheet+xml"/>
  <Override PartName="/xl/worksheets/sheet53.xml" ContentType="application/vnd.openxmlformats-officedocument.spreadsheetml.worksheet+xml"/>
  <Override PartName="/xl/worksheets/sheet22.xml" ContentType="application/vnd.openxmlformats-officedocument.spreadsheetml.worksheet+xml"/>
  <Override PartName="/xl/worksheets/sheet64.xml" ContentType="application/vnd.openxmlformats-officedocument.spreadsheetml.worksheet+xml"/>
  <Override PartName="/xl/sharedStrings.xml" ContentType="application/vnd.openxmlformats-officedocument.spreadsheetml.sharedStrings+xml"/>
  <Override PartName="/xl/worksheets/sheet65.xml" ContentType="application/vnd.openxmlformats-officedocument.spreadsheetml.worksheet+xml"/>
  <Override PartName="/xl/worksheets/sheet48.xml" ContentType="application/vnd.openxmlformats-officedocument.spreadsheetml.worksheet+xml"/>
  <Override PartName="/xl/comments2.xml" ContentType="application/vnd.openxmlformats-officedocument.spreadsheetml.comments+xml"/>
  <Override PartName="/xl/worksheets/sheet55.xml" ContentType="application/vnd.openxmlformats-officedocument.spreadsheetml.worksheet+xml"/>
  <Override PartName="/xl/worksheets/sheet77.xml" ContentType="application/vnd.openxmlformats-officedocument.spreadsheetml.worksheet+xml"/>
  <Override PartName="/xl/worksheets/sheet68.xml" ContentType="application/vnd.openxmlformats-officedocument.spreadsheetml.worksheet+xml"/>
  <Override PartName="/xl/worksheets/sheet47.xml" ContentType="application/vnd.openxmlformats-officedocument.spreadsheetml.worksheet+xml"/>
  <Override PartName="/xl/threadedComments/threadedComment1.xml" ContentType="application/vnd.ms-excel.threadedcomments+xml"/>
  <Override PartName="/xl/worksheets/sheet12.xml" ContentType="application/vnd.openxmlformats-officedocument.spreadsheetml.worksheet+xml"/>
  <Override PartName="/xl/worksheets/sheet74.xml" ContentType="application/vnd.openxmlformats-officedocument.spreadsheetml.worksheet+xml"/>
  <Override PartName="/xl/worksheets/sheet67.xml" ContentType="application/vnd.openxmlformats-officedocument.spreadsheetml.worksheet+xml"/>
  <Override PartName="/xl/worksheets/sheet37.xml" ContentType="application/vnd.openxmlformats-officedocument.spreadsheetml.worksheet+xml"/>
  <Override PartName="/xl/worksheets/sheet80.xml" ContentType="application/vnd.openxmlformats-officedocument.spreadsheetml.worksheet+xml"/>
  <Override PartName="/xl/worksheets/sheet59.xml" ContentType="application/vnd.openxmlformats-officedocument.spreadsheetml.worksheet+xml"/>
  <Override PartName="/xl/worksheets/sheet81.xml" ContentType="application/vnd.openxmlformats-officedocument.spreadsheetml.worksheet+xml"/>
  <Override PartName="/xl/worksheets/sheet27.xml" ContentType="application/vnd.openxmlformats-officedocument.spreadsheetml.worksheet+xml"/>
  <Override PartName="/xl/worksheets/sheet42.xml" ContentType="application/vnd.openxmlformats-officedocument.spreadsheetml.worksheet+xml"/>
  <Override PartName="/xl/worksheets/sheet83.xml" ContentType="application/vnd.openxmlformats-officedocument.spreadsheetml.worksheet+xml"/>
  <Override PartName="/xl/worksheets/sheet66.xml" ContentType="application/vnd.openxmlformats-officedocument.spreadsheetml.worksheet+xml"/>
  <Override PartName="/xl/worksheets/sheet78.xml" ContentType="application/vnd.openxmlformats-officedocument.spreadsheetml.worksheet+xml"/>
  <Override PartName="/xl/worksheets/sheet86.xml" ContentType="application/vnd.openxmlformats-officedocument.spreadsheetml.worksheet+xml"/>
  <Override PartName="/xl/worksheets/sheet62.xml" ContentType="application/vnd.openxmlformats-officedocument.spreadsheetml.worksheet+xml"/>
  <Override PartName="/xl/worksheets/sheet70.xml" ContentType="application/vnd.openxmlformats-officedocument.spreadsheetml.worksheet+xml"/>
  <Override PartName="/xl/worksheets/sheet84.xml" ContentType="application/vnd.openxmlformats-officedocument.spreadsheetml.worksheet+xml"/>
  <Override PartName="/xl/styles.xml" ContentType="application/vnd.openxmlformats-officedocument.spreadsheetml.styles+xml"/>
  <Override PartName="/xl/comments1.xml" ContentType="application/vnd.openxmlformats-officedocument.spreadsheetml.comments+xml"/>
  <Override PartName="/xl/worksheets/sheet88.xml" ContentType="application/vnd.openxmlformats-officedocument.spreadsheetml.worksheet+xml"/>
  <Override PartName="/xl/worksheets/sheet58.xml" ContentType="application/vnd.openxmlformats-officedocument.spreadsheetml.worksheet+xml"/>
  <Override PartName="/xl/worksheets/sheet87.xml" ContentType="application/vnd.openxmlformats-officedocument.spreadsheetml.worksheet+xml"/>
  <Override PartName="/xl/workbook.xml" ContentType="application/vnd.openxmlformats-officedocument.spreadsheetml.sheet.main+xml"/>
</Types>
</file>

<file path=_rels/.rels><?xml version="1.0" encoding="UTF-8" standalone="yes"?><Relationships xmlns="http://schemas.openxmlformats.org/package/2006/relationships"><Relationship  Id="rId4" Type="http://schemas.openxmlformats.org/officeDocument/2006/relationships/officeDocument" Target="xl/workbook.xml"/><Relationship  Id="rId3" Type="http://schemas.openxmlformats.org/officeDocument/2006/relationships/custom-properties" Target="docProps/custom.xml"/><Relationship  Id="rId2" Type="http://schemas.openxmlformats.org/package/2006/relationships/metadata/core-properties" Target="docProps/core.xml"/><Relationship  Id="rId1"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workbookPr/>
  <bookViews>
    <workbookView xWindow="360" yWindow="15" windowWidth="20955" windowHeight="9720" activeTab="58"/>
  </bookViews>
  <sheets>
    <sheet name="Инструкция" sheetId="1" state="visible" r:id="rId2"/>
    <sheet name="Титульный" sheetId="2" state="visible" r:id="rId3"/>
    <sheet name="Список территорий" sheetId="3" state="hidden" r:id="rId4"/>
    <sheet name="Дифференциация" sheetId="4" state="hidden"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visible" r:id="rId42"/>
    <sheet name="ИП. Детализация" sheetId="42" state="visible" r:id="rId43"/>
    <sheet name="ИП. Финансовый план" sheetId="43" state="hidden" r:id="rId44"/>
    <sheet name="ИП. КНЭ" sheetId="44" state="visible"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state="visible"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Детализация'!$A$226:$A$226</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ИП!$I$11:$I$15</definedName>
    <definedName name="IP_MAIN_CHANGE_DATE">ИП!$J$11:$J$15</definedName>
    <definedName name="IP_MAIN_CLAIM">ИП!$K$11:$K$15</definedName>
    <definedName name="IP_MAIN_DATE_PARKING">ИП!$L$5</definedName>
    <definedName name="IP_MAIN_DELETE_HL_COLUMN_MARKER">ИП!$E$7</definedName>
    <definedName name="IP_MAIN_DIFFERENTIATION_EVENTS_FLAG">ИП!$H$11:$H$15</definedName>
    <definedName name="IP_MAIN_END_DATE">ИП!$O$11:$O$15</definedName>
    <definedName name="IP_MAIN_FLAG_KS">ИП!$Y$11:$Y$15</definedName>
    <definedName name="IP_MAIN_FLAG_KS_COLUMN_MARKER">ИП!$Y$7</definedName>
    <definedName name="IP_MAIN_IP_FIN_PLAN_VISIBLE_FLAG">ИП!$H$17</definedName>
    <definedName name="IP_MAIN_LIST_IP_ID">ИП!$AD$11:$AD$15</definedName>
    <definedName name="IP_MAIN_LIST_NAME_IP">ИП!$G$11:$G$15</definedName>
    <definedName name="IP_MAIN_PERIOD_REALIZ_DATE">ИП!$P$11:$P$15</definedName>
    <definedName name="IP_MAIN_PR_IP_CHANGE_DATE">ИП!$X$11:$X$15</definedName>
    <definedName name="IP_MAIN_PR_IP_DATE">ИП!$T$11:$T$15</definedName>
    <definedName name="IP_MAIN_PR_IP_NAME">ИП!$Q$11:$Q$15</definedName>
    <definedName name="IP_MAIN_PR_IP_NUMBER">ИП!$S$11:$S$15</definedName>
    <definedName name="IP_MAIN_PR_IP_TYPE">ИП!$R$11:$R$15</definedName>
    <definedName name="IP_MAIN_START_DATE">ИП!$N$11:$N$15</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Комментарии!$C$11:$C$16</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ИП!$E$11:$E$15</definedName>
    <definedName name="pDel_IP_MAIN_PROPERTY">ИП!$Z$11:$Z$15</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Комментарии!$E$16</definedName>
    <definedName name="pIns_ED">ЭД!$E$13</definedName>
    <definedName name="pIns_IP_DETAILED">'ИП. Детализация'!$F$226</definedName>
    <definedName name="pIns_IP_FIN_PLAN">'ИП. Финансовый план'!$S$8</definedName>
    <definedName name="pIns_IP_MAIN">ИП!$G$15</definedName>
    <definedName name="pIns_IP_QRE">'ИП. КНЭ'!$F$24</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Детализация'!$AH$226</definedName>
    <definedName name="tblEnd_1_IP_FIN_PLAN">'ИП. Финансовый план'!$S$58</definedName>
    <definedName name="tblEnd_1_IP_MAIN">ИП!$AB$16</definedName>
    <definedName name="tblEnd_1_IP_QRE">'ИП. КНЭ'!$FX$24</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REESTR_VED!$A$2:$B$4</definedName>
    <definedName name="VD_ID_LIST">REESTR_VED!$A$2:$A$4</definedName>
    <definedName name="VD_NAME_LIST">REESTR_VED!$B$2:$B$4</definedName>
    <definedName name="et_B_FHD20_1">et_union_hor!$115:$123</definedName>
    <definedName name="REESTR_IP_RANGE">REESTR_IP!$A$2:$I$4</definedName>
    <definedName name="IP_MAIN_ip_5">ИП!$13:$14</definedName>
    <definedName name="IP_QRE_ip_5">'ИП. КНЭ'!$21:$23</definedName>
    <definedName name="IP_DETAILED_ip_5">'ИП. Детализация'!$14:$225</definedName>
    <definedName name="IP_FIN_PLAN_ip_5">'ИП. Финансовый план'!$K$11:$R$11</definedName>
    <definedName name="REESTR_INFR_RANGE">REESTR_OBJ_INFR!$A$2:$AD$2</definedName>
    <definedName name="_xlnm._FilterDatabase" localSheetId="59" hidden="1">Проверка!$B$4:$D$4</definedName>
  </definedNames>
  <calcPr iterate="1" iterateCount="100" iterateDelta="0.001"/>
</workbook>
</file>

<file path=xl/comments1.xml><?xml version="1.0" encoding="utf-8"?>
<comments xmlns="http://schemas.openxmlformats.org/spreadsheetml/2006/main" xmlns:mc="http://schemas.openxmlformats.org/markup-compatibility/2006" xmlns:xr="http://schemas.microsoft.com/office/spreadsheetml/2014/revision" mc:Ignorable="xr">
  <authors>
    <author>tc={006C0010-00CA-4BBC-AD1E-000D00B7005A}</author>
  </authors>
  <commentList>
    <comment ref="E37" authorId="0" xr:uid="{006C0010-00CA-4BBC-AD1E-000D00B7005A}">
      <text>
        <r>
          <rPr>
            <b/>
            <sz val="9"/>
            <rFont val="Tahoma"/>
          </rPr>
          <t>Author:</t>
        </r>
        <r>
          <rPr>
            <sz val="9"/>
            <rFont val="Tahoma"/>
          </rPr>
          <t xml:space="preserve">
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tc={0096004E-0093-44B7-BAE9-00C600A00090}</author>
    <author>tc={008B00B5-00F2-444C-B724-00D00073005F}</author>
  </authors>
  <commentList>
    <comment ref="AZ1" authorId="0" xr:uid="{0096004E-0093-44B7-BAE9-00C600A00090}">
      <text>
        <r>
          <rPr>
            <b/>
            <sz val="9"/>
            <rFont val="Tahoma"/>
          </rPr>
          <t>Author:</t>
        </r>
        <r>
          <rPr>
            <sz val="9"/>
            <rFont val="Tahoma"/>
          </rPr>
          <t xml:space="preserve">
Тип организации
</t>
        </r>
      </text>
    </comment>
    <comment ref="L6" authorId="1" xr:uid="{008B00B5-00F2-444C-B724-00D00073005F}">
      <text>
        <r>
          <rPr>
            <b/>
            <sz val="9"/>
            <rFont val="Tahoma"/>
          </rPr>
          <t>Author:</t>
        </r>
        <r>
          <rPr>
            <sz val="9"/>
            <rFont val="Tahoma"/>
          </rPr>
          <t xml:space="preserve">
тут будет больше 0, если выбран хотя бы один метод, отличный от экономически обоснованных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tc={00620027-00E5-4708-89A8-00ED00C60042}</author>
    <author>tc={008F00C5-002E-45FF-81B0-001D0035009C}</author>
  </authors>
  <commentList>
    <comment ref="P2" authorId="0" xr:uid="{00620027-00E5-4708-89A8-00ED00C60042}">
      <text>
        <r>
          <rPr>
            <b/>
            <sz val="9"/>
            <rFont val="Tahoma"/>
          </rPr>
          <t>Author:</t>
        </r>
        <r>
          <rPr>
            <sz val="9"/>
            <rFont val="Tahoma"/>
          </rPr>
          <t xml:space="preserve">
сюда же для некоторых формул может входить:
- VOTV
- HOTVSNA
</t>
        </r>
      </text>
    </comment>
    <comment ref="U2" authorId="1" xr:uid="{008F00C5-002E-45FF-81B0-001D0035009C}">
      <text>
        <r>
          <rPr>
            <b/>
            <sz val="9"/>
            <rFont val="Tahoma"/>
          </rPr>
          <t>Author:</t>
        </r>
        <r>
          <rPr>
            <sz val="9"/>
            <rFont val="Tahoma"/>
          </rPr>
          <t xml:space="preserve">
сюда же для некоторых формул может входить:
- VOTV
- HOTVSNA
</t>
        </r>
      </text>
    </comment>
  </commentList>
</comments>
</file>

<file path=xl/sharedStrings.xml><?xml version="1.0" encoding="utf-8"?>
<sst xmlns="http://schemas.openxmlformats.org/spreadsheetml/2006/main" count="4100" uniqueCount="4100">
  <si>
    <t xml:space="preserve"> (требуется обновление)</t>
  </si>
  <si>
    <t xml:space="preserve">Код отчёта: PP108.OPEN.INFO.INVEST.HOTVSNA.EIAS</t>
  </si>
  <si>
    <t xml:space="preserve">Версия отчёта: 1.1.1</t>
  </si>
  <si>
    <t xml:space="preserve">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</si>
  <si>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</si>
  <si>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</si>
  <si>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</si>
  <si>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</si>
  <si>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</si>
  <si>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 xml:space="preserve">Работа с реестрами</t>
  </si>
  <si>
    <t xml:space="preserve">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</si>
  <si>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 xml:space="preserve">Проверка отчёта</t>
  </si>
  <si>
    <t xml:space="preserve">• При сохранении отчётной формы осуществляется проверка корректности данных
• Для каждого сообщения возможны 2 статуса: ошибка и предупреждение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</si>
  <si>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27507607</t>
  </si>
  <si>
    <t>Flag_Row_Size</t>
  </si>
  <si>
    <t xml:space="preserve">Субъект РФ</t>
  </si>
  <si>
    <t xml:space="preserve">Еврейская автономная область</t>
  </si>
  <si>
    <t xml:space="preserve">Состав раскрываемой информации</t>
  </si>
  <si>
    <t xml:space="preserve">Привлечение к ответственности за указанный период отсутствует</t>
  </si>
  <si>
    <t>нет</t>
  </si>
  <si>
    <t xml:space="preserve">PRICE, REQUEST</t>
  </si>
  <si>
    <t xml:space="preserve">Начало
периода регулирования</t>
  </si>
  <si>
    <t/>
  </si>
  <si>
    <t xml:space="preserve">Как заполнить?</t>
  </si>
  <si>
    <t xml:space="preserve">Начало периода регулирования</t>
  </si>
  <si>
    <t xml:space="preserve">Окончание
периода регулирования</t>
  </si>
  <si>
    <t xml:space="preserve">Окончание периода регулирования</t>
  </si>
  <si>
    <t>ORG</t>
  </si>
  <si>
    <t xml:space="preserve">Дата
предоставления информации</t>
  </si>
  <si>
    <t xml:space="preserve">Дата предоставления информации</t>
  </si>
  <si>
    <t xml:space="preserve">BALANCE, QUARTER, TERMS</t>
  </si>
  <si>
    <t>Год</t>
  </si>
  <si>
    <t xml:space="preserve">Отчётный период (год)</t>
  </si>
  <si>
    <t>QUARTER</t>
  </si>
  <si>
    <t>Квартал</t>
  </si>
  <si>
    <t xml:space="preserve">Отчётный период (квартал)</t>
  </si>
  <si>
    <t xml:space="preserve">Тип отчёта</t>
  </si>
  <si>
    <t xml:space="preserve">первичное раскрытие информации</t>
  </si>
  <si>
    <t xml:space="preserve">Дата внесения изменений в информацию, подлежащую раскрытию</t>
  </si>
  <si>
    <t xml:space="preserve">Отображается, если тип отчёта - изменение</t>
  </si>
  <si>
    <t xml:space="preserve">Данный блок предлагается заполнять из отчётной формы BALANCE.CALC.TARIFF.ххх.хххх</t>
  </si>
  <si>
    <t xml:space="preserve">Наименование органа регулирования, принявшего решение об утверждении тарифов</t>
  </si>
  <si>
    <t xml:space="preserve">Источник официального опубликования решения</t>
  </si>
  <si>
    <t xml:space="preserve">Открывается, если Тип отчёта "изменения в раскрытой ранее информации"</t>
  </si>
  <si>
    <t xml:space="preserve">Наименование органа регулирования, принявшего решение об изменении тарифов</t>
  </si>
  <si>
    <t xml:space="preserve">АО "ДГК" СП "Биробиджанская ТЭЦ"</t>
  </si>
  <si>
    <t xml:space="preserve">Наименование (описание) обособленного подразделения</t>
  </si>
  <si>
    <t>ИНН</t>
  </si>
  <si>
    <t>1434031363</t>
  </si>
  <si>
    <t>КПП</t>
  </si>
  <si>
    <t>790145002</t>
  </si>
  <si>
    <t xml:space="preserve">Тип теплоснабжающей организации</t>
  </si>
  <si>
    <t xml:space="preserve">Система налогообложения</t>
  </si>
  <si>
    <t>ОСН</t>
  </si>
  <si>
    <t xml:space="preserve">Отсутствует Интернет в границах территории МО, где организация осуществляет регулируемые виды деятельности</t>
  </si>
  <si>
    <t xml:space="preserve">Опубликовать индикативный предельный уровень цен на тепловую энергию (мощность)</t>
  </si>
  <si>
    <t xml:space="preserve">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</si>
  <si>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rPr>
      <t xml:space="preserve">с (!)</t>
    </r>
    <r>
      <rPr>
        <sz val="9"/>
        <rFont val="Tahoma"/>
      </rPr>
      <t xml:space="preserve"> разбивкой по поставщикам</t>
    </r>
  </si>
  <si>
    <r>
      <t xml:space="preserve">Тариф на горячую воду предлагается </t>
    </r>
    <r>
      <rPr>
        <b/>
        <sz val="9"/>
        <rFont val="Tahoma"/>
      </rPr>
      <t xml:space="preserve">без (!)</t>
    </r>
    <r>
      <rPr>
        <sz val="9"/>
        <rFont val="Tahoma"/>
      </rPr>
      <t xml:space="preserve"> разбивки на компоненты</t>
    </r>
  </si>
  <si>
    <t xml:space="preserve">Организация осуществляет поставку товаров (оказание услуг) только по нерегулируемым ценам</t>
  </si>
  <si>
    <t xml:space="preserve">Регулируемая организация осуществляет сдачу годового бухгалтерского баланса в налоговые органы</t>
  </si>
  <si>
    <t xml:space="preserve">Дата направления годового бухгалтерского баланса в налоговые органы</t>
  </si>
  <si>
    <t xml:space="preserve">Превышает ли выручка от регулируемой деятельности 80% совокупной выручки за отчетный год</t>
  </si>
  <si>
    <t xml:space="preserve">Организация выполняет инвестиционную программу</t>
  </si>
  <si>
    <t>да</t>
  </si>
  <si>
    <t xml:space="preserve">Детализация инвестиционных программ осуществляется</t>
  </si>
  <si>
    <t xml:space="preserve">по мероприятиям и группам мероприятий</t>
  </si>
  <si>
    <t xml:space="preserve">Оператор по обращению с твёрдыми коммунальными отходами, осуществляет деятельность по транспортированию твёрдых коммунальных отходов</t>
  </si>
  <si>
    <t xml:space="preserve">Почтовый адрес регулируемой организации</t>
  </si>
  <si>
    <t xml:space="preserve">680000, г. Хабаровск, ул. Фрунзе, 49</t>
  </si>
  <si>
    <t xml:space="preserve">Фамилия, имя, отчество руководителя</t>
  </si>
  <si>
    <t xml:space="preserve">Иртов Сергей Викторович</t>
  </si>
  <si>
    <t xml:space="preserve">Ответственный за заполнение формы</t>
  </si>
  <si>
    <t xml:space="preserve">Фамилия, имя, отчество</t>
  </si>
  <si>
    <t xml:space="preserve">Леонова Галина Александровна</t>
  </si>
  <si>
    <t>Должность</t>
  </si>
  <si>
    <t xml:space="preserve">Главный специалист</t>
  </si>
  <si>
    <t xml:space="preserve">Контактный телефон</t>
  </si>
  <si>
    <t>(4212)26-41-99</t>
  </si>
  <si>
    <t>E-mail</t>
  </si>
  <si>
    <t>leonova-ga@dgk.ru</t>
  </si>
  <si>
    <t>Flag_Col_Size</t>
  </si>
  <si>
    <t>МР</t>
  </si>
  <si>
    <t>МО</t>
  </si>
  <si>
    <t>ОКТМО</t>
  </si>
  <si>
    <t xml:space="preserve">Муниципальный район</t>
  </si>
  <si>
    <t xml:space="preserve">Муниципальное образование</t>
  </si>
  <si>
    <t xml:space="preserve">№ п/п</t>
  </si>
  <si>
    <t>Наименование</t>
  </si>
  <si>
    <t>3</t>
  </si>
  <si>
    <t>4</t>
  </si>
  <si>
    <t>6</t>
  </si>
  <si>
    <t>7</t>
  </si>
  <si>
    <t xml:space="preserve">размерженный МР</t>
  </si>
  <si>
    <t xml:space="preserve">флаг используемости территории на листе Перечень тарифов</t>
  </si>
  <si>
    <t xml:space="preserve">копия территорий</t>
  </si>
  <si>
    <t xml:space="preserve">МР (ОКТМО)</t>
  </si>
  <si>
    <t>ter_1</t>
  </si>
  <si>
    <t xml:space="preserve">Добавить МО</t>
  </si>
  <si>
    <t xml:space="preserve">Добавить территорию оказания услуг</t>
  </si>
  <si>
    <t xml:space="preserve">Добавить территорию действия тарифа</t>
  </si>
  <si>
    <t xml:space="preserve">Вид деятельности</t>
  </si>
  <si>
    <t xml:space="preserve">Дифференциация по территориям</t>
  </si>
  <si>
    <t xml:space="preserve">Дифференциация по централизованным системам</t>
  </si>
  <si>
    <t>да/нет</t>
  </si>
  <si>
    <t>1</t>
  </si>
  <si>
    <t>2</t>
  </si>
  <si>
    <t>5</t>
  </si>
  <si>
    <t>8</t>
  </si>
  <si>
    <t>ID_DIFF</t>
  </si>
  <si>
    <t>VD</t>
  </si>
  <si>
    <t>AREA</t>
  </si>
  <si>
    <t>SYSTEM</t>
  </si>
  <si>
    <t>diff_1</t>
  </si>
  <si>
    <t>a</t>
  </si>
  <si>
    <t xml:space="preserve">Добавить централизованную систему</t>
  </si>
  <si>
    <t xml:space="preserve">Добавить описание территории</t>
  </si>
  <si>
    <t xml:space="preserve">Добавить вид деятельности</t>
  </si>
  <si>
    <t xml:space="preserve">Вид тарифа</t>
  </si>
  <si>
    <t xml:space="preserve">Наименование тарифа</t>
  </si>
  <si>
    <t xml:space="preserve">Дифференциация по
 МО (территориям)</t>
  </si>
  <si>
    <t xml:space="preserve">Дифференциация по 
централизованным системам</t>
  </si>
  <si>
    <t xml:space="preserve">Дифференциация по источникам тепловой энергии</t>
  </si>
  <si>
    <t>Примечание</t>
  </si>
  <si>
    <t xml:space="preserve">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</si>
  <si>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</si>
  <si>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</si>
  <si>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</si>
  <si>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</si>
  <si>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</si>
  <si>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</si>
  <si>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</si>
  <si>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</si>
  <si>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</si>
  <si>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</si>
  <si>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</si>
  <si>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</si>
  <si>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</si>
  <si>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</si>
  <si>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</si>
  <si>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xml:space="preserve">№ п.п НаименованиеТарифа</t>
  </si>
  <si>
    <t xml:space="preserve">№ п.п Территория</t>
  </si>
  <si>
    <t xml:space="preserve">№ п.п ЦентрализованнаяСистема</t>
  </si>
  <si>
    <t xml:space="preserve">№ п.п ИсточникТепловойЭнергии</t>
  </si>
  <si>
    <t>9</t>
  </si>
  <si>
    <t>10</t>
  </si>
  <si>
    <t>11</t>
  </si>
  <si>
    <t>12</t>
  </si>
  <si>
    <t>13</t>
  </si>
  <si>
    <t>14</t>
  </si>
  <si>
    <t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</si>
  <si>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</si>
  <si>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</si>
  <si>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</si>
  <si>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</si>
  <si>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</si>
  <si>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</si>
  <si>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</si>
  <si>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</si>
  <si>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</si>
  <si>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</si>
  <si>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 xml:space="preserve">Тарифы на тепловую энергию (мощность), поставляемую теплоснабжающими организациями потребителям, другим теплоснабжающим организациям</t>
  </si>
  <si>
    <t xml:space="preserve">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</si>
  <si>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</si>
  <si>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</si>
  <si>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</si>
  <si>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</si>
  <si>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</si>
  <si>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</si>
  <si>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</si>
  <si>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</si>
  <si>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</si>
  <si>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</si>
  <si>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</si>
  <si>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 xml:space="preserve">Тарифы на услуги по передаче тепловой энергии</t>
  </si>
  <si>
    <t>pIns_PT_VTAR_E1</t>
  </si>
  <si>
    <t>pt_ntar_5</t>
  </si>
  <si>
    <t>pt_ter_5</t>
  </si>
  <si>
    <t>pt_cs_5</t>
  </si>
  <si>
    <t>pt_ist_te_5</t>
  </si>
  <si>
    <t xml:space="preserve">Тарифы на услуги по передаче теплоносителя</t>
  </si>
  <si>
    <t>pIns_PT_VTAR_E2</t>
  </si>
  <si>
    <t>pt_ntar_6</t>
  </si>
  <si>
    <t>pt_ter_6</t>
  </si>
  <si>
    <t>pt_cs_6</t>
  </si>
  <si>
    <t>pt_ist_te_6</t>
  </si>
  <si>
    <t xml:space="preserve">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</si>
  <si>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</si>
  <si>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</si>
  <si>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</si>
  <si>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</si>
  <si>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</si>
  <si>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 xml:space="preserve">Плата за подключение (технологическое присоединение) к системе теплоснабжения</t>
  </si>
  <si>
    <t>pIns_PT_VTAR_G</t>
  </si>
  <si>
    <t>pt_ntar_8</t>
  </si>
  <si>
    <t>pt_ter_8</t>
  </si>
  <si>
    <t>pt_cs_8</t>
  </si>
  <si>
    <t>pt_ist_te_8</t>
  </si>
  <si>
    <t xml:space="preserve">Плата за подключение (технологическое присоединение) к системе теплоснабжения (индивидуальная)</t>
  </si>
  <si>
    <t>pIns_PT_VTAR_H</t>
  </si>
  <si>
    <t>pt_ntar_20</t>
  </si>
  <si>
    <t>pt_ter_20</t>
  </si>
  <si>
    <t>pt_cs_20</t>
  </si>
  <si>
    <t>pt_ist_te_20</t>
  </si>
  <si>
    <t xml:space="preserve">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</si>
  <si>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</si>
  <si>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</si>
  <si>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</si>
  <si>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</si>
  <si>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</si>
  <si>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 xml:space="preserve">Информация о регулируемых ценах (тарифах) на товары (услуги) единой теплоснабжающей организации в ценовых зонах теплоснабжения включает сведения:</t>
  </si>
  <si>
    <t xml:space="preserve">-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</si>
  <si>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xml:space="preserve">-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</si>
  <si>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xml:space="preserve">-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</si>
  <si>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xml:space="preserve">-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</si>
  <si>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 xml:space="preserve">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</si>
  <si>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xml:space="preserve">-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</si>
  <si>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xml:space="preserve">- о тарифах на товары (услуги) в сфере теплоснабжения в случаях, указанных в частях 12.1 - 12.4 статьи 10 ФЗ "О теплоснабжении"</t>
  </si>
  <si>
    <t xml:space="preserve">Тариф на питьевую воду (питьевое водоснабжение)</t>
  </si>
  <si>
    <t>pIns_PT_VTAR_A_COLDVSNA</t>
  </si>
  <si>
    <t>pt_ntar_9</t>
  </si>
  <si>
    <t>pt_ter_9</t>
  </si>
  <si>
    <t>pt_cs_9</t>
  </si>
  <si>
    <t xml:space="preserve">Тариф на техническую воду</t>
  </si>
  <si>
    <t>pIns_PT_VTAR_B_COLDVSNA</t>
  </si>
  <si>
    <t>pt_ntar_10</t>
  </si>
  <si>
    <t>pt_ter_10</t>
  </si>
  <si>
    <t>pt_cs_10</t>
  </si>
  <si>
    <t xml:space="preserve">Тариф на транспортировку воды</t>
  </si>
  <si>
    <t>pIns_PT_VTAR_C_COLDVSNA</t>
  </si>
  <si>
    <t>pt_ntar_11</t>
  </si>
  <si>
    <t>pt_ter_11</t>
  </si>
  <si>
    <t>pt_cs_11</t>
  </si>
  <si>
    <t xml:space="preserve">Тариф на подвоз воды</t>
  </si>
  <si>
    <t>pIns_PT_VTAR_D_COLDVSNA</t>
  </si>
  <si>
    <t>pt_ntar_12</t>
  </si>
  <si>
    <t>pt_ter_12</t>
  </si>
  <si>
    <t>pt_cs_12</t>
  </si>
  <si>
    <t xml:space="preserve">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</si>
  <si>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</si>
  <si>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</si>
  <si>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</si>
  <si>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</si>
  <si>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 xml:space="preserve">Тариф на горячую воду (горячее водоснабжение)</t>
  </si>
  <si>
    <t>pIns_PT_VTAR_A_HOTVSNA</t>
  </si>
  <si>
    <t>pt_ntar_14</t>
  </si>
  <si>
    <t>pt_ter_14</t>
  </si>
  <si>
    <t>pt_cs_14</t>
  </si>
  <si>
    <t xml:space="preserve">Тариф на транспортировку горячей воды</t>
  </si>
  <si>
    <t>pIns_PT_VTAR_B_HOTVSNA</t>
  </si>
  <si>
    <t>pt_ntar_15</t>
  </si>
  <si>
    <t>pt_ter_15</t>
  </si>
  <si>
    <t>pt_cs_15</t>
  </si>
  <si>
    <t xml:space="preserve">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</si>
  <si>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</si>
  <si>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</si>
  <si>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</si>
  <si>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</si>
  <si>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 xml:space="preserve">Тариф на водоотведение</t>
  </si>
  <si>
    <t>pIns_PT_VTAR_A_VOTV</t>
  </si>
  <si>
    <t>pt_ntar_17</t>
  </si>
  <si>
    <t>pt_ter_17</t>
  </si>
  <si>
    <t>pt_cs_17</t>
  </si>
  <si>
    <t xml:space="preserve">Тариф на транспортировку сточных вод</t>
  </si>
  <si>
    <t>pIns_PT_VTAR_B_VOTV</t>
  </si>
  <si>
    <t>pt_ntar_18</t>
  </si>
  <si>
    <t>pt_ter_18</t>
  </si>
  <si>
    <t>pt_cs_18</t>
  </si>
  <si>
    <t xml:space="preserve">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</si>
  <si>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</si>
  <si>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</si>
  <si>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</si>
  <si>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</si>
  <si>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</si>
  <si>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</si>
  <si>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</si>
  <si>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 xml:space="preserve">Дифференциация тарифов в области обращения с твердыми коммунальными отходами</t>
  </si>
  <si>
    <t xml:space="preserve">Дифференциация по технологическим особенностям</t>
  </si>
  <si>
    <t xml:space="preserve">Дифференциация по территории оказания услуг</t>
  </si>
  <si>
    <t xml:space="preserve">Дифференциация по виду твердых коммунальных отходов</t>
  </si>
  <si>
    <t xml:space="preserve">Дифференциация по классу опасности твердых коммунальных отходов</t>
  </si>
  <si>
    <t>Комментарий</t>
  </si>
  <si>
    <t xml:space="preserve">Дифференциация, да/нет</t>
  </si>
  <si>
    <t>Значение</t>
  </si>
  <si>
    <t>Тарифы</t>
  </si>
  <si>
    <t xml:space="preserve">Прочие показатели</t>
  </si>
  <si>
    <t>AREA_ID</t>
  </si>
  <si>
    <t xml:space="preserve">Оказание услуги по обращению с твердыми коммунальными отходами региональным оператором</t>
  </si>
  <si>
    <t xml:space="preserve">Единый тариф на услугу регионального оператора по обращению с твердыми коммунальными отходами</t>
  </si>
  <si>
    <t xml:space="preserve">Тариф на обработку твердых коммунальных отходов</t>
  </si>
  <si>
    <t xml:space="preserve">Тариф на обезвреживание твердых коммунальных отходов</t>
  </si>
  <si>
    <t xml:space="preserve">Тариф на захоронение твердых коммунальных отходов</t>
  </si>
  <si>
    <t xml:space="preserve">Тариф на энергетическую утилизацию</t>
  </si>
  <si>
    <t xml:space="preserve">Фирменное наименование юридического лица (согласно уставу регулируемой организации)</t>
  </si>
  <si>
    <t xml:space="preserve">Параметры формы</t>
  </si>
  <si>
    <t xml:space="preserve">Описание параметров формы</t>
  </si>
  <si>
    <t xml:space="preserve">Наименование параметра</t>
  </si>
  <si>
    <t>Информация</t>
  </si>
  <si>
    <t xml:space="preserve">Субъект Российской Федерации</t>
  </si>
  <si>
    <t xml:space="preserve">Указывается наименование субъекта Российской Федерации</t>
  </si>
  <si>
    <t>x</t>
  </si>
  <si>
    <t>2.2</t>
  </si>
  <si>
    <t xml:space="preserve">идентификационный номер налогоплательщика (ИНН)</t>
  </si>
  <si>
    <t xml:space="preserve">Указывается идентификационный номер налогоплательщика.</t>
  </si>
  <si>
    <t>2.3</t>
  </si>
  <si>
    <t xml:space="preserve">код причины постановки на учет (КПП)</t>
  </si>
  <si>
    <t xml:space="preserve">Указывается код причины постановки на учет (при наличии).</t>
  </si>
  <si>
    <t>5.1</t>
  </si>
  <si>
    <t xml:space="preserve">Сведения о присвоении статуса единой теплоснабжающей организации:</t>
  </si>
  <si>
    <t xml:space="preserve">Информация в строках 5.x.1 - 5.x.4 указывается только едиными теплоснабжающими организациями.</t>
  </si>
  <si>
    <t xml:space="preserve">наименование органа, принявшего решение о присвоении статуса единой теплоснабжающей организации</t>
  </si>
  <si>
    <t xml:space="preserve">дата решения</t>
  </si>
  <si>
    <t xml:space="preserve">Дата принятия решения о присвоении статуса единой теплоснабжающей организации указывается в виде «ДД.ММ.ГГГГ».</t>
  </si>
  <si>
    <t xml:space="preserve">номер решения</t>
  </si>
  <si>
    <t xml:space="preserve">границы зоны (зон) деятельности</t>
  </si>
  <si>
    <t xml:space="preserve">Указывается описание зоны (зон) деятельности единой теплоснабжающей организации.</t>
  </si>
  <si>
    <t xml:space="preserve">Добавить сведения</t>
  </si>
  <si>
    <t xml:space="preserve">Данные должностного лица, ответственного за размещение данных</t>
  </si>
  <si>
    <t>3.1</t>
  </si>
  <si>
    <t xml:space="preserve">фамилия, имя и отчество должностного лица</t>
  </si>
  <si>
    <t>3.1.1</t>
  </si>
  <si>
    <t xml:space="preserve">фамилия должностного лица</t>
  </si>
  <si>
    <t>3.1.2</t>
  </si>
  <si>
    <t xml:space="preserve">имя должностного лица</t>
  </si>
  <si>
    <t>3.1.3</t>
  </si>
  <si>
    <t xml:space="preserve">отчество должностного лица</t>
  </si>
  <si>
    <t>3.2</t>
  </si>
  <si>
    <t>должность</t>
  </si>
  <si>
    <t>3.3</t>
  </si>
  <si>
    <t xml:space="preserve">контактный телефон</t>
  </si>
  <si>
    <t>3.4</t>
  </si>
  <si>
    <t xml:space="preserve">адрес электронной почты</t>
  </si>
  <si>
    <t xml:space="preserve">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ФГИС ЕИАС.</t>
  </si>
  <si>
    <t xml:space="preserve">Добавить контактный телефон</t>
  </si>
  <si>
    <t xml:space="preserve">Указывается при наличии</t>
  </si>
  <si>
    <t xml:space="preserve">Режим работы</t>
  </si>
  <si>
    <t xml:space="preserve">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</si>
  <si>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 xml:space="preserve">режим работы абонентских отделов</t>
  </si>
  <si>
    <t xml:space="preserve">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</si>
  <si>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 xml:space="preserve">режим работы сбытовых подразделений</t>
  </si>
  <si>
    <t xml:space="preserve">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</si>
  <si>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 xml:space="preserve">режим работы диспетчерских служб</t>
  </si>
  <si>
    <t xml:space="preserve">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</si>
  <si>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 xml:space="preserve">Добавить режим работы</t>
  </si>
  <si>
    <t xml:space="preserve">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</si>
  <si>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 xml:space="preserve">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</si>
  <si>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</si>
  <si>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</si>
  <si>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</si>
  <si>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</si>
  <si>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</si>
  <si>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 xml:space="preserve">Протяженность магистральных сетей (в однотрубном исчислении), км.</t>
  </si>
  <si>
    <t xml:space="preserve">Протяженность разводящих сетей (в однотрубном исчислении), км.</t>
  </si>
  <si>
    <t>Теплоэлектростанции</t>
  </si>
  <si>
    <t xml:space="preserve">Тепловые станции</t>
  </si>
  <si>
    <t>Котельные</t>
  </si>
  <si>
    <t xml:space="preserve">Количество центральных тепловых пунктов, шт.</t>
  </si>
  <si>
    <t xml:space="preserve">Протяженность канализационных сетей (в однотрубном исчислении), км.</t>
  </si>
  <si>
    <t xml:space="preserve">Количество насосных станций, шт.</t>
  </si>
  <si>
    <t xml:space="preserve">Количество очистных сооружений, шт.</t>
  </si>
  <si>
    <t xml:space="preserve">Протяженность водопроводных сетей (в однотрубном исчислении), км</t>
  </si>
  <si>
    <t xml:space="preserve">Количество скважин, шт.</t>
  </si>
  <si>
    <t xml:space="preserve">Количество подкачивающих насосных станций, шт.</t>
  </si>
  <si>
    <t xml:space="preserve">Протяженность сетей горячего водоснабжения (в однотрубном исчислении), км</t>
  </si>
  <si>
    <t xml:space="preserve">Количество теплоэлектростанций, шт.</t>
  </si>
  <si>
    <t xml:space="preserve">Установленная электрическая мощность</t>
  </si>
  <si>
    <t xml:space="preserve">Единицы изменения</t>
  </si>
  <si>
    <t xml:space="preserve">Установленная тепловая мощность, Гкал/ч</t>
  </si>
  <si>
    <t xml:space="preserve">Количество тепловых станций, шт.</t>
  </si>
  <si>
    <t xml:space="preserve">Количество котельных, шт.</t>
  </si>
  <si>
    <t>0</t>
  </si>
  <si>
    <t xml:space="preserve">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
В колонке "Единицы измерения" в блоке "Теплоэлектростанции" выбирается одно из значений: кВт*ч или МВт.
В случае оказания услуг в нескольких системах теплоснабжения информация по каждой из них указывается в отдельной строке.</t>
  </si>
  <si>
    <t xml:space="preserve">Значения протяженности сетей, количества насосных станций, количества очистных сооружений указываются в виде целых и  неотрицательных чисел.
В случае отсутствия канализационных сетей, насосных станций, очистных сооружений в соответствующей колонке указывается значение 0.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</si>
  <si>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 xml:space="preserve">Значения протяженности сетей, количества скважин, количества подкачивающих насосных станций указываются в виде целых и неотрицательных чисел.
В случае отсутствия водопроводных сетей, скважин, подкачивающих станций в соответствующей колонке указывается значение 0.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</si>
  <si>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 xml:space="preserve">Значения протяженности сетей, количества центральных тепловых пунктов указываются в виде целых и неотрицательных чисел.
В случае отсутствия водопроводных сетей, центральных тепловых пунктов в соответствующей колонке указывается значение 0.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</si>
  <si>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</si>
  <si>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 xml:space="preserve">64235586; 64235587</t>
  </si>
  <si>
    <t xml:space="preserve">Добавить вид объекта</t>
  </si>
  <si>
    <t xml:space="preserve">Форма 2. Вид деятельности и виды объектов, используемых для оказания услуг в области обращения с твердыми коммунальными отходами, и их количество</t>
  </si>
  <si>
    <t xml:space="preserve">Вид объекта, используемых для оказания услуг в области обращения с твердыми коммунальными отходами</t>
  </si>
  <si>
    <t xml:space="preserve">Количество объектов, используемых для оказания услуг в области обращения с твердыми коммунальными отходами, шт.</t>
  </si>
  <si>
    <t xml:space="preserve">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
В случае оказания услуг по нескольким видам деятельности информация по каждому из них указывается отдельно.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</si>
  <si>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 xml:space="preserve">Информация об отсутствии сети "Интернет" &lt;1&gt;</t>
  </si>
  <si>
    <t xml:space="preserve">Отсутствует доступ к сети "Интернет"</t>
  </si>
  <si>
    <t xml:space="preserve">Ссылка на документ</t>
  </si>
  <si>
    <t xml:space="preserve">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</si>
  <si>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 xml:space="preserve">Омский муниципальный район</t>
  </si>
  <si>
    <t xml:space="preserve">Ачаирское сельское поселение</t>
  </si>
  <si>
    <t>52644404</t>
  </si>
  <si>
    <t xml:space="preserve">Ачаирское сельское поселение (52644404)</t>
  </si>
  <si>
    <t xml:space="preserve">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t>
  </si>
  <si>
    <t xml:space="preserve">Территория действия тарифа</t>
  </si>
  <si>
    <t xml:space="preserve">Указывается наименование территории действия тарифа при наличии дифференциации тарифа по территориальному признаку.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</si>
  <si>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</si>
  <si>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 xml:space="preserve">Указывается наименование системы теплоснабжения при наличии дифференциации тарифа по системам теплоснабжения.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</si>
  <si>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</si>
  <si>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 xml:space="preserve">Указывается наименование источника тепловой энергии
В случае дифференциации тарифов по источникам тепловой энергии информация по ним указывается в отдельных строках.</t>
  </si>
  <si>
    <t>SCHEME</t>
  </si>
  <si>
    <t xml:space="preserve">Схема подключения теплопотребляющей установки к коллектору источника тепловой энергии</t>
  </si>
  <si>
    <t xml:space="preserve">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
Значение выбирается из перечня:
   - без дифференциации
   - к коллектору источника тепловой энергии
   - к тепловой сети без дополнительного преобразования на тепловых пунктах, эксплуатируемых теплоснабжающей организацией
   - к тепловой сети после тепловых пунктов (на тепловых пунктах), эксплуатируемых теплоснабжающей организацией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</si>
  <si>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</si>
  <si>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 xml:space="preserve">Группа потребителей</t>
  </si>
  <si>
    <t xml:space="preserve">Указывается группа потребителей при наличии дифференциации тарифа по группам потребителей.
Значение выбирается из перечня:
   - организации-перепродавцы;
   - бюджетные организации;
   - население;
   - прочие;
   - без дифференциации.
В случае дифференциации тарифов группам потребителей информация по ним указывается в отдельных строках.</t>
  </si>
  <si>
    <t>TN</t>
  </si>
  <si>
    <t xml:space="preserve">В колонке «Параметр дифференциации тарифов» указывается вид теплоносителя.
Значение выбирается из перечня:
   - вода;
   - пар;
   - отборный пар, 1.2 – 2.5 кг/см2;
   - отборный пар, 2.5 – 7 кг/см2;
   - отборный пар, 7 – 13 кг/см2;
   - отборный пар, &gt; 13 кг/см2;
   - острый и редуцированный пар;
   - горячая вода в системе централизованного теплоснабжения на отопление;
   - горячая вода в системе централизованного теплоснабжения на горячее водоснабжение;
   - прочее.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
В случае дифференциации тарифов по периодам действия тарифа информация по ним указывается в отдельных колонках.
В случае дифференциации тарифов по видам теплоносителя информация по ним указывается в отдельных строках.</t>
  </si>
  <si>
    <t xml:space="preserve">Добавить вид теплоносителя (параметры теплоносителя)</t>
  </si>
  <si>
    <t xml:space="preserve">Добавить группу потребителей</t>
  </si>
  <si>
    <t xml:space="preserve">Добавить схему подключения</t>
  </si>
  <si>
    <t xml:space="preserve">Добавить источник для дифференциации</t>
  </si>
  <si>
    <t xml:space="preserve">Добавить централизованную систему для дифференциации</t>
  </si>
  <si>
    <t xml:space="preserve">Добавить территорию для дифференциации</t>
  </si>
  <si>
    <t>PERIOD_FROM_FIRST_ROW</t>
  </si>
  <si>
    <t>FLAG_BLOCK_COLUMN</t>
  </si>
  <si>
    <t>SPR</t>
  </si>
  <si>
    <t>FLAG_START_DATE</t>
  </si>
  <si>
    <t>FLAG_ETC_PERIOD</t>
  </si>
  <si>
    <t>FLAG_END_DATE</t>
  </si>
  <si>
    <t xml:space="preserve">Дата документа об утверждении тарифов</t>
  </si>
  <si>
    <t xml:space="preserve">Номер документа об утверждении тарифов</t>
  </si>
  <si>
    <t xml:space="preserve">Дата подачи заявления об утверждении тарифов</t>
  </si>
  <si>
    <t xml:space="preserve">Номер подачи заявления об утверждении тарифов</t>
  </si>
  <si>
    <t>dp</t>
  </si>
  <si>
    <t xml:space="preserve">Параметр дифференциации тарифа</t>
  </si>
  <si>
    <t xml:space="preserve">Величина и срок действия тарифа</t>
  </si>
  <si>
    <t xml:space="preserve">Наличие других периодов действия тарифа</t>
  </si>
  <si>
    <t xml:space="preserve">Наличие других сроков действия тарифа</t>
  </si>
  <si>
    <t xml:space="preserve">Добавить срок действия</t>
  </si>
  <si>
    <t xml:space="preserve">Одноставочный тариф,
руб./Гкал</t>
  </si>
  <si>
    <t xml:space="preserve">Ставка за содержание тепловой мощности,
тыс. руб./Гкал/ч/мес.</t>
  </si>
  <si>
    <t xml:space="preserve">Двухставочный тариф</t>
  </si>
  <si>
    <t xml:space="preserve">Срок действия</t>
  </si>
  <si>
    <t>NUM_NTAR</t>
  </si>
  <si>
    <t>NUM_TER</t>
  </si>
  <si>
    <t>NUM_CS</t>
  </si>
  <si>
    <t>NUM_IST_TE</t>
  </si>
  <si>
    <t>NUM_SCHEME</t>
  </si>
  <si>
    <t>NUM_GC</t>
  </si>
  <si>
    <t>NUM_TN</t>
  </si>
  <si>
    <t xml:space="preserve">ставка за тепловую энергию,
руб./Гкал</t>
  </si>
  <si>
    <t xml:space="preserve">ставка за содержание тепловой мощности,
тыс. руб./Гкал/ч/мес</t>
  </si>
  <si>
    <t xml:space="preserve">дата начала</t>
  </si>
  <si>
    <t xml:space="preserve">дата окончания</t>
  </si>
  <si>
    <t xml:space="preserve">Добавить наименование тарифа</t>
  </si>
  <si>
    <t xml:space="preserve">Период действия</t>
  </si>
  <si>
    <t xml:space="preserve">Одноставочный тариф,
руб./куб.м</t>
  </si>
  <si>
    <t xml:space="preserve">В колонке «Параметр дифференциации тарифов» указывается вид теплоносителя.
Значение выбирается из перечня:
   - вода;
   - пар;
   - отборный пар, 1.2 – 2.5 кг/см2;
   - отборный пар, 2.5 – 7 кг/см2;
   - отборный пар, 7 – 13 кг/см2;
   - отборный пар, &gt; 13 кг/см2;
   - острый и редуцированный пар;
   - горячая вода в системе централизованного теплоснабжения на отопление;
   - горячая вода в системе централизованного теплоснабжения на горячее водоснабжение;
   - прочее.
При утверждении двухставочного тарифа тариф колонка "Одноставочный тариф" не заполняется.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</si>
  <si>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 xml:space="preserve">Указывается вид теплоносителя. 
Значение выбирается из перечня:
   - вода;
   - пар;
   - отборный пар, 1.2 – 2.5 кг/см2;
   - отборный пар, 2.5 – 7 кг/см2;
   - отборный пар, 7 – 13 кг/см2;
   - отборный пар, &gt; 13 кг/см2;
   - острый и редуцированный пар;
   - горячая вода в системе централизованного теплоснабжения на отопление;
   - горячая вода в системе централизованного теплоснабжения на горячее водоснабжение;
   - прочее.
В случае дифференциации тарифов по видам теплоносителя информация по ним указывается в отдельных строках.</t>
  </si>
  <si>
    <t xml:space="preserve">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
В случае дифференциации тарифов по поставщикам информация по ним указывается в отдельных строках.</t>
  </si>
  <si>
    <t xml:space="preserve">Добавить наименование поставщика</t>
  </si>
  <si>
    <t xml:space="preserve">Одноставочный тариф на горячую воду,
руб./куб. м</t>
  </si>
  <si>
    <t xml:space="preserve">Двухкомпонентный тариф на горячую воду</t>
  </si>
  <si>
    <t xml:space="preserve">Компонент на теплоноситель,
руб./куб. м</t>
  </si>
  <si>
    <t xml:space="preserve">Компонента на тепловую энергию</t>
  </si>
  <si>
    <t xml:space="preserve">Одноставочный компонент тарифа на тепловую энергию,
руб/Гкал</t>
  </si>
  <si>
    <t xml:space="preserve">Двухставочный компонент тарифа на тепловую энергию</t>
  </si>
  <si>
    <t>NUM_CONS</t>
  </si>
  <si>
    <t xml:space="preserve">ставка за потребление горячей воды,
руб./куб. м</t>
  </si>
  <si>
    <t xml:space="preserve">ставка за содержание тепловой мощности в компоненте на тепловую энергию,
тыс. руб./Гкал/ч в мес.</t>
  </si>
  <si>
    <t xml:space="preserve">В колонке "Параметр дифференциации тарифа/Заявитель" указывается наименование категории потребителей, к которой относится тариф.
Даты начала и окончания указываются в виде "ДД.ММ.ГГГГ".
В случае отсутствия даты окончания тарифа в колонке "Дата окончания" указывается "Нет".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</si>
  <si>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 xml:space="preserve">Добавить диапазон диаметров тепловых сетей</t>
  </si>
  <si>
    <t xml:space="preserve">Добавить тип прокладки тепловых сетей</t>
  </si>
  <si>
    <t xml:space="preserve">Добавить подключаемую тепловую нагрузку</t>
  </si>
  <si>
    <t xml:space="preserve">Добавить строку</t>
  </si>
  <si>
    <t>FLAG</t>
  </si>
  <si>
    <t>LOAD</t>
  </si>
  <si>
    <t>NETS</t>
  </si>
  <si>
    <t>DIAMETERS</t>
  </si>
  <si>
    <t xml:space="preserve">Параметр дифференциации тарифа/ заявитель/ наименование объекта/адрес</t>
  </si>
  <si>
    <t xml:space="preserve">Подключаемая тепловая нагрузка,
Гкал/ч</t>
  </si>
  <si>
    <t xml:space="preserve">Тип прокладки тепловых сетей</t>
  </si>
  <si>
    <t xml:space="preserve">Диаметр тепловых сетей,
мм</t>
  </si>
  <si>
    <t xml:space="preserve">Плата за подключение (технологическое присоединение)</t>
  </si>
  <si>
    <t xml:space="preserve">с НДС</t>
  </si>
  <si>
    <t xml:space="preserve">без НДС</t>
  </si>
  <si>
    <t xml:space="preserve">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
Даты начала и окончания указываются в виде "ДД.ММ.ГГГГ".
В случае отсутствия даты окончания тарифа в колонке "Дата окончания" указывается "Нет".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</si>
  <si>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 xml:space="preserve">Наименование централизованной системы холодного водоснабжения</t>
  </si>
  <si>
    <t xml:space="preserve">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
В случае дифференциации тарифов по централизованным системам холодного водоснабжения информация по ним указывается в отдельных строках.</t>
  </si>
  <si>
    <t xml:space="preserve">Наименование признака дифференциации</t>
  </si>
  <si>
    <t xml:space="preserve">Указывается наименование дополнительного признака дифференциации (при наличии).
Дифференциация тарифа осуществляется в соответствии с законодательством в сфере водоснабжения и водоотведения.
В случае дифференциации тарифов по дополнительным признакам информация по ним указывается в отдельных строках.</t>
  </si>
  <si>
    <t xml:space="preserve">Указывается группа потребителей при наличии дифференциации тарифа по группам потребителей.
Значение выбирается из перечня:
  - Организации-перепродавцы;
  - Бюджетные организации;
  - Население;
  - Прочие;
  - Без дифференциации.
В случае дифференциации тарифов по группам потребителей информация по ним указывается в отдельных строках.</t>
  </si>
  <si>
    <t xml:space="preserve">Добавить значение признака дифференциации</t>
  </si>
  <si>
    <t xml:space="preserve">В случае наличия нескольких значений признака дифференциации тарифов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</si>
  <si>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 xml:space="preserve">Добавить наименование признака дифференциации</t>
  </si>
  <si>
    <t xml:space="preserve">Одноставочный тариф</t>
  </si>
  <si>
    <t>NUM_FLAG_DIFF</t>
  </si>
  <si>
    <t>NUM_DATA_DIFF</t>
  </si>
  <si>
    <t xml:space="preserve">Одноставочный тариф,
руб./куб. м</t>
  </si>
  <si>
    <t xml:space="preserve">ставка платы за объем поданной воды,
руб./куб. м</t>
  </si>
  <si>
    <t xml:space="preserve">ставка платы за содержание мощности,
руб./куб. м в час</t>
  </si>
  <si>
    <t>pt_ist_te_9</t>
  </si>
  <si>
    <t>pt_ist_te_10</t>
  </si>
  <si>
    <t>pt_ist_te_11</t>
  </si>
  <si>
    <t>pt_ist_te_12</t>
  </si>
  <si>
    <t>Заявитель</t>
  </si>
  <si>
    <t xml:space="preserve">Наименование объекта, адрес</t>
  </si>
  <si>
    <t xml:space="preserve">В колонке "Параметр дифференциации тарифа/Заявитель" указывается наименование категории потребителей/заявителя, к которой относится тариф.
Даты начала и окончания указываются в виде "ДД.ММ.ГГГГ".
В случае отсутствия даты окончания тарифа в колонке "Дата окончания" указывается "Нет".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
В случае дифференциации тарифов по периодам действия тарифа информация по ним указывается в отдельных колонках.</t>
  </si>
  <si>
    <t xml:space="preserve">Добавить условия прокладки сетей</t>
  </si>
  <si>
    <t xml:space="preserve">Добавить протяженность водопроводной сети</t>
  </si>
  <si>
    <t xml:space="preserve">Добавить диапазон диаметров водопроводной сети</t>
  </si>
  <si>
    <t xml:space="preserve">Добавить подключаемую нагрузку</t>
  </si>
  <si>
    <t>DIAMETERS_2</t>
  </si>
  <si>
    <t xml:space="preserve">Параметр дифференциации тарифа/Заявитель/Наименование объекта/Адрес</t>
  </si>
  <si>
    <t xml:space="preserve">Подключаемая нагрузка водопроводной сети,
куб. м/сут</t>
  </si>
  <si>
    <t xml:space="preserve">Диапазон диаметров водопроводной сети,
мм</t>
  </si>
  <si>
    <t xml:space="preserve">Протяженность водопроводной сети,
км</t>
  </si>
  <si>
    <t xml:space="preserve">Условия прокладки сетей</t>
  </si>
  <si>
    <t xml:space="preserve">Ставка тарифа за подключаемую нагрузку водопроводной сети,
тыс. руб./куб. м в сутки</t>
  </si>
  <si>
    <t xml:space="preserve">Ставка тарифа за протяженность водопроводной сети диаметром d,
тыс. руб./км</t>
  </si>
  <si>
    <t xml:space="preserve">Срок действия тарифов</t>
  </si>
  <si>
    <t>pt_ist_te_13</t>
  </si>
  <si>
    <t xml:space="preserve">Наименование централизованной системы водоотведения</t>
  </si>
  <si>
    <t xml:space="preserve">Указывается наименование централизованной системы водоотведения при наличии дифференциации тарифа по централизованным системам водоотведения.
В случае дифференциации тарифов по централизованным системам водоотведения информация по ним указывается в отдельных строках.</t>
  </si>
  <si>
    <t xml:space="preserve">одноставочный тариф,
руб./куб. м</t>
  </si>
  <si>
    <t xml:space="preserve">ставка платы за объем 
принятых сточных вод,
руб./куб. м</t>
  </si>
  <si>
    <t>pt_ist_te_17</t>
  </si>
  <si>
    <t>pt_ist_te_18</t>
  </si>
  <si>
    <t xml:space="preserve">Добавить протяженность сети</t>
  </si>
  <si>
    <t xml:space="preserve">Добавить диапазон диаметров</t>
  </si>
  <si>
    <t xml:space="preserve">Подключаемая нагрузка канализационной сети,
куб. м/сут</t>
  </si>
  <si>
    <t xml:space="preserve">Диапазон диаметров канализационной сети,
мм</t>
  </si>
  <si>
    <t xml:space="preserve">Протяженность канализационной  сети,
км</t>
  </si>
  <si>
    <t xml:space="preserve">Ставка тарифа за подключаемую нагрузку канализационной сети,
тыс. руб./куб. м в сутки</t>
  </si>
  <si>
    <t xml:space="preserve">Ставка тарифа за протяженность канализационной сети диаметром d,
тыс. руб./км</t>
  </si>
  <si>
    <t>pt_ist_te_19</t>
  </si>
  <si>
    <t xml:space="preserve">Наименование централизованной системы горячего водоснабжения</t>
  </si>
  <si>
    <t xml:space="preserve">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
В случае дифференциации тарифов по централизованным системам горячего водоснабжения информация по ним указывается в отдельных строках.</t>
  </si>
  <si>
    <t xml:space="preserve">Одноставочный тариф, руб./куб. м</t>
  </si>
  <si>
    <t xml:space="preserve">Компонент на холодную воду</t>
  </si>
  <si>
    <t xml:space="preserve">Компонент на тепловую энергию</t>
  </si>
  <si>
    <t xml:space="preserve">Одноставочный, руб./куб.м</t>
  </si>
  <si>
    <t>Двухставочный тариф</t>
  </si>
  <si>
    <t xml:space="preserve">Одноставочный, руб./Гкал</t>
  </si>
  <si>
    <t xml:space="preserve">Ставка за содержание системы, руб./куб. м в час</t>
  </si>
  <si>
    <t xml:space="preserve">Ставка за объём поданной воды, руб./куб.м</t>
  </si>
  <si>
    <t xml:space="preserve">Ставка за тепловую энергию, руб./Гкал</t>
  </si>
  <si>
    <t xml:space="preserve">Ставка за содержание тепловой мощности, руб./Гкал в час в месяц</t>
  </si>
  <si>
    <t>pt_ist_te_14</t>
  </si>
  <si>
    <t>pt_ist_te_15</t>
  </si>
  <si>
    <t>pt_ist_te_16</t>
  </si>
  <si>
    <t>vt</t>
  </si>
  <si>
    <t>х</t>
  </si>
  <si>
    <t xml:space="preserve">В колонке «Наименование параметра» указывается вид приобретаемого топлива.
Если приобретается несколько видов топлива, то информация по каждому из них указывается отдельно.</t>
  </si>
  <si>
    <t xml:space="preserve">общая стоимость</t>
  </si>
  <si>
    <t>объём</t>
  </si>
  <si>
    <t xml:space="preserve">В колонке «Единица измерения» указываются единицы измерения объема приобретаемого топлива.
В колонке «Информация» указывается величина объема приобретаемого топлива.</t>
  </si>
  <si>
    <t xml:space="preserve">стоимость за единицу объёма</t>
  </si>
  <si>
    <t xml:space="preserve">тыс. руб.</t>
  </si>
  <si>
    <t xml:space="preserve">стоимость доставки</t>
  </si>
  <si>
    <t xml:space="preserve">способ приобретения</t>
  </si>
  <si>
    <t xml:space="preserve">Указываются прочие расходы, которые подлежат отнесению на регулируемые виды деятельности в соответствии с законодательством.</t>
  </si>
  <si>
    <t>Гкал/ч</t>
  </si>
  <si>
    <t xml:space="preserve">Указывается установленная тепловая мощность для источника тепловой энергии.</t>
  </si>
  <si>
    <t>%</t>
  </si>
  <si>
    <t xml:space="preserve">Указывается показатель использования по производственному объекту как процент объем перекачки по отношению к пиковому дню отчетного года.</t>
  </si>
  <si>
    <t xml:space="preserve">кг у. т./Гкал</t>
  </si>
  <si>
    <t xml:space="preserve">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</si>
  <si>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 xml:space="preserve">кг усл. топл./Гкал</t>
  </si>
  <si>
    <t xml:space="preserve">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</si>
  <si>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 xml:space="preserve">Территория оказания услуг</t>
  </si>
  <si>
    <t xml:space="preserve">Централизованная система</t>
  </si>
  <si>
    <t xml:space="preserve">Единица измерения</t>
  </si>
  <si>
    <t>p</t>
  </si>
  <si>
    <t>HEAT_P1</t>
  </si>
  <si>
    <t xml:space="preserve">Добавить вид топлива</t>
  </si>
  <si>
    <t>HOTVSNA_P1</t>
  </si>
  <si>
    <t>руб.</t>
  </si>
  <si>
    <t xml:space="preserve">тыс. кВт·ч</t>
  </si>
  <si>
    <t>HEAT_P6</t>
  </si>
  <si>
    <t>NOT_HOTVSNA</t>
  </si>
  <si>
    <t>отсутствует</t>
  </si>
  <si>
    <t>NOT_HEAT_P1</t>
  </si>
  <si>
    <t xml:space="preserve">Добавить прочие расходы</t>
  </si>
  <si>
    <t>HEAT_P2</t>
  </si>
  <si>
    <t>NOT_HEAT_P2</t>
  </si>
  <si>
    <t>COLDVSNA_P1</t>
  </si>
  <si>
    <t xml:space="preserve">тыс. куб. м</t>
  </si>
  <si>
    <t>HOTVSNA_P2</t>
  </si>
  <si>
    <t xml:space="preserve">тыс. Гкал</t>
  </si>
  <si>
    <t>VOTV_P1</t>
  </si>
  <si>
    <t>HEAT_P3</t>
  </si>
  <si>
    <t xml:space="preserve">Добавить источник тепловой энергии</t>
  </si>
  <si>
    <t xml:space="preserve">В случае наличия нескольких источников тепловой энергии установленная тепловая мощность по каждому из них указывается в отдельных строках.</t>
  </si>
  <si>
    <t>hyp</t>
  </si>
  <si>
    <t xml:space="preserve">тыс. Гкал/год</t>
  </si>
  <si>
    <t>человек</t>
  </si>
  <si>
    <t>HEAT_P4</t>
  </si>
  <si>
    <t>VSNA</t>
  </si>
  <si>
    <t xml:space="preserve">тыс. кВт·ч на тыс. куб. м</t>
  </si>
  <si>
    <t>COLDVSNA_P2</t>
  </si>
  <si>
    <t xml:space="preserve">Добавить производственный объект</t>
  </si>
  <si>
    <t xml:space="preserve">В случае наличия нескольких производственных объектов информация по каждому из них указывается в отдельной строке.</t>
  </si>
  <si>
    <t>HEAT_P5</t>
  </si>
  <si>
    <t xml:space="preserve">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</si>
  <si>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 xml:space="preserve">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</si>
  <si>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 xml:space="preserve">тыс. кВт.ч/Гкал</t>
  </si>
  <si>
    <t>куб.м/Гкал</t>
  </si>
  <si>
    <t xml:space="preserve">Способ приобретения</t>
  </si>
  <si>
    <t xml:space="preserve">Реквизиты договора</t>
  </si>
  <si>
    <t xml:space="preserve">Наименование товара/услуги</t>
  </si>
  <si>
    <t xml:space="preserve">Объем приобретенных товаров, услуг</t>
  </si>
  <si>
    <t xml:space="preserve">Единица измерения объема</t>
  </si>
  <si>
    <t xml:space="preserve">Стоимость, тыс. руб.</t>
  </si>
  <si>
    <t xml:space="preserve">Доля расходов, % (от суммы расходов по указанной статье)</t>
  </si>
  <si>
    <t>NOTSHOW</t>
  </si>
  <si>
    <t xml:space="preserve">Информация об объемах товаров и услуг, их стоимости и способах приобретения у организаций, в том числе:</t>
  </si>
  <si>
    <t xml:space="preserve">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</si>
  <si>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</si>
  <si>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 xml:space="preserve">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</si>
  <si>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 xml:space="preserve">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</si>
  <si>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</si>
  <si>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 xml:space="preserve">Установленная тепловая мощность объекта основных фондов</t>
  </si>
  <si>
    <t>ЧСЛ</t>
  </si>
  <si>
    <t>НОМЕР</t>
  </si>
  <si>
    <t xml:space="preserve">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</si>
  <si>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</si>
  <si>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</si>
  <si>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</si>
  <si>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</si>
  <si>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</si>
  <si>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</si>
  <si>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 xml:space="preserve">Годовая бухгалтерская (финансовая) отчетность</t>
  </si>
  <si>
    <t>СТР</t>
  </si>
  <si>
    <t xml:space="preserve">Не определено</t>
  </si>
  <si>
    <t xml:space="preserve">Годовая бухгалтерская (финансовая) отчетность, включая бухгалтерский баланс и приложения к нему</t>
  </si>
  <si>
    <t>p3</t>
  </si>
  <si>
    <t xml:space="preserve">Указывается ссылка на документ, предварительно загруженный в хранилище файлов ФГИС ЕИАС.</t>
  </si>
  <si>
    <t>L.HEAT.POWER</t>
  </si>
  <si>
    <t xml:space="preserve">Установленная тепловая мощность объектов основных фондов</t>
  </si>
  <si>
    <t xml:space="preserve">Установленная тепловая мощность объектов основных фондов, используемых для теплоснабжения, в том числе по каждому источнику тепловой энергии</t>
  </si>
  <si>
    <t xml:space="preserve">Указывается суммарная установленная тепловая мощность объектов основных фондов, используемых для осуществления теплоснабжения.</t>
  </si>
  <si>
    <t>2.0</t>
  </si>
  <si>
    <t>L.HEAT.LOAD</t>
  </si>
  <si>
    <t xml:space="preserve">Тепловая нагрузка по договорам теплоснабжения</t>
  </si>
  <si>
    <t xml:space="preserve">Информация раскрывается только единой теплоснабжающей организацией в ценовых зонах теплоснабжения.</t>
  </si>
  <si>
    <t>L.VOLUME.ENERGY.PRODUCED</t>
  </si>
  <si>
    <t xml:space="preserve">Объем вырабатываемой тепловой энергии</t>
  </si>
  <si>
    <t xml:space="preserve">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</si>
  <si>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</si>
  <si>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 xml:space="preserve">Объем приобретаемой тепловой энергии</t>
  </si>
  <si>
    <t xml:space="preserve">Объем приобретаемой единой теплоснабжающей организацией в ценовых зонах теплоснабжения тепловой энергии</t>
  </si>
  <si>
    <t>L.VOLUME.ENERGY.RELEASED</t>
  </si>
  <si>
    <t xml:space="preserve">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</si>
  <si>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</si>
  <si>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 xml:space="preserve">Указывается общий объем тепловой энергии, отпускаемой потребителям.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</si>
  <si>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</si>
  <si>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</si>
  <si>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</si>
  <si>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</si>
  <si>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</si>
  <si>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</si>
  <si>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</si>
  <si>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</si>
  <si>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</si>
  <si>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 xml:space="preserve">Объем тепловой энергии по нормативам потребления</t>
  </si>
  <si>
    <t>6.3</t>
  </si>
  <si>
    <t xml:space="preserve">по нормативам потребления коммунальных услуг и нормативам потребления коммунальных ресурсов</t>
  </si>
  <si>
    <t>L.VOLUME.LOSSES.PLAN</t>
  </si>
  <si>
    <t xml:space="preserve">Плановый объем потерь при передаче тепловой энергии</t>
  </si>
  <si>
    <t xml:space="preserve">тыс. Гкал/год </t>
  </si>
  <si>
    <t>L.VOLUME.LOSSES.FACT</t>
  </si>
  <si>
    <t xml:space="preserve">Фактический объем потерь при передаче тепловой энергии</t>
  </si>
  <si>
    <t>L.UNIT.COST.PLAN</t>
  </si>
  <si>
    <t xml:space="preserve">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</si>
  <si>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</si>
  <si>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</si>
  <si>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 xml:space="preserve">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</si>
  <si>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</si>
  <si>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</si>
  <si>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 xml:space="preserve">Среднесписочная численность основного производственного персонала</t>
  </si>
  <si>
    <t xml:space="preserve">L.ADMINISTRATIVE STAFF</t>
  </si>
  <si>
    <t xml:space="preserve">Среднесписочная численность административно-управленческого персонала</t>
  </si>
  <si>
    <t>L.UNIT.COST.EE</t>
  </si>
  <si>
    <t xml:space="preserve">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</si>
  <si>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</si>
  <si>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</si>
  <si>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 xml:space="preserve">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</si>
  <si>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</si>
  <si>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 xml:space="preserve">куб. м/Гкал</t>
  </si>
  <si>
    <t>L.CONDITION.INFO</t>
  </si>
  <si>
    <t xml:space="preserve">Информация о показателях технико-экономического состояния систем теплоснабжения</t>
  </si>
  <si>
    <t xml:space="preserve">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</si>
  <si>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</si>
  <si>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 xml:space="preserve">Прочие стандарты</t>
  </si>
  <si>
    <t>×</t>
  </si>
  <si>
    <t xml:space="preserve">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</si>
  <si>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</si>
  <si>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 xml:space="preserve">Стандарты качества обслуживания</t>
  </si>
  <si>
    <t xml:space="preserve">Стандарты качества обслуживания единой теплоснабжающей организацией в ценовых зонах теплоснабжения потребителей тепловой энергии</t>
  </si>
  <si>
    <t xml:space="preserve">Информация включает сведения о месте их опубликования.</t>
  </si>
  <si>
    <t>L.STANDARDS.INTERACTION</t>
  </si>
  <si>
    <t xml:space="preserve">Стандарты взаимодействия</t>
  </si>
  <si>
    <t xml:space="preserve">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</si>
  <si>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</si>
  <si>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 xml:space="preserve">Информация о выполнении соглашения</t>
  </si>
  <si>
    <t xml:space="preserve">Информация о выполнении соглашения об исполнении схемы теплоснабжения</t>
  </si>
  <si>
    <t xml:space="preserve">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</si>
  <si>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 xml:space="preserve">Добавить стандарты</t>
  </si>
  <si>
    <t xml:space="preserve">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</si>
  <si>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 xml:space="preserve">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</si>
  <si>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 xml:space="preserve">Выручка от регулируемого вида деятельности</t>
  </si>
  <si>
    <t xml:space="preserve">Указывается выручка от регулируемого вида деятельности </t>
  </si>
  <si>
    <t xml:space="preserve">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</si>
  <si>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</si>
  <si>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</si>
  <si>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 xml:space="preserve">производственные расходы, в том числе:</t>
  </si>
  <si>
    <t xml:space="preserve">Указывается общая сумма производственных расходов.</t>
  </si>
  <si>
    <t>2.1.1</t>
  </si>
  <si>
    <t xml:space="preserve">расходы на оплату труда основного производственного персонала</t>
  </si>
  <si>
    <t xml:space="preserve">Указывается общая сумма расходов на оплату труда и страховых взносов производственного персонала.</t>
  </si>
  <si>
    <t>2.1.2</t>
  </si>
  <si>
    <t xml:space="preserve">страховые взносы на обязательное социальное страхование, выплачиваемые из фонда оплаты труда основного производственного персонала</t>
  </si>
  <si>
    <t xml:space="preserve">ремонтные расходы, включая:</t>
  </si>
  <si>
    <t xml:space="preserve">Указывается общая сумма ремонтных расходов</t>
  </si>
  <si>
    <t>2.2.1</t>
  </si>
  <si>
    <t xml:space="preserve">расходы на текущий ремонт</t>
  </si>
  <si>
    <t>2.2.2</t>
  </si>
  <si>
    <t xml:space="preserve">расходы на капитальный ремонт</t>
  </si>
  <si>
    <t xml:space="preserve">административные расходы, в том числе:</t>
  </si>
  <si>
    <t xml:space="preserve">Указывается общая сумма расходов на оплату труда и страховых взносов административно-управленческого персонала</t>
  </si>
  <si>
    <t>2.3.1</t>
  </si>
  <si>
    <t xml:space="preserve">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</si>
  <si>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</si>
  <si>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</si>
  <si>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</si>
  <si>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 xml:space="preserve">расходы на амортизацию основных средств и нематериальных активов:</t>
  </si>
  <si>
    <t xml:space="preserve">Указывается общая сумма расходов на амортизацию основных средства и нематериальных активов</t>
  </si>
  <si>
    <t>2.4.1</t>
  </si>
  <si>
    <t xml:space="preserve">расходы на амортизацию основных средств</t>
  </si>
  <si>
    <t>2.4.2</t>
  </si>
  <si>
    <t xml:space="preserve">расходы на амортизацию нематериальных активов</t>
  </si>
  <si>
    <t>2.5</t>
  </si>
  <si>
    <t xml:space="preserve">расходы на арендную плату</t>
  </si>
  <si>
    <t>2.6</t>
  </si>
  <si>
    <t xml:space="preserve">расходы на лизинговые платежи</t>
  </si>
  <si>
    <t>2.7</t>
  </si>
  <si>
    <t xml:space="preserve"> расходы на концессионную плату</t>
  </si>
  <si>
    <t>2.8</t>
  </si>
  <si>
    <t xml:space="preserve">прочие расходы, которые подлежат отнесению на регулируемые виды деятельности, в том числе:</t>
  </si>
  <si>
    <t xml:space="preserve">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</si>
  <si>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 xml:space="preserve">В случае наличия нескольких видов прочих расходов информация указывается в отдельных строках.</t>
  </si>
  <si>
    <t>2.9</t>
  </si>
  <si>
    <t xml:space="preserve">расходы на транспортирование твёрдых коммунальных отходов</t>
  </si>
  <si>
    <t xml:space="preserve">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</si>
  <si>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 xml:space="preserve">Чистая прибыль с разбивкой по регулируемым видам деятельности, в том числе:</t>
  </si>
  <si>
    <t xml:space="preserve">Указывается общая сумма чистой прибыли, полученной от регулируемого вида деятельности.</t>
  </si>
  <si>
    <t xml:space="preserve">размер расходования чистой прибыли на финансирование мероприятий, предусмотренных инвестиционной программой</t>
  </si>
  <si>
    <t xml:space="preserve">Изменение стоимости основных фондов, в том числе:</t>
  </si>
  <si>
    <t xml:space="preserve">Указывается общее изменение стоимости основных фондов.</t>
  </si>
  <si>
    <t>4.1</t>
  </si>
  <si>
    <t xml:space="preserve">изменение стоимости основных фондов за счет их ввода в эксплуатацию (вывода из эксплуатации)</t>
  </si>
  <si>
    <t xml:space="preserve">Указываются общее изменение стоимости основных фондов за счет их ввода в эксплуатацию (вывода из эксплуатации).</t>
  </si>
  <si>
    <t>4.1.1</t>
  </si>
  <si>
    <t xml:space="preserve">изменение стоимости основных фондов за счет их ввода в эксплуатацию</t>
  </si>
  <si>
    <t xml:space="preserve">Указываются изменение стоимости основных фондов за счет их ввода в эксплуатацию.</t>
  </si>
  <si>
    <t>4.1.2</t>
  </si>
  <si>
    <t xml:space="preserve">изменение стоимости основных фондов за счет их вывода в эксплуатацию</t>
  </si>
  <si>
    <t xml:space="preserve">Указываются изменение стоимости основных фондов за счет их вывода из эксплуатации.</t>
  </si>
  <si>
    <t>4.1.3</t>
  </si>
  <si>
    <t xml:space="preserve">изменение стоимости основных фондов за счет их переоценки</t>
  </si>
  <si>
    <t xml:space="preserve">Указываются изменение стоимости основных фондов за счет их переоценки.</t>
  </si>
  <si>
    <t>-</t>
  </si>
  <si>
    <t xml:space="preserve">Указывается ссылка на документ, предварительно загруженный в хранилище файлов ФГИС ЕИАС.
Раскрывается организацией, выручка от регулируемых видов деятельности которой превышает 80 процентов совокупной выручки за отчетный год.</t>
  </si>
  <si>
    <t xml:space="preserve">Объём принятых твёрдых коммунальных отходов</t>
  </si>
  <si>
    <t xml:space="preserve">тыс. куб. м
в год</t>
  </si>
  <si>
    <t xml:space="preserve">Указание объема принятых твёрдых коммунальных отходов необязательно при указании массы принятых твёрдых коммунальных отходов.</t>
  </si>
  <si>
    <t xml:space="preserve">Масса принятых твёрдых коммунальных отходов</t>
  </si>
  <si>
    <t xml:space="preserve">тонн в год</t>
  </si>
  <si>
    <t xml:space="preserve">Указание массы принятых твёрдых коммунальных отходов необязательно при указании объёма принятых твёрдых коммунальных отходов.</t>
  </si>
  <si>
    <t xml:space="preserve">Среднесписочная численность основного персонала</t>
  </si>
  <si>
    <t xml:space="preserve">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</si>
  <si>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 xml:space="preserve">Выручка от деятельности</t>
  </si>
  <si>
    <t xml:space="preserve">Указывается выручка от деятельности</t>
  </si>
  <si>
    <t xml:space="preserve">Себестоимость оказываемых услуг по регулируемому виду деятельности, включая:</t>
  </si>
  <si>
    <t xml:space="preserve">Указывается суммарная себестоимость</t>
  </si>
  <si>
    <t xml:space="preserve">расходы на оплату труда и страховые взносы на обязательное социальное страхование, выплачиваемые из фонда оплаты труда</t>
  </si>
  <si>
    <t xml:space="preserve">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</si>
  <si>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</si>
  <si>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</si>
  <si>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 xml:space="preserve">расходы на топливо и горюче-смазочные материалы для транспортных средств, используемых для транспортирования твёрдых коммунальных отходов</t>
  </si>
  <si>
    <t xml:space="preserve">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</si>
  <si>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 xml:space="preserve">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</si>
  <si>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 xml:space="preserve">расходы на амортизацию транспортных средств, используемых для транспортирования твёрдых коммунальных отходов</t>
  </si>
  <si>
    <t xml:space="preserve">расходы на арендную плату и лизинговые платежи в отношении транспортных средств, используемых для транспортирования твёрдых коммунальных отходов</t>
  </si>
  <si>
    <t xml:space="preserve">административные расходы (за исключением расходов, предусмотренных пунктами 2.1 и 2.8 данной формы)</t>
  </si>
  <si>
    <t xml:space="preserve">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</si>
  <si>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 xml:space="preserve">прочие расходы</t>
  </si>
  <si>
    <t xml:space="preserve">Чистая прибыль в отношении деятельности по транспортированию твёрдых коммунальных отходов</t>
  </si>
  <si>
    <t xml:space="preserve">Изменение стоимости основных фондов (транспортных средств, используемых для транспортирования твёрдых коммунальных отходов), в том числе:</t>
  </si>
  <si>
    <t xml:space="preserve">Указывается общее изменение стоимости основных фондов за счет их ввода в эксплуатацию (вывода из эксплуатации), переоценки.</t>
  </si>
  <si>
    <t xml:space="preserve">Указывается изменение стоимости основных фондов за счет их ввода в эксплуатацию.</t>
  </si>
  <si>
    <t>4.2</t>
  </si>
  <si>
    <t xml:space="preserve">изменение стоимости основных фондов за счет их вывода из эксплуатации</t>
  </si>
  <si>
    <t xml:space="preserve">Указывается изменение стоимости основных фондов за счет их вывода из эксплуатации.</t>
  </si>
  <si>
    <t>4.3</t>
  </si>
  <si>
    <t xml:space="preserve">Указывается изменение стоимости основных фондов за счет их переоценки.</t>
  </si>
  <si>
    <t xml:space="preserve">Указывается ссылка на документ, предварительно загруженный в хранилище файлов ФГИС ЕИАС.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</si>
  <si>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 xml:space="preserve">Объём принятых для транспортирования твёрдых коммунальных отходов</t>
  </si>
  <si>
    <t xml:space="preserve">Масса принятых для транспортирования твёрдых коммунальных отходов</t>
  </si>
  <si>
    <t>&lt;1&gt;</t>
  </si>
  <si>
    <t xml:space="preserve">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</si>
  <si>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 xml:space="preserve">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</si>
  <si>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 xml:space="preserve">Информация, подлежащая раскрытию</t>
  </si>
  <si>
    <t>HEAT</t>
  </si>
  <si>
    <t xml:space="preserve">Количество аварий на тепловых сетях</t>
  </si>
  <si>
    <t xml:space="preserve">ед. на км</t>
  </si>
  <si>
    <t xml:space="preserve">Указывается количество любых нарушений на тепловых сетях в расчете на один километр трубопровода.</t>
  </si>
  <si>
    <t xml:space="preserve">Количество аварий на источниках тепловой энергии</t>
  </si>
  <si>
    <t xml:space="preserve">ед. на источник</t>
  </si>
  <si>
    <t xml:space="preserve">Указывается количество любых нарушений на источниках тепловой энергии</t>
  </si>
  <si>
    <t xml:space="preserve">Сведения о несоблюдении значений параметров качества теплоснабжения и (или) параметров, отражающих допустимые перерывы в теплоснабжении</t>
  </si>
  <si>
    <t xml:space="preserve">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</si>
  <si>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 xml:space="preserve">количество составленных актов, подтверждающих факт превышения разрешенных отклонений значений параметров</t>
  </si>
  <si>
    <t>шт.</t>
  </si>
  <si>
    <t xml:space="preserve">средняя продолжительность устранения превышения разрешенных отклонений значений параметров</t>
  </si>
  <si>
    <t>дн.</t>
  </si>
  <si>
    <t xml:space="preserve">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</si>
  <si>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 xml:space="preserve">Показатели надежности и энергетической эффективности, установленные в соответствии с законодательством Российской Федерации</t>
  </si>
  <si>
    <t xml:space="preserve">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
В случае, если показатели не утверждены в колонке «Информация» указывается «Не утверждены».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</si>
  <si>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 xml:space="preserve">Плановые показатели надежности объектов теплоснабжения</t>
  </si>
  <si>
    <t xml:space="preserve">количество прекращений подачи тепловой энергии, теплоносителя в результате технологических нарушений на тепловых сетях на 1 км тепловых сетей</t>
  </si>
  <si>
    <t xml:space="preserve">ед.в год/км</t>
  </si>
  <si>
    <t xml:space="preserve">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</si>
  <si>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</si>
  <si>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</si>
  <si>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</si>
  <si>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 xml:space="preserve">удельный расход топлива на производство единицы тепловой энергии, отпускаемой с коллекторов источников тепловой энергии</t>
  </si>
  <si>
    <t>т.у.т./Гкал</t>
  </si>
  <si>
    <t>4.2.2</t>
  </si>
  <si>
    <t xml:space="preserve">отношение величины технологических потерь к материальной характеристике тепловой сети</t>
  </si>
  <si>
    <t>4.2.1.1</t>
  </si>
  <si>
    <t xml:space="preserve">при передаче тепловой энергии</t>
  </si>
  <si>
    <t>Гкал/кв.м</t>
  </si>
  <si>
    <t>4.2.1.2</t>
  </si>
  <si>
    <t xml:space="preserve">при передаче теплоносителя</t>
  </si>
  <si>
    <t>тонн/кв.м</t>
  </si>
  <si>
    <t>4.2.3</t>
  </si>
  <si>
    <t xml:space="preserve">величина технологических потерь</t>
  </si>
  <si>
    <t>4.2.3.1</t>
  </si>
  <si>
    <t>Гкал/год</t>
  </si>
  <si>
    <t>4.2.3.2</t>
  </si>
  <si>
    <t xml:space="preserve">при передаче теплоносителя по тепловым сетям</t>
  </si>
  <si>
    <t>тонн/год</t>
  </si>
  <si>
    <t xml:space="preserve">Доля исполненных в срок договоров о подключении (технологическом присоединении) к системе теплоснабжения</t>
  </si>
  <si>
    <t xml:space="preserve">Указывается процент от общего количества заключенных договоров о подключении (технологическом присоединении) к системе теплоснабжения.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</si>
  <si>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Средняя продолжительность рассмотрения заявок на заключение договоров о подключении (технологическом присоединении) к системе теплоснабжения</t>
  </si>
  <si>
    <t xml:space="preserve">Единой теплоснабжающей организацией информация раскрывается в зоне ее деятельности в ценовых зонах теплоснабжения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</si>
  <si>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</si>
  <si>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 xml:space="preserve">характеристиках товаров и услуг, поставляемых и оказываемых этими организациями в ценовых зонах теплоснабжения.</t>
  </si>
  <si>
    <t>COLDVSNA</t>
  </si>
  <si>
    <t xml:space="preserve">Количество аварий на системах холодного водоснабжения</t>
  </si>
  <si>
    <t xml:space="preserve">Указывается количество любых нарушений функционирования системы холодного водоснабжения в расчете на один километр трубопровода.</t>
  </si>
  <si>
    <t xml:space="preserve">Количество случаев временного ограничения холодного водоснабжения по графику</t>
  </si>
  <si>
    <t xml:space="preserve">количество случаев ограничения холодного водоснабжения по графику для ограничений сроком менее 24 часов в сутки</t>
  </si>
  <si>
    <t>ед.</t>
  </si>
  <si>
    <t xml:space="preserve">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</si>
  <si>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 xml:space="preserve">срок действия ограничений холодного водоснабжения по графику для ограничений сроком менее 24 часов в сутки</t>
  </si>
  <si>
    <t>ч</t>
  </si>
  <si>
    <t xml:space="preserve">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</si>
  <si>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 xml:space="preserve">Доля потребителей, в отношении которых ограничено холодное водоснабжение:</t>
  </si>
  <si>
    <t xml:space="preserve">доля потребителей, в отношении которых ограничено холодное водоснабжение сроком менее 24 часов в сутки</t>
  </si>
  <si>
    <t xml:space="preserve">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</si>
  <si>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 xml:space="preserve">доля потребителей, в отношении которых ограничено холодное водоснабжение сроком 24 часа в сутки и более</t>
  </si>
  <si>
    <t xml:space="preserve">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</si>
  <si>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 xml:space="preserve">Общее количество отобранных проб питьевой воды по следующим показателям</t>
  </si>
  <si>
    <t>мутность</t>
  </si>
  <si>
    <t>цветность</t>
  </si>
  <si>
    <t xml:space="preserve">хлор остаточный общий, в том числе:</t>
  </si>
  <si>
    <t>4.3.1</t>
  </si>
  <si>
    <t xml:space="preserve">хлор остаточный связанный</t>
  </si>
  <si>
    <t>4.3.2</t>
  </si>
  <si>
    <t xml:space="preserve">хлор остаточный свободный</t>
  </si>
  <si>
    <t>4.4</t>
  </si>
  <si>
    <t xml:space="preserve">общие колиформные бактерии</t>
  </si>
  <si>
    <t>4.5</t>
  </si>
  <si>
    <t xml:space="preserve">термотолерантные колиформные бактерии</t>
  </si>
  <si>
    <t xml:space="preserve">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</si>
  <si>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</si>
  <si>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</si>
  <si>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</si>
  <si>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</si>
  <si>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</si>
  <si>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</si>
  <si>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 xml:space="preserve">Доля исполненных в срок договоров о подключении (технологическом присоединении) к централизованной системе холодного водоснабжения</t>
  </si>
  <si>
    <t xml:space="preserve">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</si>
  <si>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 xml:space="preserve">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</si>
  <si>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 xml:space="preserve">О результатах технического обследования централизованных систем холодного водоснабжения, в том числе:</t>
  </si>
  <si>
    <t>8.1</t>
  </si>
  <si>
    <t xml:space="preserve">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</si>
  <si>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</si>
  <si>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 xml:space="preserve">Количество аварий на системах горячего водоснабжения</t>
  </si>
  <si>
    <t xml:space="preserve">Указывается количество нарушений функционирования системы горячего водоснабжения в расчете на один километр трубопровода.</t>
  </si>
  <si>
    <t xml:space="preserve">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</si>
  <si>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 xml:space="preserve">количество часов (суммарно за календарный год), превышающих установленную продолжительность временного прекращения горячего водоснабжения</t>
  </si>
  <si>
    <t xml:space="preserve">количество часов (суммарно за календарный год), превышающих установленную продолжительность ограничения горячего водоснабжения</t>
  </si>
  <si>
    <t xml:space="preserve">доля потребителей, в отношении которых было осуществлено временное прекращение горячего водоснабжения</t>
  </si>
  <si>
    <t xml:space="preserve">доля потребителей, в отношении которых было осуществлено ограничение горячего водоснабжения</t>
  </si>
  <si>
    <t xml:space="preserve">Количество часов (суммарно за календарный год) отклонения показателей температуры подачи горячей воды от нормативных значений в точке разбора</t>
  </si>
  <si>
    <t xml:space="preserve">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</si>
  <si>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 xml:space="preserve">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</si>
  <si>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 xml:space="preserve">О результатах технического обследования централизованных систем горячего водоснабжения, в том числе:</t>
  </si>
  <si>
    <t xml:space="preserve">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</si>
  <si>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</si>
  <si>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 xml:space="preserve">Показатели аварийности на канализационных сетях</t>
  </si>
  <si>
    <t xml:space="preserve">Указывается количество любых нарушений на канализационных сетях.</t>
  </si>
  <si>
    <t xml:space="preserve">Количество засоров на самотечных сетях</t>
  </si>
  <si>
    <t xml:space="preserve">Указывается количество засоров на самотечных сетях.</t>
  </si>
  <si>
    <t xml:space="preserve">Общее количество отобранных проб на сбросе очищенных (частично очищенных) сточных вод:</t>
  </si>
  <si>
    <t xml:space="preserve">Указывается суммарное количество проведенных проб на сбросе очищенных вод.</t>
  </si>
  <si>
    <t xml:space="preserve">взвешенные вещества</t>
  </si>
  <si>
    <t>БПК5</t>
  </si>
  <si>
    <t>аммоний-ион</t>
  </si>
  <si>
    <t>нитрит-анион</t>
  </si>
  <si>
    <t>3.5</t>
  </si>
  <si>
    <t xml:space="preserve">фосфаты (по Р)</t>
  </si>
  <si>
    <t>3.6</t>
  </si>
  <si>
    <t>нефтепродукты</t>
  </si>
  <si>
    <t>3.7</t>
  </si>
  <si>
    <t>микробиология</t>
  </si>
  <si>
    <t xml:space="preserve">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</si>
  <si>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 xml:space="preserve">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</si>
  <si>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</si>
  <si>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</si>
  <si>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 xml:space="preserve">Доля исполненных в срок договоров о подключении (технологическом присоединении) к централизованной системе водоотведения</t>
  </si>
  <si>
    <t xml:space="preserve">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</si>
  <si>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 xml:space="preserve">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</si>
  <si>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 xml:space="preserve">О результатах технического обследования централизованных систем водоотведения, в том числе:</t>
  </si>
  <si>
    <t>7.1</t>
  </si>
  <si>
    <t xml:space="preserve">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</si>
  <si>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 xml:space="preserve">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</si>
  <si>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 xml:space="preserve">О показателях эффективности удаления загрязняющих веществ очистными сооружениями регулируемых организаций</t>
  </si>
  <si>
    <t xml:space="preserve">Наименование выведенного источника тепловой энергии</t>
  </si>
  <si>
    <t xml:space="preserve">В случае вывода из эксплуатации нескольких источников тепловой энергии информация по каждому из них указывается в отдельно.</t>
  </si>
  <si>
    <t xml:space="preserve">Дата вывода</t>
  </si>
  <si>
    <t xml:space="preserve">Дата вывода указывается в виде «ДД.ММ.ГГГГ».</t>
  </si>
  <si>
    <t xml:space="preserve">Наименование тепловой сети</t>
  </si>
  <si>
    <t xml:space="preserve">В случае вывода из эксплуатации нескольких тепловых сетей информация по каждой из них указывается в отдельно.</t>
  </si>
  <si>
    <t xml:space="preserve">Описание ограничения подачи тепловой энергии потребителям</t>
  </si>
  <si>
    <t xml:space="preserve">Дата начала ограничения</t>
  </si>
  <si>
    <t xml:space="preserve">Дата начала ограничения указывается в виде «ДД.ММ.ГГГГ».</t>
  </si>
  <si>
    <t xml:space="preserve">Дата завершения ограничения</t>
  </si>
  <si>
    <t xml:space="preserve">Дата завершения ограничения указывается в виде «ДД.ММ.ГГГГ».</t>
  </si>
  <si>
    <t xml:space="preserve">Описание прекращения режима потребления</t>
  </si>
  <si>
    <t xml:space="preserve">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</si>
  <si>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 xml:space="preserve">Дата прекращения</t>
  </si>
  <si>
    <t xml:space="preserve">Дата прекращения указывается в виде «ДД.ММ.ГГГГ».</t>
  </si>
  <si>
    <t>1.0</t>
  </si>
  <si>
    <t xml:space="preserve">Сведения о выводе источников тепловой энергии из эксплуатации</t>
  </si>
  <si>
    <t xml:space="preserve">Сведения о выводе тепловых сетей из эксплуатации</t>
  </si>
  <si>
    <t xml:space="preserve">Добавить тепловую сеть</t>
  </si>
  <si>
    <t>3.0</t>
  </si>
  <si>
    <t xml:space="preserve">Сведения об основаниях ограничения подачи тепловой энергии</t>
  </si>
  <si>
    <t>Осуществлялось</t>
  </si>
  <si>
    <t xml:space="preserve">В случае, если ограничения подачи тепловой энергии тепловой энергии не происходили, в колонке «Информация» указывается «Не осуществлялось».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
В неоднократных ограничений подачи потребления тепловой энергии потребителями информация по каждому случаю указывается отдельно.</t>
  </si>
  <si>
    <t xml:space="preserve">Добавить ограничение подачи ТЭ</t>
  </si>
  <si>
    <t>4.0</t>
  </si>
  <si>
    <t xml:space="preserve">Сведения об основаниях прекращения подачи тепловой энергии потребителям</t>
  </si>
  <si>
    <t xml:space="preserve">В случае, если прекращения подачи тепловой энергии потребителям не происходили, в колонке «Информация» указывается «Не осуществлялось».
Указывается информация о случаях прекращения подачи тепловой энергии потребителям, предусмотренных законодательством в сфере теплоснабжения.
В случае нескольких прекращений подачи тепловой энергии потребителям информация по каждому случаю указывается отдельно.</t>
  </si>
  <si>
    <t xml:space="preserve">Добавить прекращение подачи ТЭ</t>
  </si>
  <si>
    <t xml:space="preserve">Наименование ИП</t>
  </si>
  <si>
    <t xml:space="preserve">Инвестиционная программа разбивается по мероприятиям и (или) группам мероприятий</t>
  </si>
  <si>
    <t xml:space="preserve">Дата утверждения инвестиционной программы</t>
  </si>
  <si>
    <t xml:space="preserve">Дата изменения инвестиционной программы</t>
  </si>
  <si>
    <t xml:space="preserve">Цель инвестиционной программы</t>
  </si>
  <si>
    <t xml:space="preserve">Наименование исполнительного органа субъекта Российской Федерации (органа местного самоуправления), утвердившего инвестиционную программу</t>
  </si>
  <si>
    <t xml:space="preserve">Наименование органа местного самоуправления, согласовавшего инвестиционную программу</t>
  </si>
  <si>
    <t xml:space="preserve">Период реализации инвестиционной программы</t>
  </si>
  <si>
    <t xml:space="preserve">Решение уполномоченного органа об утверждении инвестиционной программы</t>
  </si>
  <si>
    <t xml:space="preserve">Решение уполномоченного органа о внесении изменений, корректировке инвестиционной программы</t>
  </si>
  <si>
    <t xml:space="preserve">О наличии в инвестиционной программе мероприятий, включенных в концессионное(-ые) соглашение(-я)</t>
  </si>
  <si>
    <t xml:space="preserve">Дата начала</t>
  </si>
  <si>
    <t xml:space="preserve">Дата окончания</t>
  </si>
  <si>
    <t xml:space="preserve">Период реализации</t>
  </si>
  <si>
    <t>Вид</t>
  </si>
  <si>
    <t>Номер</t>
  </si>
  <si>
    <t xml:space="preserve">Дата принятия</t>
  </si>
  <si>
    <t>Тип</t>
  </si>
  <si>
    <t>Наличие</t>
  </si>
  <si>
    <t xml:space="preserve">Реквизиты концессионного(-ых) соглашения(-ий)</t>
  </si>
  <si>
    <t>ip_1</t>
  </si>
  <si>
    <t xml:space="preserve">Инвестиционная программа № 103/25 от 07.07.2025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Биробиджан на 2025-2030 годы</t>
  </si>
  <si>
    <t xml:space="preserve">уменьшение удельных затрат (повышение КПД); автоматизация (с уменьшением штата); уменьшение издержек на производство; снижение аварийности; улучшение качества; повышение надёжности и энергетической эффективности; прочее</t>
  </si>
  <si>
    <t xml:space="preserve">Департамент строительства и жилищно-коммунального хозяйства правительства Еврейской автономной области
</t>
  </si>
  <si>
    <t xml:space="preserve">                   -</t>
  </si>
  <si>
    <t>07.07.2025</t>
  </si>
  <si>
    <t>31.12.2030</t>
  </si>
  <si>
    <t xml:space="preserve">"Об утверждении инвестиционной программы АО "ДГК" в сфере теплоснабжения на территории Еврейской автономной области на 2025-2030 годы"</t>
  </si>
  <si>
    <t>приказ</t>
  </si>
  <si>
    <t>103/25</t>
  </si>
  <si>
    <t>ip_5</t>
  </si>
  <si>
    <t xml:space="preserve">Добавить реквизиты</t>
  </si>
  <si>
    <t xml:space="preserve">Добавить инвестиционную программу</t>
  </si>
  <si>
    <t xml:space="preserve">Год реализации инвестиционной программы</t>
  </si>
  <si>
    <t xml:space="preserve">№ п/п
мероприятия</t>
  </si>
  <si>
    <t xml:space="preserve">Группа, к которой относятся мероприятия инвестиционной программы</t>
  </si>
  <si>
    <t>Мероприятие</t>
  </si>
  <si>
    <t xml:space="preserve">№ источника</t>
  </si>
  <si>
    <t xml:space="preserve">О плановых и фактических размерах и источниках финансирования предусмотренных в утвержденной инвестиционной программе с распределением по годам</t>
  </si>
  <si>
    <t xml:space="preserve">Плановый срок реализации мероприятия и (или) группы мероприятий с распределением по годам</t>
  </si>
  <si>
    <t xml:space="preserve">Плановый срок ввода в эксплуатацию/выполнения мероприятия и (или) группы мероприятий</t>
  </si>
  <si>
    <t xml:space="preserve">Фактический срок реализации мероприятия и (или) группы мероприятий с распределением по годам</t>
  </si>
  <si>
    <t xml:space="preserve">Фактический срок ввода в эксплуатацию/выполнения мероприятия и (или) группы мероприятий</t>
  </si>
  <si>
    <t xml:space="preserve">Наименование мероприятия</t>
  </si>
  <si>
    <t xml:space="preserve">Входит в концессионное соглашение</t>
  </si>
  <si>
    <t xml:space="preserve">Объект инфраструктуры</t>
  </si>
  <si>
    <t>Признак</t>
  </si>
  <si>
    <t xml:space="preserve">Номер концессионного соглашения</t>
  </si>
  <si>
    <t xml:space="preserve">№ объекта</t>
  </si>
  <si>
    <t xml:space="preserve">Наименование объекта</t>
  </si>
  <si>
    <t xml:space="preserve">Тип объекта</t>
  </si>
  <si>
    <t xml:space="preserve">Адрес объекта</t>
  </si>
  <si>
    <t>План</t>
  </si>
  <si>
    <t>Факт</t>
  </si>
  <si>
    <t xml:space="preserve">в том числе</t>
  </si>
  <si>
    <t xml:space="preserve">Населенный пункт</t>
  </si>
  <si>
    <t xml:space="preserve">улица, проезд, проспект, переулок, и т.п.</t>
  </si>
  <si>
    <t xml:space="preserve">дом, корпус, строение</t>
  </si>
  <si>
    <t xml:space="preserve">Источник финансирования</t>
  </si>
  <si>
    <t xml:space="preserve">Размер финансирования</t>
  </si>
  <si>
    <t>месяц</t>
  </si>
  <si>
    <t>год</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</si>
  <si>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</si>
  <si>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Техперевооружение комплекса инженерно-технических средств физической защиты Биробиджанской ТЭЦ F_505-ХТСКб-1
</t>
  </si>
  <si>
    <t>Декабрь</t>
  </si>
  <si>
    <t>2030</t>
  </si>
  <si>
    <t xml:space="preserve">     Амортизационные отчисления в результате переоценки основных средств и нематериальных активов</t>
  </si>
  <si>
    <t xml:space="preserve">Добавить источник финансирования</t>
  </si>
  <si>
    <t xml:space="preserve">Добавить объект инфраструктуры</t>
  </si>
  <si>
    <t xml:space="preserve">Техническое перевооружение системы контроля параметров работы системы централизованного теплоснабжения (технический учет) в г. Биробиджан СП Биробиджанская ТЭЦ N_505-БирТЭЦ-5
</t>
  </si>
  <si>
    <t>2028</t>
  </si>
  <si>
    <t xml:space="preserve">  Прочие собственные средства</t>
  </si>
  <si>
    <t xml:space="preserve">Модернизация системы безопасности мазутонасосной котельного цеха (58 м3/ч).  (СП "БТЭЦ") I_505-ХТСКб-16</t>
  </si>
  <si>
    <t>2029</t>
  </si>
  <si>
    <t xml:space="preserve">Техническое перевооружение РОУ (редукционно-охладительная установка) (СП БТЭЦ) F_505-ХТСКб-2</t>
  </si>
  <si>
    <t xml:space="preserve">Энергетический производственно-технологический комплекс ТЭС. Реконструкция тепловой магистрали "ТЭЦ-Город" БТЭЦ  с применением инновационных технологий ППУ и ОДК F_505-ХТСКб-6тп</t>
  </si>
  <si>
    <t>Октябрь</t>
  </si>
  <si>
    <t xml:space="preserve">  Средства, полученные за счет платы за подключение (технологическое присоединение)</t>
  </si>
  <si>
    <t xml:space="preserve">Покупка оборудования, не входящего в сметы строек</t>
  </si>
  <si>
    <t xml:space="preserve">Покупка объектов интеллектуальной собственности (НМА)</t>
  </si>
  <si>
    <t xml:space="preserve">Добавить мероприятие</t>
  </si>
  <si>
    <t xml:space="preserve">Техперевооружение комплекса инженерно-технических средств физической защиты Биробиджанской ТЭЦ F_505-ХТСКб-1</t>
  </si>
  <si>
    <t xml:space="preserve">Строительство третьей очереди золоотвала БТЭЦ (емкость - 0,8 млн. м3) H_505-ХТСКб-13</t>
  </si>
  <si>
    <t xml:space="preserve">Техническое перевооружение системы контроля параметров работы системы централизованного теплоснабжения (технический учет) в г. Биробиджан СП Биробиджанская ТЭЦ N_505-БирТЭЦ-5</t>
  </si>
  <si>
    <t xml:space="preserve">Покупка объектов интеллектуальной собственности (НМА) </t>
  </si>
  <si>
    <t xml:space="preserve">     Амортизационные отчисления за исключением переоценки основных средств и нематериальных активов</t>
  </si>
  <si>
    <t xml:space="preserve">Установка автоматизированной системы мониторинга аккумуляторных батарей, СП Биробиджанская ТЭЦ P_505-БирТЭЦ-7</t>
  </si>
  <si>
    <r>
      <rPr>
        <vertAlign val="superscript"/>
        <sz val="9"/>
        <rFont val="Tahoma"/>
      </rPr>
      <t>1</t>
    </r>
    <r>
      <rPr>
        <sz val="9"/>
        <rFont val="Tahoma"/>
      </rPr>
      <t xml:space="preserve"> В соответствии с утвержденной инвестиционной программой</t>
    </r>
  </si>
  <si>
    <t xml:space="preserve">Источники финансирования</t>
  </si>
  <si>
    <t xml:space="preserve">Объем фактического выполнения за счет источников финансирования (тыс. руб. без НДС)</t>
  </si>
  <si>
    <t>Всего</t>
  </si>
  <si>
    <t>I</t>
  </si>
  <si>
    <t xml:space="preserve">Расходы на мероприятия инвестиционной программы</t>
  </si>
  <si>
    <t xml:space="preserve">Собственные средства</t>
  </si>
  <si>
    <t>1.1</t>
  </si>
  <si>
    <t xml:space="preserve">Амортизационные отчисления за исключением переоценки основных средств и нематериальных активов</t>
  </si>
  <si>
    <t>1.2</t>
  </si>
  <si>
    <t xml:space="preserve">Амортизационные отчисления в результате переоценки основных средств и нематериальных активов</t>
  </si>
  <si>
    <t>1.3</t>
  </si>
  <si>
    <t xml:space="preserve">Капитальные вложения (инвестиции), финансируемые за счет нормативной прибыли, учитываемой в необходимой валовой выручке</t>
  </si>
  <si>
    <t>1.4</t>
  </si>
  <si>
    <t xml:space="preserve">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</si>
  <si>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</si>
  <si>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 xml:space="preserve">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</si>
  <si>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</si>
  <si>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 xml:space="preserve">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</si>
  <si>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</si>
  <si>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 xml:space="preserve">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</si>
  <si>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</si>
  <si>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 xml:space="preserve">Экономия средств, достигнутая регулируемой организацией в результате снижения расходов</t>
  </si>
  <si>
    <t>1.9</t>
  </si>
  <si>
    <t xml:space="preserve">Средства, полученные за счет платы за подключение (технологическое присоединение)</t>
  </si>
  <si>
    <t>1.10</t>
  </si>
  <si>
    <t xml:space="preserve">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</si>
  <si>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</si>
  <si>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 xml:space="preserve">Средства, полученные регулируемой организацией в виде платы за негативное воздействие на работу централизованной системы водоотведения</t>
  </si>
  <si>
    <t>1.12</t>
  </si>
  <si>
    <t xml:space="preserve">Прочие собственные средства</t>
  </si>
  <si>
    <t xml:space="preserve">Привлеченные средства</t>
  </si>
  <si>
    <t>Займы</t>
  </si>
  <si>
    <t>Кредиты</t>
  </si>
  <si>
    <t xml:space="preserve">Прочие привлеченные средства</t>
  </si>
  <si>
    <t xml:space="preserve">Бюджетное финансирование</t>
  </si>
  <si>
    <t xml:space="preserve">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</si>
  <si>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 xml:space="preserve">Иные бюджетные средства.</t>
  </si>
  <si>
    <t xml:space="preserve">Прочие источники финансирования</t>
  </si>
  <si>
    <t xml:space="preserve">ИТОГО по программе</t>
  </si>
  <si>
    <t>II</t>
  </si>
  <si>
    <t xml:space="preserve">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</si>
  <si>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 xml:space="preserve">Cредства на возврат займов и кредитов, привлекаемых на реализацию мероприятий инвестиционной программ</t>
  </si>
  <si>
    <t>1.1.1</t>
  </si>
  <si>
    <t xml:space="preserve">Финансируемые за счет нормативной прибыли, учитываемой в необходимой валовой выручке</t>
  </si>
  <si>
    <t>1.1.2</t>
  </si>
  <si>
    <t xml:space="preserve">Амортизационные отчисления</t>
  </si>
  <si>
    <t>1.1.3</t>
  </si>
  <si>
    <t xml:space="preserve">Иные собственные средства</t>
  </si>
  <si>
    <t>1.1.4</t>
  </si>
  <si>
    <t xml:space="preserve">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</si>
  <si>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</si>
  <si>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</si>
  <si>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</si>
  <si>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 xml:space="preserve">Cредства на проценты по займам и кредитам, привлекаемым на реализацию мероприятий инвестиционной программ</t>
  </si>
  <si>
    <t>2.1.3</t>
  </si>
  <si>
    <t>2.1.4</t>
  </si>
  <si>
    <t xml:space="preserve">WARM FEATURES</t>
  </si>
  <si>
    <t xml:space="preserve">OTKO FEATURES</t>
  </si>
  <si>
    <t xml:space="preserve">Цель(-и) ИП</t>
  </si>
  <si>
    <t xml:space="preserve">Способ утверждения показателей</t>
  </si>
  <si>
    <t xml:space="preserve">Описание способа утверждения показателей</t>
  </si>
  <si>
    <t xml:space="preserve">Показатели качества, надежности и бесперебойности, энергетической эффективности</t>
  </si>
  <si>
    <t xml:space="preserve">Показатели надежности</t>
  </si>
  <si>
    <t xml:space="preserve">Показатели энергетической эффективности </t>
  </si>
  <si>
    <t xml:space="preserve">Показатели качества питьевой воды</t>
  </si>
  <si>
    <t xml:space="preserve">Показатели качества горячей воды</t>
  </si>
  <si>
    <t xml:space="preserve">Показатели надежности и бесперебойности</t>
  </si>
  <si>
    <t xml:space="preserve">Показатели энергетической эффективности</t>
  </si>
  <si>
    <t xml:space="preserve">Показатели очистки сточных вод</t>
  </si>
  <si>
    <t xml:space="preserve">Показатель надежности и бесперебойности</t>
  </si>
  <si>
    <t xml:space="preserve">Количество прекращений подачи тепловой энергии, теплоносителя в результате технологических нарушений</t>
  </si>
  <si>
    <t xml:space="preserve">удельный расход топлива на производство единицы тепловой энергии</t>
  </si>
  <si>
    <t xml:space="preserve">Отношение величины технологических потерь к материальной характеристике тепловой сети</t>
  </si>
  <si>
    <t xml:space="preserve">Величина технологических потерь</t>
  </si>
  <si>
    <t xml:space="preserve">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</si>
  <si>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 xml:space="preserve">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</si>
  <si>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 xml:space="preserve">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</si>
  <si>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 xml:space="preserve">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</si>
  <si>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</si>
  <si>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 xml:space="preserve">Доля потерь воды в централизованных системах водоснабжения при транспортировке в общем объёме воды, поданной в водопроводную сеть</t>
  </si>
  <si>
    <t xml:space="preserve">Удельное количество тепловой энергии, расходуемое на подогрев горячей воды</t>
  </si>
  <si>
    <t xml:space="preserve">Удельный расход электрической энергии, потребляемой в технологическом процессе</t>
  </si>
  <si>
    <t xml:space="preserve">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</si>
  <si>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</si>
  <si>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 xml:space="preserve">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</si>
  <si>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 xml:space="preserve">Удельное количество аварий и засоров в расчете на протяженность канализационной сети</t>
  </si>
  <si>
    <t xml:space="preserve">Удельный расход электрической энергии, потребляемой в технологическом процессе для:</t>
  </si>
  <si>
    <t xml:space="preserve">на тепловых сетях на 1 км тепловых сетей</t>
  </si>
  <si>
    <t xml:space="preserve">на источниках тепловой энергии на 1 Гкал/час установленной мощности</t>
  </si>
  <si>
    <t xml:space="preserve">подготовки питьевой воды, на единицу объёма воды, отпускаемой в сеть
</t>
  </si>
  <si>
    <t xml:space="preserve">транспортировки питьевой воды, на единицу объёма транспортируемой воды
</t>
  </si>
  <si>
    <t xml:space="preserve">очистки сточных вод, на единицу объёма очищаемых сточных вод</t>
  </si>
  <si>
    <t xml:space="preserve">транспортировки сточных вод, на единицу объёма транспортируемых сточных вод</t>
  </si>
  <si>
    <t xml:space="preserve">ед. в год/км</t>
  </si>
  <si>
    <t xml:space="preserve">Гкал/куб. м</t>
  </si>
  <si>
    <t xml:space="preserve">кВт*ч/куб. м</t>
  </si>
  <si>
    <t>кВт*ч/куб.м</t>
  </si>
  <si>
    <t>план</t>
  </si>
  <si>
    <t>факт</t>
  </si>
  <si>
    <t xml:space="preserve">в целом на инвестиционную программу</t>
  </si>
  <si>
    <t xml:space="preserve">Добавить цель</t>
  </si>
  <si>
    <t>ед</t>
  </si>
  <si>
    <t>5.0</t>
  </si>
  <si>
    <t xml:space="preserve">Добавить систему</t>
  </si>
  <si>
    <t xml:space="preserve">Добавить описание формы публичного договора</t>
  </si>
  <si>
    <t xml:space="preserve">Добавить описание договора</t>
  </si>
  <si>
    <t xml:space="preserve">сведения о договорах, заключенных в соответствии с частями 2.1 и 2.2 статьи 8 Федерального закона "О теплоснабжении"</t>
  </si>
  <si>
    <t xml:space="preserve">Статья 8 ФЗ 190-ФЗ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
2) цены на теплоноситель в виде пара, поставляемый теплоснабжающими организациями потребителям, другим теплоснабжающим организациям;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
(часть 2.1 введена Федеральным законом от 01.12.2014 № 404-ФЗ)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</si>
  <si>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 xml:space="preserve">Прочие договора</t>
  </si>
  <si>
    <t xml:space="preserve">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</si>
  <si>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</si>
  <si>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 xml:space="preserve">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
В случае наличия нескольких форм таких договоров информация по каждой из них указывается в отдельной строке.</t>
  </si>
  <si>
    <t xml:space="preserve">Добавить описание формы договора</t>
  </si>
  <si>
    <t xml:space="preserve">наименование НПА</t>
  </si>
  <si>
    <t xml:space="preserve">контактный телефон службы</t>
  </si>
  <si>
    <t xml:space="preserve">адрес службы</t>
  </si>
  <si>
    <t xml:space="preserve">график работы службы</t>
  </si>
  <si>
    <t xml:space="preserve">c 01:03 до 18:55</t>
  </si>
  <si>
    <t xml:space="preserve">Информация о размещении данных на сайте регулируемой организации</t>
  </si>
  <si>
    <t xml:space="preserve">дата размещения информации</t>
  </si>
  <si>
    <t xml:space="preserve">Дата размещения информации указывается в виде «ДД.ММ.ГГГГ».</t>
  </si>
  <si>
    <t xml:space="preserve">адрес страницы сайта в сети «Интернет» и ссылка на документ</t>
  </si>
  <si>
    <t xml:space="preserve">В колонке «Информация» указывается адрес страницы сайта в сети «Интернет», на которой размещена информация.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</si>
  <si>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
В случае наличия дополнительных сведений информация по ним указывается в отдельных строках.
</t>
  </si>
  <si>
    <t xml:space="preserve">В колонке «Информация» указывается полное наименование и реквизиты НПА.
В случае наличия нескольких НПА каждое из них указывается в отдельной строке.</t>
  </si>
  <si>
    <t>5.1.1</t>
  </si>
  <si>
    <t xml:space="preserve">Указывается номер контактного телефона службы, ответственной за прием и обработку заявок о подключении к централизованной системе теплоснабжения. 
В случае наличия нескольких служб и (или) номеров телефонов, информация по каждому из них указывается в отдельной строке.</t>
  </si>
  <si>
    <t>5.2.1</t>
  </si>
  <si>
    <t xml:space="preserve">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
В случае наличия нескольких служб и (или) адресов, информация по каждому из них указывается в отдельной строке.</t>
  </si>
  <si>
    <t xml:space="preserve">Указывается график работы службы, ответственной за прием и обработку заявок о подключении к централизованной системе теплоснабжения. 
В случае наличия нескольких служб и (или) графиков работы, информация по каждому из них указывается в отдельной строке.</t>
  </si>
  <si>
    <t>p1</t>
  </si>
  <si>
    <t xml:space="preserve">Добавить период</t>
  </si>
  <si>
    <t>p2</t>
  </si>
  <si>
    <t xml:space="preserve">Период действия тарифов</t>
  </si>
  <si>
    <t>с</t>
  </si>
  <si>
    <t>по</t>
  </si>
  <si>
    <t>p1_0</t>
  </si>
  <si>
    <t xml:space="preserve">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</si>
  <si>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 xml:space="preserve">Необходимая валовая выручка на соответствующий период, в том числе с разбивкой по годам</t>
  </si>
  <si>
    <t>p2_0</t>
  </si>
  <si>
    <t xml:space="preserve">В колонке «Информация» указывается описательная информация, характеризующая размещаемые данные.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</si>
  <si>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 xml:space="preserve">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</si>
  <si>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 xml:space="preserve">Показатели надежности и качества, установленные в соответствии с законодательством Российской Федерации</t>
  </si>
  <si>
    <t xml:space="preserve">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
В случае, если показатели надежности и качества не утверждены в колонке «Информация» указывается «Не утверждены».
Информация в данной строке не указывается теплоснабжающими организациями, теплосетевыми организациями в ценовых зонах теплоснабжения.</t>
  </si>
  <si>
    <t xml:space="preserve">Информация в строках 3.1 – 3.3 указывается в случае, если организация имеет статус единой теплоснабжающей организации в ценовых зонах теплоснабжения.</t>
  </si>
  <si>
    <t xml:space="preserve">Доля числа исполненных в срок договоров о подключении</t>
  </si>
  <si>
    <t xml:space="preserve">Указывается процент общего количества заключенных договоров о подключении (технологическом присоединении).
Информация в данной строке не указывается теплоснабжающими организациями, теплосетевыми организациями в ценовых зонах теплоснабжения.</t>
  </si>
  <si>
    <t xml:space="preserve">Средняя продолжительность рассмотрения заявлений о подключении</t>
  </si>
  <si>
    <t>Гкал/час</t>
  </si>
  <si>
    <t xml:space="preserve">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</si>
  <si>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</si>
  <si>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</si>
  <si>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</si>
  <si>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</si>
  <si>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 xml:space="preserve">Месяц
(MONTH)</t>
  </si>
  <si>
    <t xml:space="preserve">Квартал
(QUARTER)</t>
  </si>
  <si>
    <t xml:space="preserve">Месяц
(kind_of_publication)</t>
  </si>
  <si>
    <t xml:space="preserve">НДС
/kind_of_NDS/</t>
  </si>
  <si>
    <t xml:space="preserve">Номер СЦХВ(СЦВО)
/SKI_number/</t>
  </si>
  <si>
    <t xml:space="preserve">Единица измерения объема оказываемых услуг ГВС
/kind_of_unit_GVS/</t>
  </si>
  <si>
    <t xml:space="preserve">Метод регулирования
/kind_of_control_method/</t>
  </si>
  <si>
    <t xml:space="preserve">Сколько раз встретилось</t>
  </si>
  <si>
    <t xml:space="preserve">Вид деятельности, на которую установлен тариф /kind_of_activity_WARM/</t>
  </si>
  <si>
    <t xml:space="preserve">Вид теплоносителя
(kind_of_heat_transfer)</t>
  </si>
  <si>
    <t xml:space="preserve">Тип данных
(kind_of_data_type)</t>
  </si>
  <si>
    <t xml:space="preserve">Схема подключения
(kind_of_scheme_in)
(kind_of_scheme_in2)</t>
  </si>
  <si>
    <t xml:space="preserve">Группы потребителей
(kind_of_cons)</t>
  </si>
  <si>
    <t xml:space="preserve">Тип прокладки тепловых сетей
(kind_of_nets)</t>
  </si>
  <si>
    <t xml:space="preserve">Диапазаны диаметров тепловых сетей
(kind_of_diameters)</t>
  </si>
  <si>
    <t xml:space="preserve">Подключаемая тепловая нагрузка
(kind_of_load)</t>
  </si>
  <si>
    <t xml:space="preserve">Форма 2, таблица Х</t>
  </si>
  <si>
    <t xml:space="preserve">виды тарифа
/kind_group_rates/</t>
  </si>
  <si>
    <t xml:space="preserve">Заголовок таблицы</t>
  </si>
  <si>
    <t>name_rates_4</t>
  </si>
  <si>
    <t>name_rates_8</t>
  </si>
  <si>
    <t xml:space="preserve">Подключаемая тепловая нагрузка
(kind_of_load3)</t>
  </si>
  <si>
    <t xml:space="preserve">Вид теплоносителя
(kind_of_heat_transfer2)</t>
  </si>
  <si>
    <t xml:space="preserve">Вид теплоносителя
(kind_of_heat_transfer3)</t>
  </si>
  <si>
    <t xml:space="preserve">Вид топлива
(kind_of_fuel)</t>
  </si>
  <si>
    <t xml:space="preserve">Способ закупки товаров
(kind_of_zak)</t>
  </si>
  <si>
    <t xml:space="preserve">виды тарифа
/kind_group_rates_load/</t>
  </si>
  <si>
    <t xml:space="preserve">виды тарифа
/kind_group_rates_load_filter/</t>
  </si>
  <si>
    <t xml:space="preserve">виды признаков дифференциации
/kind_of_diff/</t>
  </si>
  <si>
    <t xml:space="preserve">Диапазаны диаметров водопроводных сетей
(kind_of_diameters2)</t>
  </si>
  <si>
    <t>List_H</t>
  </si>
  <si>
    <t>List_M</t>
  </si>
  <si>
    <t>kind_of_org_type</t>
  </si>
  <si>
    <t xml:space="preserve">Виды топлива
/kind_of_fuels/</t>
  </si>
  <si>
    <t>YEAR_IP_LIST</t>
  </si>
  <si>
    <t>MONTH_IP_LIST</t>
  </si>
  <si>
    <t>COLDVSNA/HOTVSNA</t>
  </si>
  <si>
    <t>OTKO</t>
  </si>
  <si>
    <t xml:space="preserve">Алтайский край</t>
  </si>
  <si>
    <t>январь</t>
  </si>
  <si>
    <t xml:space="preserve">I квартал</t>
  </si>
  <si>
    <t xml:space="preserve">На официальном сайте организации</t>
  </si>
  <si>
    <t>тыс.куб.м/сутки</t>
  </si>
  <si>
    <t xml:space="preserve">метод экономически обоснованных расходов (затрат)</t>
  </si>
  <si>
    <t>Передача+Сбыт</t>
  </si>
  <si>
    <t>вода</t>
  </si>
  <si>
    <t xml:space="preserve">без дифференциации</t>
  </si>
  <si>
    <t>организации-перепродавцы</t>
  </si>
  <si>
    <t xml:space="preserve">надземная (наземная)</t>
  </si>
  <si>
    <t xml:space="preserve">50 - 250 мм</t>
  </si>
  <si>
    <t xml:space="preserve">не превышает 0,1 Гкал/ч</t>
  </si>
  <si>
    <t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</si>
  <si>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 xml:space="preserve">Форма 4.2.1 Информация о величинах тарифов на тепловую энергию, поддержанию резервной тепловой мощности</t>
  </si>
  <si>
    <t xml:space="preserve">Тариф на теплоноситель, поставляемый потребителям</t>
  </si>
  <si>
    <t xml:space="preserve">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</si>
  <si>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</si>
  <si>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 xml:space="preserve">Газ природный по регулируемой цене</t>
  </si>
  <si>
    <t>Конкурс</t>
  </si>
  <si>
    <t xml:space="preserve">объемы потребления воды абонентами</t>
  </si>
  <si>
    <t xml:space="preserve">40 мм и менее</t>
  </si>
  <si>
    <t>00</t>
  </si>
  <si>
    <t xml:space="preserve">Регулируемая организация</t>
  </si>
  <si>
    <t xml:space="preserve">газ природный по регулируемой цене</t>
  </si>
  <si>
    <t xml:space="preserve">тыс м3</t>
  </si>
  <si>
    <t>Январь</t>
  </si>
  <si>
    <t xml:space="preserve">Амурская область</t>
  </si>
  <si>
    <t>февраль</t>
  </si>
  <si>
    <t xml:space="preserve">II квартал</t>
  </si>
  <si>
    <t xml:space="preserve">На сайте регулирующего органа</t>
  </si>
  <si>
    <t>УСН</t>
  </si>
  <si>
    <t xml:space="preserve">метод индексации установленных тарифов</t>
  </si>
  <si>
    <t>Передача</t>
  </si>
  <si>
    <t>пар</t>
  </si>
  <si>
    <t xml:space="preserve">изменения в раскрытой ранее информации</t>
  </si>
  <si>
    <t xml:space="preserve">к коллектору источника тепловой энергии</t>
  </si>
  <si>
    <t xml:space="preserve">бюджетные организации</t>
  </si>
  <si>
    <t xml:space="preserve">подземная (канальная)</t>
  </si>
  <si>
    <t xml:space="preserve">251 - 400 мм</t>
  </si>
  <si>
    <t xml:space="preserve">более 0,1 Гкал/ч и не превышает 1,5 Гкал/ч</t>
  </si>
  <si>
    <t xml:space="preserve">Тарифы на тепловую энергию (мощность), поставляемую другим теплоснабжающим организациям теплоснабжающими организациями</t>
  </si>
  <si>
    <t xml:space="preserve">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</si>
  <si>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 xml:space="preserve">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</si>
  <si>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 xml:space="preserve">Отборный пар, 1,2-2,5 кг/см2</t>
  </si>
  <si>
    <t>Пар</t>
  </si>
  <si>
    <t xml:space="preserve">Газ природный по нерегулируемой цене</t>
  </si>
  <si>
    <t>Аукцион</t>
  </si>
  <si>
    <t xml:space="preserve">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</si>
  <si>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 xml:space="preserve">соответствие качества питьевой воды и горячей воды требованиям, установленным санитарными нормами и правилами</t>
  </si>
  <si>
    <t xml:space="preserve">от 41 мм до 70 мм включительно</t>
  </si>
  <si>
    <t>01</t>
  </si>
  <si>
    <t xml:space="preserve">Единая теплоснабжающая организация в ценовой зоне теплоснабжения</t>
  </si>
  <si>
    <t xml:space="preserve">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</si>
  <si>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</si>
  <si>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</si>
  <si>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</si>
  <si>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</si>
  <si>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</si>
  <si>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</si>
  <si>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</si>
  <si>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</si>
  <si>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</si>
  <si>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 xml:space="preserve">Архангельская область</t>
  </si>
  <si>
    <t>март</t>
  </si>
  <si>
    <t xml:space="preserve">III квартал</t>
  </si>
  <si>
    <t>ЕСХН</t>
  </si>
  <si>
    <t>куб.м/ч</t>
  </si>
  <si>
    <t xml:space="preserve">метод обеспечения доходности инвестированного капитала</t>
  </si>
  <si>
    <t xml:space="preserve">производство комбинированная выработка</t>
  </si>
  <si>
    <t xml:space="preserve">отборный пар, 1.2-2.5 кг/см2</t>
  </si>
  <si>
    <t xml:space="preserve">к тепловой сети без дополнительного преобразования на тепловых пунктах, эксплуатируемых теплоснабжающей организацией</t>
  </si>
  <si>
    <t xml:space="preserve">население и приравненные категории</t>
  </si>
  <si>
    <t xml:space="preserve">подземная (бесканальная)</t>
  </si>
  <si>
    <t xml:space="preserve">401 - 550 мм</t>
  </si>
  <si>
    <t xml:space="preserve">превышает 1,5 Гкал/ч при наличии технической возможности подключения</t>
  </si>
  <si>
    <t xml:space="preserve">Предельный уровнь цены на тепловую энергию (мощность), поставляемую теплоснабжающими организациями потребителям</t>
  </si>
  <si>
    <t xml:space="preserve">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</si>
  <si>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 xml:space="preserve">Отборный пар, 2,5-7 кг/см2</t>
  </si>
  <si>
    <t>Уголь</t>
  </si>
  <si>
    <t xml:space="preserve">Аукцион в электронной форме</t>
  </si>
  <si>
    <t>иное</t>
  </si>
  <si>
    <t xml:space="preserve">от 71 мм до 100 мм включительно</t>
  </si>
  <si>
    <t>02</t>
  </si>
  <si>
    <t xml:space="preserve">Теплоснабжающая организация в ценовой зоне теплоснабжения</t>
  </si>
  <si>
    <t xml:space="preserve">газ сжиженный</t>
  </si>
  <si>
    <t>кг</t>
  </si>
  <si>
    <t>Март</t>
  </si>
  <si>
    <t xml:space="preserve">[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</si>
  <si>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</si>
  <si>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</si>
  <si>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</si>
  <si>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</si>
  <si>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</si>
  <si>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</si>
  <si>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</si>
  <si>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</si>
  <si>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 xml:space="preserve">Астраханская область</t>
  </si>
  <si>
    <t>апрель</t>
  </si>
  <si>
    <t xml:space="preserve">IV квартал</t>
  </si>
  <si>
    <t>ПСН</t>
  </si>
  <si>
    <t xml:space="preserve">метод сравнения аналогов</t>
  </si>
  <si>
    <t xml:space="preserve">производство (некомбинированная выработка)+передача+сбыт</t>
  </si>
  <si>
    <t xml:space="preserve">отборный пар, 2.5-7 кг/см2</t>
  </si>
  <si>
    <t xml:space="preserve">к тепловой сети после тепловых пунктов (на тепловых пунктах), эксплуатируемых теплоснабжающей организацией</t>
  </si>
  <si>
    <t>прочие</t>
  </si>
  <si>
    <t xml:space="preserve">551 - 700 мм</t>
  </si>
  <si>
    <t xml:space="preserve">превышает 1,5 Гкал/ч при отсутствии технической возможности подключения</t>
  </si>
  <si>
    <t xml:space="preserve">Форма 4.2.2 Информация о величинах тарифов на теплоноситель, передачу тепловой энергии, теплоносителя</t>
  </si>
  <si>
    <t xml:space="preserve">не известна</t>
  </si>
  <si>
    <t xml:space="preserve">Отборный пар, 7-13 кг/см2</t>
  </si>
  <si>
    <t>Мазут</t>
  </si>
  <si>
    <t xml:space="preserve">Запрос котировок</t>
  </si>
  <si>
    <t xml:space="preserve">от 101 мм до 150 мм включительно</t>
  </si>
  <si>
    <t>03</t>
  </si>
  <si>
    <t xml:space="preserve">Теплосетевая организация в ценовой зоне теплоснабжения</t>
  </si>
  <si>
    <t xml:space="preserve">газовый конденсат</t>
  </si>
  <si>
    <t>тонны</t>
  </si>
  <si>
    <t>Апрель</t>
  </si>
  <si>
    <t xml:space="preserve">  Прибыль направляемая на инвестиции</t>
  </si>
  <si>
    <t xml:space="preserve">  Нормативная прибыль</t>
  </si>
  <si>
    <t xml:space="preserve">Тариф на горячую воду в закрытой системе горячего водоснабжения (горячее водоснабжение)</t>
  </si>
  <si>
    <t xml:space="preserve">Тариф на подключение (технологическое присоединение) к централизованной системе водоотведения в индивидуальном порядке</t>
  </si>
  <si>
    <t xml:space="preserve">Белгородская область</t>
  </si>
  <si>
    <t>май</t>
  </si>
  <si>
    <t>НПД</t>
  </si>
  <si>
    <t xml:space="preserve">Вид тарифа на передачу тепловой энергии /kind_of_tariff_unit/</t>
  </si>
  <si>
    <t xml:space="preserve">производство (некомбинированная выработка)+передача</t>
  </si>
  <si>
    <t xml:space="preserve">отборный пар, 7-13 кг/см2</t>
  </si>
  <si>
    <t xml:space="preserve">701 мм и выше</t>
  </si>
  <si>
    <t xml:space="preserve">Форма 4.2.3 Информация о величинах тарифов на горячую воду (в открытых системах)</t>
  </si>
  <si>
    <t xml:space="preserve">Отборный пар, &gt; 13 кг/см2</t>
  </si>
  <si>
    <t xml:space="preserve">Дизельное топливо</t>
  </si>
  <si>
    <t xml:space="preserve">Единственный поставщик</t>
  </si>
  <si>
    <t xml:space="preserve">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</si>
  <si>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</si>
  <si>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</si>
  <si>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</si>
  <si>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</si>
  <si>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</si>
  <si>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</si>
  <si>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 xml:space="preserve">Тариф на подключение к централизованной системе водоотведения</t>
  </si>
  <si>
    <t xml:space="preserve">Брянская область</t>
  </si>
  <si>
    <t>июнь</t>
  </si>
  <si>
    <t xml:space="preserve">налогообложение казённых учреждений</t>
  </si>
  <si>
    <t>руб./Гкал/ч/мес</t>
  </si>
  <si>
    <t xml:space="preserve">производство (некомбинированная выработка)+сбыт</t>
  </si>
  <si>
    <t xml:space="preserve">отборный пар, &gt; 13 кг/см2</t>
  </si>
  <si>
    <t xml:space="preserve">Острый и редуцированный пар</t>
  </si>
  <si>
    <t>Дрова</t>
  </si>
  <si>
    <t>Иное</t>
  </si>
  <si>
    <t xml:space="preserve">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</si>
  <si>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</si>
  <si>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</si>
  <si>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</si>
  <si>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</si>
  <si>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</si>
  <si>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xml:space="preserve">[ Привлеченные средства ]</t>
  </si>
  <si>
    <t xml:space="preserve">Тариф на подключение к централизованной системе горячего водоснабжения</t>
  </si>
  <si>
    <t xml:space="preserve">Владимирская область</t>
  </si>
  <si>
    <t>июль</t>
  </si>
  <si>
    <t xml:space="preserve">смешанное налогообложение</t>
  </si>
  <si>
    <t>руб./Гкал</t>
  </si>
  <si>
    <t xml:space="preserve">производство (некомбинированная выработка)</t>
  </si>
  <si>
    <t xml:space="preserve">острый и редуцированный пар</t>
  </si>
  <si>
    <t>Электроэнергия</t>
  </si>
  <si>
    <t xml:space="preserve">от 250  мм и более</t>
  </si>
  <si>
    <t>06</t>
  </si>
  <si>
    <t xml:space="preserve">по мероприятиям</t>
  </si>
  <si>
    <t>нефть</t>
  </si>
  <si>
    <t>Июль</t>
  </si>
  <si>
    <t xml:space="preserve">      Прочие амортизационные отчисления</t>
  </si>
  <si>
    <t xml:space="preserve">  Кредиты</t>
  </si>
  <si>
    <t xml:space="preserve">Тариф на подключение (технологическое присоединение) к централизованной системе холодного водоснабжения в индивидуальном порядке</t>
  </si>
  <si>
    <t xml:space="preserve">Тариф на подключение к централизованной системе горячего водоснабжения (инд)</t>
  </si>
  <si>
    <t xml:space="preserve">Волгоградская область</t>
  </si>
  <si>
    <t>август</t>
  </si>
  <si>
    <t xml:space="preserve">НДС общий
/kind_of_NDS_tariff/</t>
  </si>
  <si>
    <t xml:space="preserve">НДС
/kind_of_NDS_tariff/</t>
  </si>
  <si>
    <t xml:space="preserve">горячая вода в системе централизованного теплоснабжения на отопление</t>
  </si>
  <si>
    <t>Прочее</t>
  </si>
  <si>
    <t xml:space="preserve">Плата за подключение к системе теплоснабжения</t>
  </si>
  <si>
    <t>07</t>
  </si>
  <si>
    <t xml:space="preserve">по группам мероприятий</t>
  </si>
  <si>
    <t xml:space="preserve">дизельное топливо</t>
  </si>
  <si>
    <t>Август</t>
  </si>
  <si>
    <t xml:space="preserve">  [ Займы ]</t>
  </si>
  <si>
    <t xml:space="preserve">Вологодская область</t>
  </si>
  <si>
    <t>сентябрь</t>
  </si>
  <si>
    <t xml:space="preserve">тариф указан с НДС для плательщиков НДС</t>
  </si>
  <si>
    <t xml:space="preserve">тариф для организаций не являющихся плательщиками НДС</t>
  </si>
  <si>
    <t xml:space="preserve">Установленная электрическая мощность. Теплоэлектростанции. Ед.измерения  /kind_of_power_te_unit/</t>
  </si>
  <si>
    <t xml:space="preserve">цель инвестиционной программы /kind_of_purchase_method/</t>
  </si>
  <si>
    <t xml:space="preserve">горячая вода в системе централизованного теплоснабжения на горячее водоснабжение</t>
  </si>
  <si>
    <t xml:space="preserve">Плата за подключение к системе теплоснабжения (индивидуальная)</t>
  </si>
  <si>
    <t xml:space="preserve">Форма 4.2.5 Информация о плате за подключение к системе теплоснабжения в индивидуальном порядке</t>
  </si>
  <si>
    <t>08</t>
  </si>
  <si>
    <t xml:space="preserve">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</si>
  <si>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</si>
  <si>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</si>
  <si>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</si>
  <si>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</si>
  <si>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 xml:space="preserve">Воронежская область</t>
  </si>
  <si>
    <t>октябрь</t>
  </si>
  <si>
    <t xml:space="preserve">тариф указан без НДС для плательщиков НДС</t>
  </si>
  <si>
    <t xml:space="preserve">тариф не утверждался</t>
  </si>
  <si>
    <t>кВт*ч</t>
  </si>
  <si>
    <t>Торги/аукционы</t>
  </si>
  <si>
    <t>прочее</t>
  </si>
  <si>
    <t xml:space="preserve">Форма 4.2.4 Информация о величинах тарифов на подключение к системе теплоснабжения</t>
  </si>
  <si>
    <t>09</t>
  </si>
  <si>
    <t xml:space="preserve">по муниципальным образованиям/территориям</t>
  </si>
  <si>
    <t xml:space="preserve">уголь каменный</t>
  </si>
  <si>
    <t xml:space="preserve">  [ Экономия расходов ]</t>
  </si>
  <si>
    <t xml:space="preserve">      Прочие займы</t>
  </si>
  <si>
    <t>г.Байконур</t>
  </si>
  <si>
    <t>ноябрь</t>
  </si>
  <si>
    <t>МВт</t>
  </si>
  <si>
    <t xml:space="preserve">Прямые договора без торгов</t>
  </si>
  <si>
    <t xml:space="preserve">Предельный уровнь цены на тепловую энергию (мощность), поставляемую теплоснабжающими организациями потребителям. Индикативы</t>
  </si>
  <si>
    <t xml:space="preserve">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</si>
  <si>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</si>
  <si>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</si>
  <si>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</si>
  <si>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Бюджетное финансирование ]</t>
  </si>
  <si>
    <t xml:space="preserve">г. Москва</t>
  </si>
  <si>
    <t>декабрь</t>
  </si>
  <si>
    <t>дрова</t>
  </si>
  <si>
    <t>м3</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</si>
  <si>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</si>
  <si>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</si>
  <si>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</si>
  <si>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 xml:space="preserve">Объём приобретаемой тепловой энергии (мощности), используемой для горячего водоснабжения. Ед.измерения  /kind_of_volume_te_unit/</t>
  </si>
  <si>
    <t xml:space="preserve">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</si>
  <si>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</si>
  <si>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</si>
  <si>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</si>
  <si>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</si>
  <si>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</si>
  <si>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</si>
  <si>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 xml:space="preserve">НДС общий люди
/kind_of_NDS_tariff_people/</t>
  </si>
  <si>
    <t xml:space="preserve">НДС
/kind_of_NDS_tariff_people/</t>
  </si>
  <si>
    <t xml:space="preserve">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</si>
  <si>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 xml:space="preserve">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</si>
  <si>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</si>
  <si>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</si>
  <si>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 xml:space="preserve">Донецкая Народная Республика</t>
  </si>
  <si>
    <t>START_FILL</t>
  </si>
  <si>
    <t xml:space="preserve">тариф с НДС организаций-плательщиков НДС</t>
  </si>
  <si>
    <t xml:space="preserve">тариф организаций не являющихся плательщиками НДС</t>
  </si>
  <si>
    <t>15</t>
  </si>
  <si>
    <t xml:space="preserve">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</si>
  <si>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 xml:space="preserve">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</si>
  <si>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</si>
  <si>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xml:space="preserve">[ Прочие источники финансирования ]</t>
  </si>
  <si>
    <t>16</t>
  </si>
  <si>
    <t xml:space="preserve">производство тепловой энергии (мощности) не в режиме комбинированной выработки электрической и тепловой энергии источниками тепловой энергии</t>
  </si>
  <si>
    <t xml:space="preserve">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</si>
  <si>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</si>
  <si>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</si>
  <si>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</si>
  <si>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</si>
  <si>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</si>
  <si>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</si>
  <si>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 xml:space="preserve">Забайкальский край</t>
  </si>
  <si>
    <t xml:space="preserve">Тарифы на тепло для REQUEST.HEAT
/kind_of_tariff_RHEAT/</t>
  </si>
  <si>
    <t>17</t>
  </si>
  <si>
    <t xml:space="preserve">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</si>
  <si>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</si>
  <si>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</si>
  <si>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</si>
  <si>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</si>
  <si>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</si>
  <si>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</si>
  <si>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</si>
  <si>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</si>
  <si>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</si>
  <si>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</si>
  <si>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</si>
  <si>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 xml:space="preserve">Запорожская область</t>
  </si>
  <si>
    <t>18</t>
  </si>
  <si>
    <t xml:space="preserve">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</si>
  <si>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</si>
  <si>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</si>
  <si>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</si>
  <si>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</si>
  <si>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 xml:space="preserve">Производство тепловой энергии. Некомбинированная выработка</t>
  </si>
  <si>
    <t xml:space="preserve">Холодное водоснабжение. Питьевая вода</t>
  </si>
  <si>
    <t xml:space="preserve">Горячее водоснабжение</t>
  </si>
  <si>
    <t>Водоотведение</t>
  </si>
  <si>
    <t xml:space="preserve">Захоронение твердых коммунальных отходов</t>
  </si>
  <si>
    <t xml:space="preserve">Ивановская область</t>
  </si>
  <si>
    <t>19</t>
  </si>
  <si>
    <t xml:space="preserve">сбыт тепловой энергии и теплоносителя</t>
  </si>
  <si>
    <t xml:space="preserve">уменьшение удельных затрат (повышение КПД)</t>
  </si>
  <si>
    <t>щепа</t>
  </si>
  <si>
    <t xml:space="preserve">Производство тепловой энергии. Комбинированная выработка с уст. мощностью производства электрической энергии менее 25 МВт</t>
  </si>
  <si>
    <t xml:space="preserve">Холодное водоснабжение. Техническая вода</t>
  </si>
  <si>
    <t>Транспортировка</t>
  </si>
  <si>
    <t xml:space="preserve">Обезвреживание твердых коммунальных отходов</t>
  </si>
  <si>
    <t xml:space="preserve">Иркутская область</t>
  </si>
  <si>
    <t>20</t>
  </si>
  <si>
    <t xml:space="preserve">подключение к системе теплоснабжения</t>
  </si>
  <si>
    <t xml:space="preserve">автоматизация (с уменьшением штата)</t>
  </si>
  <si>
    <t xml:space="preserve">горючий сланец</t>
  </si>
  <si>
    <t xml:space="preserve">Производство тепловой энергии. Комбинированная выработка с уст. мощностью производства электрической энергии 25 МВт и более</t>
  </si>
  <si>
    <t xml:space="preserve">Холодное водоснабжение. Подвозная вода</t>
  </si>
  <si>
    <t xml:space="preserve">Подключение (технологическое присоединение) к централизованной системе горячего водоснабжения</t>
  </si>
  <si>
    <t xml:space="preserve">Подключение (технологическое присоединение) к централизованной системе водоотведения</t>
  </si>
  <si>
    <t xml:space="preserve">Обработка твердых коммунальных отходов</t>
  </si>
  <si>
    <t xml:space="preserve">Кабардино-Балкарская республика</t>
  </si>
  <si>
    <t xml:space="preserve">поддержание резервной тепловой мощности при отсутствии потребления тепловой энергии</t>
  </si>
  <si>
    <t xml:space="preserve">уменьшение издержек на производство</t>
  </si>
  <si>
    <t>керосин</t>
  </si>
  <si>
    <t xml:space="preserve">Производство. Теплоноситель</t>
  </si>
  <si>
    <t xml:space="preserve">Транспортировка. Питьевая вода</t>
  </si>
  <si>
    <t xml:space="preserve">Калининградская область</t>
  </si>
  <si>
    <t>21</t>
  </si>
  <si>
    <t xml:space="preserve">снижение аварийности</t>
  </si>
  <si>
    <t xml:space="preserve">кислородно-водородная смесь</t>
  </si>
  <si>
    <t xml:space="preserve">Передача. Тепловая энергия</t>
  </si>
  <si>
    <t xml:space="preserve">Транспортировка. Техническая вода</t>
  </si>
  <si>
    <t xml:space="preserve">Энергетическая утилизация</t>
  </si>
  <si>
    <t xml:space="preserve">Калужская область</t>
  </si>
  <si>
    <t>22</t>
  </si>
  <si>
    <t xml:space="preserve">улучшение качества</t>
  </si>
  <si>
    <t xml:space="preserve">электроэнергия (НН)</t>
  </si>
  <si>
    <t xml:space="preserve">тыс кВт.ч</t>
  </si>
  <si>
    <t xml:space="preserve">Передача. Теплоноситель</t>
  </si>
  <si>
    <t xml:space="preserve">Транспортировка. Подвозная вода</t>
  </si>
  <si>
    <t xml:space="preserve">Транспортирование твердых коммунальных отходов</t>
  </si>
  <si>
    <t xml:space="preserve">Камчатский край</t>
  </si>
  <si>
    <t>23</t>
  </si>
  <si>
    <t xml:space="preserve">повышение надёжности и энергетической эффективности</t>
  </si>
  <si>
    <t xml:space="preserve">электроэнергия (СН1)</t>
  </si>
  <si>
    <t xml:space="preserve">Сбыт. Тепловая энергия</t>
  </si>
  <si>
    <t xml:space="preserve">Подключение (технологическое присоединение) к централизованной системе водоснабжения</t>
  </si>
  <si>
    <t xml:space="preserve">Карачаево-Черкесская республика</t>
  </si>
  <si>
    <t>CROSSES</t>
  </si>
  <si>
    <t>24</t>
  </si>
  <si>
    <t xml:space="preserve">электроэнергия (СН2)</t>
  </si>
  <si>
    <t xml:space="preserve">Сбыт. Теплоноситель</t>
  </si>
  <si>
    <t xml:space="preserve">Кемеровская область</t>
  </si>
  <si>
    <t>25</t>
  </si>
  <si>
    <t xml:space="preserve">электроэнергия (ВН)</t>
  </si>
  <si>
    <t xml:space="preserve">Подключение (технологическое присоединение) к системе теплоснабжения</t>
  </si>
  <si>
    <t xml:space="preserve">Кировская область</t>
  </si>
  <si>
    <t xml:space="preserve">Текущая дата</t>
  </si>
  <si>
    <t>26</t>
  </si>
  <si>
    <t>PT_GROUP_CONSUMER_LIST</t>
  </si>
  <si>
    <t>мощность</t>
  </si>
  <si>
    <t xml:space="preserve">тыс кВт</t>
  </si>
  <si>
    <t xml:space="preserve">Поддержание резервной тепловой мощности при отсутствии потребления тепловой энергии</t>
  </si>
  <si>
    <t xml:space="preserve">Костромская область</t>
  </si>
  <si>
    <t>Организация</t>
  </si>
  <si>
    <t xml:space="preserve">25.07.2023 22:51:32</t>
  </si>
  <si>
    <t>27</t>
  </si>
  <si>
    <t xml:space="preserve">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</si>
  <si>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</si>
  <si>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</si>
  <si>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 xml:space="preserve">Красноярский край</t>
  </si>
  <si>
    <t>29</t>
  </si>
  <si>
    <t>население</t>
  </si>
  <si>
    <t xml:space="preserve">  Иные бюджетные средства</t>
  </si>
  <si>
    <t xml:space="preserve">Курганская область</t>
  </si>
  <si>
    <t xml:space="preserve">Виды деятельности</t>
  </si>
  <si>
    <t>https://appsrv.regportal-tariff.ru/procwsxls/</t>
  </si>
  <si>
    <t>30</t>
  </si>
  <si>
    <t xml:space="preserve">Курская область</t>
  </si>
  <si>
    <t>31</t>
  </si>
  <si>
    <t xml:space="preserve">Ленинградская область</t>
  </si>
  <si>
    <t>32</t>
  </si>
  <si>
    <t xml:space="preserve">Липецкая область</t>
  </si>
  <si>
    <t>33</t>
  </si>
  <si>
    <t>PT_SCHEME_LIST</t>
  </si>
  <si>
    <t xml:space="preserve">  Доход от взимания платы за нарушение нормативов по объему и (или) составу сточных вод</t>
  </si>
  <si>
    <t xml:space="preserve">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</si>
  <si>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</si>
  <si>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</si>
  <si>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</si>
  <si>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 xml:space="preserve">Магаданская область</t>
  </si>
  <si>
    <t>теплоснабжения</t>
  </si>
  <si>
    <t>теплоснабжение</t>
  </si>
  <si>
    <t>35</t>
  </si>
  <si>
    <t xml:space="preserve">Московская область</t>
  </si>
  <si>
    <t xml:space="preserve">холодного водоснабжения</t>
  </si>
  <si>
    <t xml:space="preserve">холодное водоснабжение</t>
  </si>
  <si>
    <t>36</t>
  </si>
  <si>
    <t>HEAT_FIN_SRC_VLD_LIST</t>
  </si>
  <si>
    <t>VSNA_FIN_SRC_VLD_LIST</t>
  </si>
  <si>
    <t>VOTV_FIN_SRC_VLD_LIST</t>
  </si>
  <si>
    <t>OTKO_FIN_SRC_VLD_LIST</t>
  </si>
  <si>
    <t xml:space="preserve">Мурманская область</t>
  </si>
  <si>
    <t>водоотведения</t>
  </si>
  <si>
    <t>водоотведение</t>
  </si>
  <si>
    <t>37</t>
  </si>
  <si>
    <t xml:space="preserve">Прибыль направляемая на инвестиции</t>
  </si>
  <si>
    <t xml:space="preserve">Нормативная прибыль</t>
  </si>
  <si>
    <t xml:space="preserve">Ненецкий автономный округ</t>
  </si>
  <si>
    <t xml:space="preserve">горячего водоснабжения</t>
  </si>
  <si>
    <t xml:space="preserve">горячее водоснабжение</t>
  </si>
  <si>
    <t>38</t>
  </si>
  <si>
    <t xml:space="preserve">Амортизационные отчисления с выделением результатов переоценки основных средств и нематериальных активов</t>
  </si>
  <si>
    <t xml:space="preserve">Нижегородская область</t>
  </si>
  <si>
    <t xml:space="preserve">обращения с твердыми коммунальными отходами</t>
  </si>
  <si>
    <t>TKO</t>
  </si>
  <si>
    <t>39</t>
  </si>
  <si>
    <t>PT_TN_LIST</t>
  </si>
  <si>
    <t xml:space="preserve">Прочие амортизационные отчисления</t>
  </si>
  <si>
    <t xml:space="preserve">Новгородская область</t>
  </si>
  <si>
    <t>40</t>
  </si>
  <si>
    <t xml:space="preserve">Займы, предоставленные Фондом ЖКХ за счет средств ФНБ</t>
  </si>
  <si>
    <t xml:space="preserve">Новосибирская область</t>
  </si>
  <si>
    <t>41</t>
  </si>
  <si>
    <t xml:space="preserve">За счет платы за технологическое присоединение</t>
  </si>
  <si>
    <t xml:space="preserve">Прочие займы</t>
  </si>
  <si>
    <t xml:space="preserve">Омская область</t>
  </si>
  <si>
    <t>PeriodIsEmpty</t>
  </si>
  <si>
    <t>NameTemplatesInTitle</t>
  </si>
  <si>
    <t>NameTemplatesInListMO</t>
  </si>
  <si>
    <t>42</t>
  </si>
  <si>
    <t xml:space="preserve">Экономия расходов в результате реализации мероприятий инвестиционной программы</t>
  </si>
  <si>
    <t xml:space="preserve">Федеральный бюджет</t>
  </si>
  <si>
    <t xml:space="preserve">Оренбургская область</t>
  </si>
  <si>
    <t>TEMPLATE_GROUP</t>
  </si>
  <si>
    <t>CodeTemplate</t>
  </si>
  <si>
    <t>StartDate</t>
  </si>
  <si>
    <t>EndDate</t>
  </si>
  <si>
    <t>43</t>
  </si>
  <si>
    <t xml:space="preserve">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</si>
  <si>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Бюджет субъекта РФ</t>
  </si>
  <si>
    <t xml:space="preserve">Орловская область</t>
  </si>
  <si>
    <t>O</t>
  </si>
  <si>
    <t>44</t>
  </si>
  <si>
    <t xml:space="preserve">Бюджет муниципального образования</t>
  </si>
  <si>
    <t xml:space="preserve">Пензенская область</t>
  </si>
  <si>
    <t>Q</t>
  </si>
  <si>
    <t>45</t>
  </si>
  <si>
    <t>Лизинг</t>
  </si>
  <si>
    <t xml:space="preserve">Пермский край</t>
  </si>
  <si>
    <t>BALANCE</t>
  </si>
  <si>
    <t>B</t>
  </si>
  <si>
    <t xml:space="preserve">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</si>
  <si>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</si>
  <si>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</si>
  <si>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 xml:space="preserve">Приморский край</t>
  </si>
  <si>
    <t>TERMS</t>
  </si>
  <si>
    <t>T</t>
  </si>
  <si>
    <t>47</t>
  </si>
  <si>
    <t xml:space="preserve">Псковская область</t>
  </si>
  <si>
    <t>INVEST</t>
  </si>
  <si>
    <t>48</t>
  </si>
  <si>
    <t xml:space="preserve">Республика Адыгея</t>
  </si>
  <si>
    <t>REQUEST</t>
  </si>
  <si>
    <t>R</t>
  </si>
  <si>
    <t>49</t>
  </si>
  <si>
    <t xml:space="preserve">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</si>
  <si>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 xml:space="preserve">Республика Алтай</t>
  </si>
  <si>
    <t>PRICE</t>
  </si>
  <si>
    <t>P</t>
  </si>
  <si>
    <t>50</t>
  </si>
  <si>
    <t xml:space="preserve">Республика Башкортостан</t>
  </si>
  <si>
    <t>ROIV</t>
  </si>
  <si>
    <t xml:space="preserve">Показатели, подлежащие раскрытию органами регулирования</t>
  </si>
  <si>
    <t>51</t>
  </si>
  <si>
    <t xml:space="preserve">Республика Бурятия</t>
  </si>
  <si>
    <t>52</t>
  </si>
  <si>
    <t>PT_NETS_LIST</t>
  </si>
  <si>
    <t xml:space="preserve">Республика Дагестан</t>
  </si>
  <si>
    <t>53</t>
  </si>
  <si>
    <t xml:space="preserve">Республика Ингушетия</t>
  </si>
  <si>
    <t>TERRITORY_ID</t>
  </si>
  <si>
    <t xml:space="preserve">начинать только с 2, остальное по умолчанию</t>
  </si>
  <si>
    <t>54</t>
  </si>
  <si>
    <t xml:space="preserve">Республика Калмыкия</t>
  </si>
  <si>
    <t>DIFFERENTIATION_ID</t>
  </si>
  <si>
    <t>55</t>
  </si>
  <si>
    <t xml:space="preserve">Республика Карелия</t>
  </si>
  <si>
    <t>IP_ID</t>
  </si>
  <si>
    <t>56</t>
  </si>
  <si>
    <t xml:space="preserve">Республика Коми</t>
  </si>
  <si>
    <t xml:space="preserve">начинать только с 30, остальное по умолчанию</t>
  </si>
  <si>
    <t>57</t>
  </si>
  <si>
    <t>PT_DIAMETERS_LIST</t>
  </si>
  <si>
    <t xml:space="preserve">Республика Крым</t>
  </si>
  <si>
    <t>VDET_ID</t>
  </si>
  <si>
    <t>58</t>
  </si>
  <si>
    <t xml:space="preserve">Республика Марий Эл</t>
  </si>
  <si>
    <t>NTAR_ID</t>
  </si>
  <si>
    <t>59</t>
  </si>
  <si>
    <t xml:space="preserve">Республика Мордовия</t>
  </si>
  <si>
    <t xml:space="preserve">Республика Саха (Якутия)</t>
  </si>
  <si>
    <t>CS_ID</t>
  </si>
  <si>
    <t xml:space="preserve">Республика Северная Осетия-Алания</t>
  </si>
  <si>
    <t>IST_TE_ID</t>
  </si>
  <si>
    <t xml:space="preserve">Республика Татарстан</t>
  </si>
  <si>
    <t xml:space="preserve">Республика Тыва</t>
  </si>
  <si>
    <t>PT_LOAD_LIST</t>
  </si>
  <si>
    <t xml:space="preserve">Республика Хакасия</t>
  </si>
  <si>
    <t xml:space="preserve">Ростовская область</t>
  </si>
  <si>
    <t>HEAT_IP_EVENT_GROUP_LIST</t>
  </si>
  <si>
    <t>VSNA_IP_EVENT_GROUP_LIST</t>
  </si>
  <si>
    <t>VOTV_IP_EVENT_GROUP_LIST</t>
  </si>
  <si>
    <t>OTKO_IP_EVENT_GROUP_LIST</t>
  </si>
  <si>
    <t xml:space="preserve">Рязанская область</t>
  </si>
  <si>
    <t xml:space="preserve">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</si>
  <si>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 xml:space="preserve">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</si>
  <si>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 xml:space="preserve">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</si>
  <si>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 xml:space="preserve">Мероприятия инвестиционной программы в части накопления твердых коммунальных отходов</t>
  </si>
  <si>
    <t xml:space="preserve">Самарская область</t>
  </si>
  <si>
    <t xml:space="preserve">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</si>
  <si>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 xml:space="preserve">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</si>
  <si>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 xml:space="preserve">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</si>
  <si>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 xml:space="preserve">Мероприятия инвестиционной программы в части обработки твердых коммунальных отходов</t>
  </si>
  <si>
    <t xml:space="preserve">Саратовская область</t>
  </si>
  <si>
    <t xml:space="preserve">Реконструкция или модернизация существующих объектов теплоснабжения в целях снижения уровня износа существующих объектов теплоснабжения</t>
  </si>
  <si>
    <t xml:space="preserve">Реконструкция или модернизация существующих объектов водоснабжения в целях снижения уровня износа существующих объектов водоснабжения</t>
  </si>
  <si>
    <t xml:space="preserve">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</si>
  <si>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 xml:space="preserve">Мероприятия инвестиционной программы в части утилизации твердых коммунальных отходов</t>
  </si>
  <si>
    <t xml:space="preserve">Сахалинская область</t>
  </si>
  <si>
    <t xml:space="preserve">Мероприятия, направленные на повышение экологической эффективности</t>
  </si>
  <si>
    <t xml:space="preserve">Мероприятия инвестиционной программы в части обезвреживания твердых коммунальных отходов</t>
  </si>
  <si>
    <t xml:space="preserve">Свердловская область</t>
  </si>
  <si>
    <t xml:space="preserve">Вывод из эксплуатации, консервации и демонтаж объектов теплоснабжения</t>
  </si>
  <si>
    <t xml:space="preserve">Вывод из эксплуатации, консервация и демонтаж объектов водоснабжения</t>
  </si>
  <si>
    <t xml:space="preserve">Вывод из эксплуатации, консервация и демонтаж объектов водоотведения и очистки сточных вод</t>
  </si>
  <si>
    <t xml:space="preserve">Мероприятия инвестиционной программы в части хранения твердых коммунальных отходов</t>
  </si>
  <si>
    <t xml:space="preserve">Смоленская область</t>
  </si>
  <si>
    <t xml:space="preserve">Мероприятия, направленные на повышение энергоэффективности в сфере теплоснабжения</t>
  </si>
  <si>
    <t xml:space="preserve">Мероприятия, направленные на повышение энергоэффективности в сфере водоснабжения</t>
  </si>
  <si>
    <t xml:space="preserve">Мероприятия, направленные на повышение энергоэффективности в сфере водоотведения и очистки сточных вод</t>
  </si>
  <si>
    <t xml:space="preserve">Мероприятия инвестиционной программы в части захоронения твердых коммунальных отходов</t>
  </si>
  <si>
    <t xml:space="preserve">Ставропольский край</t>
  </si>
  <si>
    <t>PT_DIAMETERS_2_LIST</t>
  </si>
  <si>
    <t xml:space="preserve">Мероприятия по подготовке проектной документации</t>
  </si>
  <si>
    <t xml:space="preserve">Тамбовская область</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</si>
  <si>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</si>
  <si>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
</t>
  </si>
  <si>
    <t xml:space="preserve">Тверская область</t>
  </si>
  <si>
    <t xml:space="preserve">Томская область</t>
  </si>
  <si>
    <t xml:space="preserve">Тульская область</t>
  </si>
  <si>
    <t>HEAT_IP_EVENT_SUBGROUP_1_LIST</t>
  </si>
  <si>
    <t>VSNA_IP_EVENT_SUBGROUP_1_LIST</t>
  </si>
  <si>
    <t>VOTV_IP_EVENT_SUBGROUP_1_LIST</t>
  </si>
  <si>
    <t xml:space="preserve">Тюменская область</t>
  </si>
  <si>
    <t xml:space="preserve">строительство новых тепловых сетей в целях подключения потребителей</t>
  </si>
  <si>
    <t xml:space="preserve">строительство новых сетей водоснабжения в целях подключения потребителей</t>
  </si>
  <si>
    <t xml:space="preserve">строительство новых сетей водоотведения и очистки сточных вод в целях подключения потребителей</t>
  </si>
  <si>
    <t xml:space="preserve">Удмуртская республика</t>
  </si>
  <si>
    <t xml:space="preserve">строительство иных объектов теплоснабжения за исключением тепловых сетей в целях подключения потребителей</t>
  </si>
  <si>
    <t xml:space="preserve">строительство иных объектов водоснабжения, за исключением сетей водоснабжения в целях подключения потребителей</t>
  </si>
  <si>
    <t xml:space="preserve">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</si>
  <si>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 xml:space="preserve">Ульяновская область</t>
  </si>
  <si>
    <t xml:space="preserve">увеличение пропускной способности существующих тепловых сетей в целях подключения потребителей</t>
  </si>
  <si>
    <t xml:space="preserve">увеличение пропускной способности существующих сетей водоснабжения в целях подключения потребителей</t>
  </si>
  <si>
    <t xml:space="preserve">увеличение пропускной способности существующих сетей водоотведения и очистки сточных вод в целях подключения потребителей</t>
  </si>
  <si>
    <t xml:space="preserve">Хабаровский край</t>
  </si>
  <si>
    <t xml:space="preserve">увеличение мощности и производительности существующих объектов теплоснабжения за исключением тепловых сетей в целях подключения потребителей</t>
  </si>
  <si>
    <t xml:space="preserve">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</si>
  <si>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 xml:space="preserve">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</si>
  <si>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 xml:space="preserve">Ханты-Мансийский автономный округ</t>
  </si>
  <si>
    <t>TYPE_TKO_LIST</t>
  </si>
  <si>
    <t xml:space="preserve">Херсонская область</t>
  </si>
  <si>
    <t>несортированные</t>
  </si>
  <si>
    <t xml:space="preserve">Челябинская область</t>
  </si>
  <si>
    <t>сортированные</t>
  </si>
  <si>
    <t>HEAT_IP_EVENT_SUBGROUP_3_LIST</t>
  </si>
  <si>
    <t>VSNA_IP_EVENT_SUBGROUP_3_LIST</t>
  </si>
  <si>
    <t>VOTV_IP_EVENT_SUBGROUP_3_LIST</t>
  </si>
  <si>
    <t xml:space="preserve">Чеченская республика</t>
  </si>
  <si>
    <t>крупногабаритные</t>
  </si>
  <si>
    <t xml:space="preserve">реконструкция или модернизация существующих тепловых сетей</t>
  </si>
  <si>
    <t xml:space="preserve">реконструкция или модернизация существующих сетей водоснабжения</t>
  </si>
  <si>
    <t xml:space="preserve">реконструкция или модернизация существующих сетей водоотведения и очистки сточных вод</t>
  </si>
  <si>
    <t xml:space="preserve">Чувашская республика</t>
  </si>
  <si>
    <t xml:space="preserve">реконструкция или модернизация существующих объектов теплоснабжения, за исключением тепловых сетей</t>
  </si>
  <si>
    <t xml:space="preserve">реконструкция или модернизация существующих объектов водоснабжения, за исключением сетей водоснабжения</t>
  </si>
  <si>
    <t xml:space="preserve">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</si>
  <si>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 xml:space="preserve">Чукотский автономный округ</t>
  </si>
  <si>
    <t>CLASS_TKO_LIST</t>
  </si>
  <si>
    <t xml:space="preserve">Ямало-Ненецкий автономный округ</t>
  </si>
  <si>
    <t xml:space="preserve">Ярославская область</t>
  </si>
  <si>
    <t>HEAT_IP_EVENT_SUBGROUP_5_LIST</t>
  </si>
  <si>
    <t>VSNA_IP_EVENT_SUBGROUP_5_LIST</t>
  </si>
  <si>
    <t>VOTV_IP_EVENT_SUBGROUP_5_LIST</t>
  </si>
  <si>
    <t>III</t>
  </si>
  <si>
    <t xml:space="preserve">вывод из эксплуатации, консервация и демонтаж тепловых сетей</t>
  </si>
  <si>
    <t xml:space="preserve">вывод из эксплуатации, консервация и демонтаж сетей водоснабжения</t>
  </si>
  <si>
    <t xml:space="preserve">вывод из эксплуатации, консервация и демонтаж сетей водоотведения и очистки сточных вод</t>
  </si>
  <si>
    <t>IV</t>
  </si>
  <si>
    <t xml:space="preserve">вывод из эксплуатации, консервация и демонтаж иных объектов теплоснабжения, за исключением тепловых сетей</t>
  </si>
  <si>
    <t xml:space="preserve">вывод из эксплуатации, консервация и демонтаж иных объектов водоснабжения, за исключением сетей водоснабжения</t>
  </si>
  <si>
    <t xml:space="preserve">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</si>
  <si>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</si>
  <si>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</si>
  <si>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</si>
  <si>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</si>
  <si>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</si>
  <si>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</si>
  <si>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 xml:space="preserve">информация об органе регулирования и перечень организаций</t>
  </si>
  <si>
    <t xml:space="preserve">в течение 30 дней со дня изменения такой информации</t>
  </si>
  <si>
    <t xml:space="preserve">производство тепловой энергии</t>
  </si>
  <si>
    <t xml:space="preserve">на забор и подъём воды</t>
  </si>
  <si>
    <t xml:space="preserve">на транспортировку сточных вод</t>
  </si>
  <si>
    <t>сбор</t>
  </si>
  <si>
    <t xml:space="preserve">доклад о результатах правоприменительной практики</t>
  </si>
  <si>
    <t xml:space="preserve">не позднее 3 дней со дня утверждения доклада</t>
  </si>
  <si>
    <t xml:space="preserve">передача теплоэнергии по региональным тепловым сетям</t>
  </si>
  <si>
    <t xml:space="preserve">на водоподготовку</t>
  </si>
  <si>
    <t xml:space="preserve">очистка сточных вод</t>
  </si>
  <si>
    <t>накопление</t>
  </si>
  <si>
    <t xml:space="preserve">дата, время и место проведения заседания об установлении тарифов</t>
  </si>
  <si>
    <t xml:space="preserve">прочие объекты и мероприятия, относимые к регулируемому виду деятельности</t>
  </si>
  <si>
    <t xml:space="preserve">на транспортировку воды</t>
  </si>
  <si>
    <t xml:space="preserve">обращение с осадком сточных вод</t>
  </si>
  <si>
    <t>транспортирование</t>
  </si>
  <si>
    <t xml:space="preserve">информация о принятых решениях об установлении тарифов</t>
  </si>
  <si>
    <t>обработка</t>
  </si>
  <si>
    <t xml:space="preserve">информация о принятых решениях об утверждении предельного уровня цены на тепловую энергию (мощность)</t>
  </si>
  <si>
    <t xml:space="preserve">в течение 10 дней со дня принятия соответствующего решения</t>
  </si>
  <si>
    <t>утилизация</t>
  </si>
  <si>
    <t xml:space="preserve">протокол заседания правления</t>
  </si>
  <si>
    <t>обезвреживание</t>
  </si>
  <si>
    <t xml:space="preserve">информация о привлечении к ответственности</t>
  </si>
  <si>
    <t xml:space="preserve">до 30 апреля года, следующего за отчётным годом</t>
  </si>
  <si>
    <t xml:space="preserve">размещение отходов</t>
  </si>
  <si>
    <t xml:space="preserve">энергетическая утилизация</t>
  </si>
  <si>
    <t>UNIT_CONNECT_LIST</t>
  </si>
  <si>
    <t>тыс.руб./Гкал/ч</t>
  </si>
  <si>
    <t>тыс.руб.</t>
  </si>
  <si>
    <t>WARM_IP_EVENT_TYPE_LIST</t>
  </si>
  <si>
    <t>VSNA_IP_EVENT_TYPE_LIST</t>
  </si>
  <si>
    <t>VOTV_IP_EVENT_TYPE_LIST</t>
  </si>
  <si>
    <t>OTKO_IP_EVENT_TYPE_LIST</t>
  </si>
  <si>
    <t xml:space="preserve">Производство тепловой энергии</t>
  </si>
  <si>
    <t>Водоснабжение</t>
  </si>
  <si>
    <t xml:space="preserve">Обращение с твердыми коммунальными отходами</t>
  </si>
  <si>
    <t xml:space="preserve">Прочие объекты и мероприятия, относимые к регулируемому виду деятельности</t>
  </si>
  <si>
    <t>ROIV_INFO_LIST_NO_HEAT</t>
  </si>
  <si>
    <t>HEAT_PT_SCHEME</t>
  </si>
  <si>
    <t xml:space="preserve">Фамилия, имя и отчество (при наличии) руководителя:</t>
  </si>
  <si>
    <t>фамилия</t>
  </si>
  <si>
    <t xml:space="preserve">Указывается фамилия руководителя в соответствии с паспортными данными физического лица.</t>
  </si>
  <si>
    <t>имя</t>
  </si>
  <si>
    <t xml:space="preserve">Указывается имя руководителя в соответствии с паспортными данными физического лица.</t>
  </si>
  <si>
    <t xml:space="preserve">отчество (при наличии)</t>
  </si>
  <si>
    <t xml:space="preserve">Указывается отчество руководителя в соответствии с паспортными данными физического лица (при наличии).</t>
  </si>
  <si>
    <t xml:space="preserve">Почтовый адрес </t>
  </si>
  <si>
    <t xml:space="preserve">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t>
  </si>
  <si>
    <t xml:space="preserve">Адрес места нахождения </t>
  </si>
  <si>
    <t xml:space="preserve">Справочные телефоны</t>
  </si>
  <si>
    <t xml:space="preserve">Указывается номер контактного телефона. В случае наличия нескольких номеров телефонов, информация по каждому из них указывается в отдельной строке.</t>
  </si>
  <si>
    <t xml:space="preserve">Адрес официального сайта органа регулирования тарифов в сети "Интернет"</t>
  </si>
  <si>
    <t xml:space="preserve">Указывается адрес официального сайта в сети "Интернет". В случае отсутствия официального сайта в сети "Интернет" указывается "Отсутствует".</t>
  </si>
  <si>
    <t xml:space="preserve">Адрес электронной почты</t>
  </si>
  <si>
    <t xml:space="preserve">Указывается при наличии.</t>
  </si>
  <si>
    <t xml:space="preserve">Наименование организации</t>
  </si>
  <si>
    <t xml:space="preserve">ОГРН (ОГРНИП)</t>
  </si>
  <si>
    <t xml:space="preserve">Добавить организацию</t>
  </si>
  <si>
    <t>дата</t>
  </si>
  <si>
    <t>время</t>
  </si>
  <si>
    <t>место</t>
  </si>
  <si>
    <t xml:space="preserve">Добавить заседание</t>
  </si>
  <si>
    <t xml:space="preserve">Наименование органа тарифного регулирования</t>
  </si>
  <si>
    <t xml:space="preserve">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</si>
  <si>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 xml:space="preserve">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</si>
  <si>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 xml:space="preserve">Добавить должностное лицо</t>
  </si>
  <si>
    <t xml:space="preserve">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</si>
  <si>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</si>
  <si>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 xml:space="preserve">Краткое описание нарушения</t>
  </si>
  <si>
    <t xml:space="preserve">Результат рассмотрения дела об административном правонарушении</t>
  </si>
  <si>
    <t xml:space="preserve">Наименование регулируемой организации</t>
  </si>
  <si>
    <t xml:space="preserve">В поле "Субъект Российской Федерации" указывается наименование субъекта Российской Федерации.
В поле "Наименование организации" указывается наименование юридического лица согласно уставу организации
В поле "ИНН" указывается идентификационный номер налогоплательщика.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</si>
  <si>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rPr>
      <t>2</t>
    </r>
  </si>
  <si>
    <t xml:space="preserve">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</si>
  <si>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 xml:space="preserve">Название документа</t>
  </si>
  <si>
    <t xml:space="preserve">Исходящий номер</t>
  </si>
  <si>
    <t xml:space="preserve">Дата отправления</t>
  </si>
  <si>
    <t xml:space="preserve">В колонке "Дата отправления" дата указывается в виде «ДД.ММ.ГГГГ».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</si>
  <si>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rPr>
      <t>2</t>
    </r>
    <r>
      <rPr>
        <sz val="9"/>
        <rFont val="Tahoma"/>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</si>
  <si>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 xml:space="preserve">Сведения об изменениях в первоначально опубликованной информации*</t>
  </si>
  <si>
    <t>Сведения</t>
  </si>
  <si>
    <t>Добавить</t>
  </si>
  <si>
    <t xml:space="preserve">* Лист заполняется в случае, если на Титульном листе в поле "Тип отчета" выбрано значение «Изменения в раскрытой ранее информации».</t>
  </si>
  <si>
    <t>Комментарии</t>
  </si>
  <si>
    <t xml:space="preserve">В утвержденной инвестиционной программе ГВС входит в состав теплоснабжения</t>
  </si>
  <si>
    <t xml:space="preserve">Показатели на листе "качество и надежность" отсутствуют, так как не определены в утвержденной инвестиционной программе.</t>
  </si>
  <si>
    <t xml:space="preserve">В листе "ИП. Детализация" источник финансирования "прочие собственные средства" по проекту "Техническое перевооружение системы контроля параметров работы системы централизованного теплоснабжения (технический учет) в г. Биробиджан СП Биробиджанская ТЭЦ N_505-БирТЭЦ-5"  - повышающий коэффициент; по проекту "Покупка объектов интеллектуальной собственности (НМА)" - выручка по себестоимости.</t>
  </si>
  <si>
    <t xml:space="preserve">В Инвестиционную программу АО "ДГК" включено мероприятие, размер финансирования которого сформирован с отрицательными значениями. По техническим причинам в листе "ИП. Детализация" в графе "Размер финансирования" не допускается ввод отрицательных чисел. В целях корректного заполнения шаблона в отчетной форме исключен проект "Реконструкция системы ТВС (технического водоснабжения) СП БТЭЦ F_505-ХТСКб-10" так как имеет отрицательные плановые показатели.</t>
  </si>
  <si>
    <t xml:space="preserve">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</si>
  <si>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</si>
  <si>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</si>
  <si>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</si>
  <si>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</si>
  <si>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</si>
  <si>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</si>
  <si>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</si>
  <si>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</si>
  <si>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</si>
  <si>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</si>
  <si>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</si>
  <si>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</si>
  <si>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</si>
  <si>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</si>
  <si>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</si>
  <si>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</si>
  <si>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</si>
  <si>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</si>
  <si>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</si>
  <si>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et_IP_MAIN_PROPERTY</t>
  </si>
  <si>
    <t>et_IP_DETAILED</t>
  </si>
  <si>
    <t>et_IP_DETAILED_OBJECT</t>
  </si>
  <si>
    <t>et_IP_DETAILED_IST_FIN</t>
  </si>
  <si>
    <t>et_IP_DETAILED_EVENT</t>
  </si>
  <si>
    <t>et_QRE</t>
  </si>
  <si>
    <t>et_B_FHD20_1_NOT_HEAT</t>
  </si>
  <si>
    <t xml:space="preserve">Добавить поставщика</t>
  </si>
  <si>
    <t>et_B_FHD20_1_HEAT</t>
  </si>
  <si>
    <t xml:space="preserve">et_B_FHD20_2, _3, _4</t>
  </si>
  <si>
    <t xml:space="preserve">Итого по поставщику, в том числе</t>
  </si>
  <si>
    <t xml:space="preserve">Добавить товар/услугу</t>
  </si>
  <si>
    <t xml:space="preserve">Добавить способ</t>
  </si>
  <si>
    <t>et_DIFFERENTIATION_TARIFF(_etc)</t>
  </si>
  <si>
    <t>et_DIFFERENTIATION_TARIFF_NOT_HEAT(_etc)</t>
  </si>
  <si>
    <t>et_DIFFERENTIATION_TKO(_etc)</t>
  </si>
  <si>
    <t xml:space="preserve">Добавить класс ТКО</t>
  </si>
  <si>
    <t xml:space="preserve">Добавить вид ТКО</t>
  </si>
  <si>
    <t xml:space="preserve">Добавить технологическую особенность</t>
  </si>
  <si>
    <t xml:space="preserve">Имя листа</t>
  </si>
  <si>
    <t xml:space="preserve">Наименование, номер формы</t>
  </si>
  <si>
    <t>ТП</t>
  </si>
  <si>
    <t xml:space="preserve">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</si>
  <si>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 xml:space="preserve">Общая информация об организации</t>
  </si>
  <si>
    <t xml:space="preserve">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</si>
  <si>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 xml:space="preserve">Форма 1. Информация об организации (общая информация)</t>
  </si>
  <si>
    <t>Договоры</t>
  </si>
  <si>
    <t xml:space="preserve">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</si>
  <si>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 xml:space="preserve">Форма 8. Информация об условиях, на которых осуществляется оказание услуг в области обращения с твердыми коммунальными отходами</t>
  </si>
  <si>
    <t xml:space="preserve">Показатели ФХД</t>
  </si>
  <si>
    <t xml:space="preserve">Показатели ФХД &gt;20%</t>
  </si>
  <si>
    <t xml:space="preserve">Форма 11. Информация о расходах на капитальный и текущий ремонт основных средств</t>
  </si>
  <si>
    <t xml:space="preserve">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</si>
  <si>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 xml:space="preserve">Показатели КНЭ</t>
  </si>
  <si>
    <t xml:space="preserve">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</si>
  <si>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 xml:space="preserve">PRICE
Т-ТЭ | &gt;=25МВт
Т-ТЭ | ТСО
Резерв мощности</t>
  </si>
  <si>
    <t xml:space="preserve">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</si>
  <si>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 xml:space="preserve">PRICE
Т-ТН
Т-передача ТЭ
Т-передача ТН</t>
  </si>
  <si>
    <t xml:space="preserve">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</si>
  <si>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 xml:space="preserve">PRICE
Т-гор.вода</t>
  </si>
  <si>
    <t xml:space="preserve">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</si>
  <si>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xml:space="preserve">PRICE
Т-подкл</t>
  </si>
  <si>
    <t xml:space="preserve">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</si>
  <si>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 xml:space="preserve">REQUEST
Т-ТЭ | &gt;=25МВт
Т-ТЭ | ТСО
Резерв мощности</t>
  </si>
  <si>
    <t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</si>
  <si>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 xml:space="preserve">REQUEST
Т-ТН
Т-передача ТЭ
Т-передача ТН</t>
  </si>
  <si>
    <t xml:space="preserve">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</si>
  <si>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 xml:space="preserve">REQUEST
Т-гор.вода</t>
  </si>
  <si>
    <t xml:space="preserve">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</si>
  <si>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xml:space="preserve">REQUEST
Т-подкл</t>
  </si>
  <si>
    <t xml:space="preserve">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</si>
  <si>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 xml:space="preserve">PRICE
ХВС. Т-пит
ХВС. Т-тех
ХВС. Т-транс
ХВС. Т-подвоз</t>
  </si>
  <si>
    <t xml:space="preserve">Форма 2. Информация
о тарифах в сфере холодного водоснабжения на товары (услуги) организации холодного водоснабжения, подлежащих регулированию</t>
  </si>
  <si>
    <t xml:space="preserve">PRICE
ХВС. Т-подкл</t>
  </si>
  <si>
    <t xml:space="preserve">Форма 3. Информация об установленных тарифах на подключение (технологическое присоединение) к централизованной системе холодного водоснабжения</t>
  </si>
  <si>
    <t xml:space="preserve">REQUEST
ХВС. Т-пит
ХВС. Т-тех
ХВС. Т-транс
ХВС. Т-подвоз</t>
  </si>
  <si>
    <t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t>
  </si>
  <si>
    <t xml:space="preserve">REQUEST
ХВС. Т-подкл</t>
  </si>
  <si>
    <t xml:space="preserve">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</si>
  <si>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 xml:space="preserve">PRICE
ГВС. Т-гор.вода
ГВС. Т-транс</t>
  </si>
  <si>
    <t xml:space="preserve">Форма 2. Информация о тарифах в сфере горячего водоснабжения на товары (услуги) организации горячего водоснабжения, подлежащих регулированию</t>
  </si>
  <si>
    <t xml:space="preserve">PRICE
ГВС. Т-подкл</t>
  </si>
  <si>
    <t xml:space="preserve">Форма 3. Информация об установленных тарифах на подключение (технологическое присоединение) к централизованной системе горячего водоснабжения</t>
  </si>
  <si>
    <t xml:space="preserve">REQUEST
ГВС. Т-гор.вода
ГВС. Т-транс</t>
  </si>
  <si>
    <t xml:space="preserve">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</si>
  <si>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 xml:space="preserve">REQUEST
ГВС. Т-подкл</t>
  </si>
  <si>
    <t xml:space="preserve">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</si>
  <si>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 xml:space="preserve">PRICE
ВО. Т-во
ВО. Т-транс</t>
  </si>
  <si>
    <t xml:space="preserve">Форма 2. Информация о тарифах в сфере водоотведения на товары (услуги) организации водоотведения, подлежащих регулированию</t>
  </si>
  <si>
    <t xml:space="preserve">PRICE
ВО. Т-подкл</t>
  </si>
  <si>
    <t xml:space="preserve">Форма 3.  Информация об установленных тарифах на подключение (технологическое присоединение) к централизованной системе водоотведения</t>
  </si>
  <si>
    <t xml:space="preserve">REQUEST
ВО. Т-во
ВО. Т-транс</t>
  </si>
  <si>
    <t xml:space="preserve">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</si>
  <si>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 xml:space="preserve">REQUEST
ВО. Т-подкл</t>
  </si>
  <si>
    <t xml:space="preserve">Форма 14. Информация о предложении организации водоотведения расчетной величины тарифов на подключение к централизованной системе водоотведения</t>
  </si>
  <si>
    <t xml:space="preserve">Сведения о закупках</t>
  </si>
  <si>
    <t xml:space="preserve">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</si>
  <si>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 xml:space="preserve">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</si>
  <si>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 xml:space="preserve">Порядок ТП</t>
  </si>
  <si>
    <t xml:space="preserve">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</si>
  <si>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 xml:space="preserve">Общая информация по ВД</t>
  </si>
  <si>
    <t xml:space="preserve">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</si>
  <si>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 xml:space="preserve">ИП
ИП. Детализация
ИП. Финансовый план
ИП. КНЭ</t>
  </si>
  <si>
    <t xml:space="preserve">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</si>
  <si>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 xml:space="preserve">Форма 7. Информация об инвестиционных программах и отчетах об их реализации (в части регулируемых видов деятельности)</t>
  </si>
  <si>
    <t xml:space="preserve">пункт НПА</t>
  </si>
  <si>
    <t xml:space="preserve">подпункт НПА</t>
  </si>
  <si>
    <t xml:space="preserve">состав пункта</t>
  </si>
  <si>
    <t xml:space="preserve">описание парметров</t>
  </si>
  <si>
    <t xml:space="preserve">номер пункта</t>
  </si>
  <si>
    <t xml:space="preserve">описание параметров</t>
  </si>
  <si>
    <t xml:space="preserve">описание к листу Общая информация об организации</t>
  </si>
  <si>
    <t xml:space="preserve">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</si>
  <si>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 xml:space="preserve">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</si>
  <si>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 xml:space="preserve">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</si>
  <si>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 xml:space="preserve">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</si>
  <si>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</si>
  <si>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</si>
  <si>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 xml:space="preserve">Количество поданных заявок</t>
  </si>
  <si>
    <t xml:space="preserve">Количество поданных заявлений </t>
  </si>
  <si>
    <t xml:space="preserve">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</si>
  <si>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</si>
  <si>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 xml:space="preserve">Количество рассмотренных заявок</t>
  </si>
  <si>
    <t xml:space="preserve">Количество исполненных заявлений </t>
  </si>
  <si>
    <t xml:space="preserve">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</si>
  <si>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</si>
  <si>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 xml:space="preserve">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</si>
  <si>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 xml:space="preserve">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</si>
  <si>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 xml:space="preserve">Указывается количество заявок с решением об отказе в течение отчетного квартала.</t>
  </si>
  <si>
    <t xml:space="preserve">Причины отказа в заключении договора о подключении (технологическом присоединении) к системе теплоснабжения</t>
  </si>
  <si>
    <t xml:space="preserve">Указывается текстовое описание причин принятия решений.
Не заполняется в случае, если решения об отказе в течение отчетного периода не принимались.</t>
  </si>
  <si>
    <t>г</t>
  </si>
  <si>
    <t xml:space="preserve">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</si>
  <si>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</si>
  <si>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 xml:space="preserve">Выручка от регулируемого вида деятельности с распределением по видам деятельности</t>
  </si>
  <si>
    <t xml:space="preserve">Выручка от регулируемых видов деятельности в сфере холодного водоснабжения</t>
  </si>
  <si>
    <t xml:space="preserve">Выручка от регулируемых видов деятельности в сфере горячего водоснабжения</t>
  </si>
  <si>
    <t xml:space="preserve">Выручка от регулируемых видов деятельности в сфере водоотведения</t>
  </si>
  <si>
    <t xml:space="preserve">Указывается выручка от регулируемого вида деятельности с распределением по видам деятельности.</t>
  </si>
  <si>
    <t xml:space="preserve">Указывается выручка с распределением по видам деятельности.</t>
  </si>
  <si>
    <t xml:space="preserve">Себестоимость производимых товаров (оказываемых услуг) по регулируемому виду деятельности, включая:</t>
  </si>
  <si>
    <t xml:space="preserve">Себестоимость производимых товаров (оказываемых услуг) по регулируемым видам деятельности в сфере холодного водоснабжения, включая:</t>
  </si>
  <si>
    <t xml:space="preserve">Себестоимость производимых товаров (оказываемых услуг) по регулируемым видам деятельности в сфере горячего водоснабжения, включая:</t>
  </si>
  <si>
    <t xml:space="preserve">Себестоимость производимых товаров (оказываемых услуг) по регулируемым видам деятельности в сфере водоотведения, включая:</t>
  </si>
  <si>
    <t xml:space="preserve">Указывается суммарная себестоимость производимых товаров.</t>
  </si>
  <si>
    <t xml:space="preserve">Расходы на приобретаемую тепловую энергию (мощность), теплоноситель</t>
  </si>
  <si>
    <t xml:space="preserve">Расходы на оплату холодной воды, приобретаемой у других организаций для последующей подачи потребителям</t>
  </si>
  <si>
    <t xml:space="preserve">Расходы на приобретаемую тепловую энергию (мощность), используемую для горячего водоснабжения</t>
  </si>
  <si>
    <t xml:space="preserve">Расходы на оплату услуг по приему, транспортировке и очистке сточных вод другими организациями</t>
  </si>
  <si>
    <t xml:space="preserve">Расходы на топливо с указанием по каждому виду топлива стоимости (за единицу объема), объема и способа его приобретения, стоимости его доставки</t>
  </si>
  <si>
    <t xml:space="preserve">Указываются суммарные расходы на приобретение топлива всех видов.</t>
  </si>
  <si>
    <t xml:space="preserve">Расходы на тепловую энергию, производимую с применением собственных источников и используемую для горячего водоснабжения</t>
  </si>
  <si>
    <t xml:space="preserve">Расходы на приобретаемую холодную воду, используемую для горячего водоснабжения</t>
  </si>
  <si>
    <t xml:space="preserve">Расходы на холодную воду, получаемую с применением собственных источников водозабора (скважин) и используемую для горячего водоснабжения</t>
  </si>
  <si>
    <t xml:space="preserve">Расходы на приобретаемую электрическую энергию (мощность), используемую в технологическом процессе</t>
  </si>
  <si>
    <t>2.5.1</t>
  </si>
  <si>
    <t xml:space="preserve">Средневзвешенная стоимость 1 кВт.ч (с учетом мощности)</t>
  </si>
  <si>
    <t>2.5.2</t>
  </si>
  <si>
    <t xml:space="preserve">Объём приобретения электрической энергии</t>
  </si>
  <si>
    <t xml:space="preserve">Расходы на приобретение холодной воды, используемой в технологическом процессе</t>
  </si>
  <si>
    <t xml:space="preserve">Расходы на химические реагенты, используемые в технологическом процессе</t>
  </si>
  <si>
    <t xml:space="preserve">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</si>
  <si>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 xml:space="preserve">Указывается общая сумма расходов на оплату труда и отчислений на социальные нужды основного производственного персонала.</t>
  </si>
  <si>
    <t>9.1</t>
  </si>
  <si>
    <t>2.6.1</t>
  </si>
  <si>
    <t xml:space="preserve">Расходы на оплату труда основного производственного персонала</t>
  </si>
  <si>
    <t>9.2</t>
  </si>
  <si>
    <t>2.6.2</t>
  </si>
  <si>
    <t xml:space="preserve">Страховые взносы на обязательное социальное страхование, выплачиваемые из фонда оплаты труда основного производственного персонала</t>
  </si>
  <si>
    <t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</si>
  <si>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</si>
  <si>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 xml:space="preserve">Указывается общая сумма расходов на оплату труда и отчислений на социальные нужды административно-управленческого персонала.</t>
  </si>
  <si>
    <t>10.1</t>
  </si>
  <si>
    <t>2.7.1</t>
  </si>
  <si>
    <t xml:space="preserve">Расходы на оплату труда административно-управленческого персонала</t>
  </si>
  <si>
    <t xml:space="preserve">Расходы на оплату труда административно-управленческого персонала, в том числе:</t>
  </si>
  <si>
    <t>10.2</t>
  </si>
  <si>
    <t>2.7.2</t>
  </si>
  <si>
    <t xml:space="preserve">Страховые взносы на обязательное социальное страхование, выплачиваемые из фонда оплаты труда административно-управленческого персонала</t>
  </si>
  <si>
    <t xml:space="preserve">Расходы на амортизацию основных средств и нематериальных активов</t>
  </si>
  <si>
    <t>11.1</t>
  </si>
  <si>
    <t>2.8.1</t>
  </si>
  <si>
    <t xml:space="preserve">Расходы на амортизацию основных средств</t>
  </si>
  <si>
    <t>11.2</t>
  </si>
  <si>
    <t>2.8.2</t>
  </si>
  <si>
    <t xml:space="preserve">Расходы на амортизацию нематериальных активов</t>
  </si>
  <si>
    <t xml:space="preserve">Расходы на аренду имущества, используемого для осуществления регулируемого вида деятельности</t>
  </si>
  <si>
    <t xml:space="preserve">Расходы на аренду имущества, используемого для осуществления регулируемых видов деятельности в сфере холодного водоснабжения</t>
  </si>
  <si>
    <t xml:space="preserve">Расходы на аренду имущества, используемого для осуществления регулируемых видов деятельности в сфере горячего водоснабжения</t>
  </si>
  <si>
    <t xml:space="preserve">Расходы на аренду имущества, используемого для осуществления регулируемых видов деятельности в сфере водоотведения</t>
  </si>
  <si>
    <t>2.10</t>
  </si>
  <si>
    <t xml:space="preserve">Общепроизводственные расходы, в том числе:</t>
  </si>
  <si>
    <t xml:space="preserve">Указывается общая сумма общепроизводственных расходов.</t>
  </si>
  <si>
    <t>13.1</t>
  </si>
  <si>
    <t>2.10.1</t>
  </si>
  <si>
    <t xml:space="preserve">Расходы на текущий ремонт</t>
  </si>
  <si>
    <t xml:space="preserve">Указываются расходы на текущий ремонт, отнесенные к общепроизводственным расходам.</t>
  </si>
  <si>
    <t>13.2</t>
  </si>
  <si>
    <t>2.10.2</t>
  </si>
  <si>
    <t xml:space="preserve">Расходы на капитальный ремонт</t>
  </si>
  <si>
    <t xml:space="preserve">Указываются расходы на капитальный ремонт, отнесенные к общепроизводственным расходам.</t>
  </si>
  <si>
    <t>2.11</t>
  </si>
  <si>
    <t xml:space="preserve">Общехозяйственные расходы, в том числе:</t>
  </si>
  <si>
    <t xml:space="preserve">Указывается общая сумма общехозяйственных расходов.</t>
  </si>
  <si>
    <t>14.1</t>
  </si>
  <si>
    <t>2.11.1</t>
  </si>
  <si>
    <t>2.9.1</t>
  </si>
  <si>
    <t xml:space="preserve">Указываются расходы на текущий ремонт, отнесенные к общехозяйственным расходам.</t>
  </si>
  <si>
    <t>14.2</t>
  </si>
  <si>
    <t>2.11.2</t>
  </si>
  <si>
    <t>2.9.2</t>
  </si>
  <si>
    <t xml:space="preserve">Указываются расходы на капитальный ремонт, отнесенные к общехозяйственным расходам.</t>
  </si>
  <si>
    <t>2.12</t>
  </si>
  <si>
    <t xml:space="preserve">Расходы на капитальный и текущий ремонт основных средств</t>
  </si>
  <si>
    <t xml:space="preserve">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</si>
  <si>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 xml:space="preserve">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</si>
  <si>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</si>
  <si>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</si>
  <si>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</si>
  <si>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</si>
  <si>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</si>
  <si>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</si>
  <si>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</si>
  <si>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</si>
  <si>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</si>
  <si>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 xml:space="preserve">Прочие расходы, которые подлежат отнесению на регулируемые виды деятельности в соответствии с законодательством Российской Федерации</t>
  </si>
  <si>
    <t xml:space="preserve">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</si>
  <si>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 xml:space="preserve">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</si>
  <si>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 xml:space="preserve">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</si>
  <si>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 xml:space="preserve">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</si>
  <si>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 xml:space="preserve">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</si>
  <si>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</si>
  <si>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 xml:space="preserve">Валовая прибыль (убытки) от реализации товаров и оказания услуг по регулируемому виду деятельности</t>
  </si>
  <si>
    <t xml:space="preserve">Чистая прибыль, полученная от регулируемого вида деятельности, в том числе:</t>
  </si>
  <si>
    <t xml:space="preserve">Чистая прибыль, полученная от регулируемого вида деятельности в сфере холодного водоснабжения, в том числе:</t>
  </si>
  <si>
    <t xml:space="preserve">Чистая прибыль, полученная от регулируемого вида деятельности в сфере горячего водоснабжения, в том числе:</t>
  </si>
  <si>
    <t xml:space="preserve">Чистая прибыль, полученная от регулируемого вида деятельности в сфере водоотведения, в том числе:</t>
  </si>
  <si>
    <t xml:space="preserve">Размер расходования чистой прибыли на финансирование мероприятий, предусмотренных инвестиционной программой регулируемой организации</t>
  </si>
  <si>
    <t xml:space="preserve">Изменение стоимости основных фондов за счет их ввода в эксплуатацию (вывода из эксплуатации)</t>
  </si>
  <si>
    <t xml:space="preserve">Указываются общее изменение стоимости основных фондов за счет их ввода в эксплуатацию и вывода из эксплуатации.</t>
  </si>
  <si>
    <t xml:space="preserve">Изменение стоимости основных фондов за счет их ввода в эксплуатацию</t>
  </si>
  <si>
    <t>5.1.2</t>
  </si>
  <si>
    <t xml:space="preserve">Изменение стоимости основных фондов за счет их вывода в эксплуатацию</t>
  </si>
  <si>
    <t xml:space="preserve">Изменение стоимости основных фондов за счет их переоценки</t>
  </si>
  <si>
    <t xml:space="preserve">Валовая прибыль (убытки) от продажи товаров и услуг по регулируемым видам деятельности в сфере холодного водоснабжения</t>
  </si>
  <si>
    <t xml:space="preserve">Валовая прибыль (убытки) от продажи товаров и услуг по регулируемым видам деятельности в сфере горячего водоснабжения</t>
  </si>
  <si>
    <t xml:space="preserve">Валовая прибыль (убытки) от продажи товаров и услуг по регулируемым видам деятельности в сфере водоотведения</t>
  </si>
  <si>
    <t>е</t>
  </si>
  <si>
    <t xml:space="preserve">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</si>
  <si>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 xml:space="preserve">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</si>
  <si>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 xml:space="preserve">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</si>
  <si>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</si>
  <si>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 xml:space="preserve">Объём поднятой воды</t>
  </si>
  <si>
    <t>з</t>
  </si>
  <si>
    <t xml:space="preserve">Объём покупной воды</t>
  </si>
  <si>
    <t>и</t>
  </si>
  <si>
    <t xml:space="preserve">Объём воды, пропущенной через очистные сооружения</t>
  </si>
  <si>
    <t>к</t>
  </si>
  <si>
    <t xml:space="preserve">Объём отпущенной потребителям воды, в том числе:</t>
  </si>
  <si>
    <t xml:space="preserve">Указывается общий объем отпущенной потребителям воды.</t>
  </si>
  <si>
    <t xml:space="preserve">Объём отпущенной потребителям воды, определенный по приборам учета</t>
  </si>
  <si>
    <t xml:space="preserve">Объём отпущенной потребителям воды, определенный расчетным способом</t>
  </si>
  <si>
    <t>10.2.1</t>
  </si>
  <si>
    <t xml:space="preserve">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</si>
  <si>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</si>
  <si>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</si>
  <si>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</si>
  <si>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 xml:space="preserve">Потери воды в сетях</t>
  </si>
  <si>
    <t xml:space="preserve">Объём приобретаемой холодной воды, используемой для горячего водоснабжения</t>
  </si>
  <si>
    <t xml:space="preserve">Объём холодной воды, получаемой с применением собственных источников водозабора (скважин) и используемой для горячего водоснабжения</t>
  </si>
  <si>
    <t xml:space="preserve">Объём приобретаемой тепловой энергии (мощности), используемой для горячего водоснабжения</t>
  </si>
  <si>
    <t xml:space="preserve">Объём тепловой энергии, производимой с применением собственных источников и используемой для горячего водоснабжения</t>
  </si>
  <si>
    <t xml:space="preserve">Потери горячей воды в сетях (процентов)</t>
  </si>
  <si>
    <t xml:space="preserve">Объём сточных вод, принятых от потребителей</t>
  </si>
  <si>
    <t xml:space="preserve">Объём сточных вод, принятых от других регулируемых организаций, осуществляющих водоотведение и (или) очистку сточных вод</t>
  </si>
  <si>
    <t xml:space="preserve">Объём сточных вод, пропущенных через очистные сооружения</t>
  </si>
  <si>
    <t xml:space="preserve">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t>
  </si>
  <si>
    <t xml:space="preserve">Тепловая нагрузка по договорам, заключенным в рамках осуществления регулируемых видов деятельности</t>
  </si>
  <si>
    <t xml:space="preserve">Регулируемыми организациями указывается информация по договорам, заключенным в рамках осуществления регулируемых видов деятельности</t>
  </si>
  <si>
    <t xml:space="preserve">Объем вырабатываемой регулируемой организацией тепловой энергии в рамках осуществления регулируемых видов деятельности</t>
  </si>
  <si>
    <t xml:space="preserve">Регулируемыми организациями указывается информация тепловой энергии, выработанной в рамках осуществления регулируемых видов деятельности.</t>
  </si>
  <si>
    <t xml:space="preserve">Объем приобретаемой регулируемой организацией тепловой энергии в рамках осуществления регулируемых видов деятельности</t>
  </si>
  <si>
    <t xml:space="preserve">Информация указывается только едиными теплоснабжающими организациями.</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</si>
  <si>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</si>
  <si>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 xml:space="preserve">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</si>
  <si>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</si>
  <si>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</si>
  <si>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 xml:space="preserve">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</si>
  <si>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 xml:space="preserve">Расчётным путём</t>
  </si>
  <si>
    <t>10.3</t>
  </si>
  <si>
    <t xml:space="preserve">По нормативам потребления коммунальных услуг и нормативам потребления коммунальных ресурсов</t>
  </si>
  <si>
    <t>м</t>
  </si>
  <si>
    <t xml:space="preserve">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</si>
  <si>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</si>
  <si>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</si>
  <si>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</si>
  <si>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 xml:space="preserve">Удельный расход электрической энергии на подачу воды в сеть</t>
  </si>
  <si>
    <t xml:space="preserve">Расход воды на собственные нужды, в том числе:</t>
  </si>
  <si>
    <t xml:space="preserve">Указывается доля общего расхода воды на собственные нужны от объема отпуска воды потребителям.</t>
  </si>
  <si>
    <t xml:space="preserve">Расход воды на хозяйственно-бытовые нужды</t>
  </si>
  <si>
    <t xml:space="preserve">Указывается доля расхода воды на хозяйственно-бытовые нужны от объема отпуска воды потребителям.</t>
  </si>
  <si>
    <t xml:space="preserve">Показатель использования производственных объектов (по объему перекачки), в том числе:</t>
  </si>
  <si>
    <t xml:space="preserve">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</si>
  <si>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</si>
  <si>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 xml:space="preserve">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</si>
  <si>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 xml:space="preserve">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</si>
  <si>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 xml:space="preserve">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</si>
  <si>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</si>
  <si>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</si>
  <si>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 xml:space="preserve">Регулируемыми организациями указывается информация с по договорам, заключенным в рамках осуществления регулируемой деятельности.</t>
  </si>
  <si>
    <t>у</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</si>
  <si>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</si>
  <si>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</si>
  <si>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 xml:space="preserve">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</si>
  <si>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</si>
  <si>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 xml:space="preserve">Информация о показателях физического износа объектов теплоснабжения</t>
  </si>
  <si>
    <t>19.2</t>
  </si>
  <si>
    <t xml:space="preserve">Информация о показателях энергетической эффективности объектов теплоснабжения</t>
  </si>
  <si>
    <t>27/44</t>
  </si>
  <si>
    <t>68</t>
  </si>
  <si>
    <t xml:space="preserve">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</si>
  <si>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 xml:space="preserve">Сведения об условиях публичных договоров на оказание регулируемых услуг в области обращения с твердыми коммунальными отходами</t>
  </si>
  <si>
    <t xml:space="preserve">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</si>
  <si>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 xml:space="preserve">Период действия тарифа</t>
  </si>
  <si>
    <t xml:space="preserve">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</si>
  <si>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</si>
  <si>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
</t>
  </si>
  <si>
    <t xml:space="preserve">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</si>
  <si>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</si>
  <si>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</si>
  <si>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</si>
  <si>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</si>
  <si>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</si>
  <si>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</si>
  <si>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</si>
  <si>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</si>
  <si>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</si>
  <si>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</si>
  <si>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</si>
  <si>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</si>
  <si>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</si>
  <si>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</si>
  <si>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2670</t>
  </si>
  <si>
    <t>26560525</t>
  </si>
  <si>
    <t xml:space="preserve">АО "ГУ ЖКХ"</t>
  </si>
  <si>
    <t>5116000922</t>
  </si>
  <si>
    <t>511601001</t>
  </si>
  <si>
    <t xml:space="preserve">13-05-2009 00:00:00</t>
  </si>
  <si>
    <t>28445259</t>
  </si>
  <si>
    <t xml:space="preserve">АО "РАО ЭС Востока"</t>
  </si>
  <si>
    <t>2801133630</t>
  </si>
  <si>
    <t>272401001</t>
  </si>
  <si>
    <t xml:space="preserve">01-07-2008 00:00:00</t>
  </si>
  <si>
    <t>26361152</t>
  </si>
  <si>
    <t xml:space="preserve">АО "Санаторий Кульдур"</t>
  </si>
  <si>
    <t>7902004951</t>
  </si>
  <si>
    <t>790201001</t>
  </si>
  <si>
    <t xml:space="preserve">25-12-2003 00:00:00</t>
  </si>
  <si>
    <t>30847021</t>
  </si>
  <si>
    <t xml:space="preserve">ГП ЕАО "ОБЛЭНЕРГОРЕМОНТ ПЛЮС"</t>
  </si>
  <si>
    <t>7901547930</t>
  </si>
  <si>
    <t>790101001</t>
  </si>
  <si>
    <t xml:space="preserve">03-10-2016 00:00:00</t>
  </si>
  <si>
    <t>26361143</t>
  </si>
  <si>
    <t xml:space="preserve">ГП ЕАО "Облэнергоремонт"</t>
  </si>
  <si>
    <t>7901014080</t>
  </si>
  <si>
    <t xml:space="preserve">26-10-2010 00:00:00</t>
  </si>
  <si>
    <t xml:space="preserve">21-05-2025 00:00:00</t>
  </si>
  <si>
    <t>30350291</t>
  </si>
  <si>
    <t xml:space="preserve">ГП ЕАО "Ресурс"</t>
  </si>
  <si>
    <t>7904505914</t>
  </si>
  <si>
    <t>790401001</t>
  </si>
  <si>
    <t xml:space="preserve">25-09-2015 00:00:00</t>
  </si>
  <si>
    <t xml:space="preserve">ДЕПАРТАМЕНТ ТАРИФОВ И ЦЕН ПРАВИТЕЛЬСТВА ЕВРЕЙСКОЙ АВТОНОМНОЙ ОБЛАСТИ</t>
  </si>
  <si>
    <t>7901101462</t>
  </si>
  <si>
    <t>31438353</t>
  </si>
  <si>
    <t xml:space="preserve">МУП "Кульдур"</t>
  </si>
  <si>
    <t>7902537170</t>
  </si>
  <si>
    <t xml:space="preserve">21-08-2020 00:00:00</t>
  </si>
  <si>
    <t>31465899</t>
  </si>
  <si>
    <t xml:space="preserve">МУП "Прогресс"</t>
  </si>
  <si>
    <t>7900000084</t>
  </si>
  <si>
    <t>790001001</t>
  </si>
  <si>
    <t xml:space="preserve">17-12-2020 00:00:00</t>
  </si>
  <si>
    <t>31443542</t>
  </si>
  <si>
    <t xml:space="preserve">МУП "Тепловодоканал"</t>
  </si>
  <si>
    <t>7902537205</t>
  </si>
  <si>
    <t xml:space="preserve">12-08-2020 00:00:00</t>
  </si>
  <si>
    <t>26412999</t>
  </si>
  <si>
    <t xml:space="preserve">МУП "Теплотехник"</t>
  </si>
  <si>
    <t>7904504364</t>
  </si>
  <si>
    <t xml:space="preserve">11-09-2006 00:00:00</t>
  </si>
  <si>
    <t>28878853</t>
  </si>
  <si>
    <t xml:space="preserve">МУП "Теплоэнерго"</t>
  </si>
  <si>
    <t>7905001370</t>
  </si>
  <si>
    <t>790501001</t>
  </si>
  <si>
    <t xml:space="preserve">01-01-2015 00:00:00</t>
  </si>
  <si>
    <t>27570232</t>
  </si>
  <si>
    <t xml:space="preserve">ОАО "РЖД"</t>
  </si>
  <si>
    <t>7708503727</t>
  </si>
  <si>
    <t>272102001</t>
  </si>
  <si>
    <t>26415206</t>
  </si>
  <si>
    <t xml:space="preserve">ОАО "РЖД" (ДТВ)</t>
  </si>
  <si>
    <t>790145003</t>
  </si>
  <si>
    <t xml:space="preserve">15-09-2009 00:00:00</t>
  </si>
  <si>
    <t>28129965</t>
  </si>
  <si>
    <t xml:space="preserve">ОГПОБУ "Сельскохозяйственный техникум"</t>
  </si>
  <si>
    <t>7904505390</t>
  </si>
  <si>
    <t xml:space="preserve">15-01-2013 00:00:00</t>
  </si>
  <si>
    <t>27908257</t>
  </si>
  <si>
    <t xml:space="preserve">ООО "Дубовое ЖКХ"</t>
  </si>
  <si>
    <t>7906505116</t>
  </si>
  <si>
    <t>790601001</t>
  </si>
  <si>
    <t xml:space="preserve">20-08-2012 00:00:00</t>
  </si>
  <si>
    <t>28823401</t>
  </si>
  <si>
    <t xml:space="preserve">ООО "Источник"</t>
  </si>
  <si>
    <t>7906504874</t>
  </si>
  <si>
    <t xml:space="preserve">16-04-2014 00:00:00</t>
  </si>
  <si>
    <t>26617241</t>
  </si>
  <si>
    <t xml:space="preserve">ООО "Комфорт"</t>
  </si>
  <si>
    <t>7903526975</t>
  </si>
  <si>
    <t>790301001</t>
  </si>
  <si>
    <t xml:space="preserve">25-12-2007 00:00:00</t>
  </si>
  <si>
    <t>26361141</t>
  </si>
  <si>
    <t xml:space="preserve">ООО "Ремстройработ"</t>
  </si>
  <si>
    <t>7901001517</t>
  </si>
  <si>
    <t xml:space="preserve">13-12-1992 00:00:00</t>
  </si>
  <si>
    <t>30385070</t>
  </si>
  <si>
    <t xml:space="preserve">ООО "Сапсан плюс"</t>
  </si>
  <si>
    <t>7902528306</t>
  </si>
  <si>
    <t xml:space="preserve">02-09-2014 00:00:00</t>
  </si>
  <si>
    <t>26361168</t>
  </si>
  <si>
    <t xml:space="preserve">ООО "ТеплоВодоКаналРемонт"</t>
  </si>
  <si>
    <t>7903528041</t>
  </si>
  <si>
    <t xml:space="preserve">19-06-2007 00:00:00</t>
  </si>
  <si>
    <t>26652727</t>
  </si>
  <si>
    <t xml:space="preserve">ООО "Универсал"</t>
  </si>
  <si>
    <t>7904505008</t>
  </si>
  <si>
    <t xml:space="preserve">27-09-2010 00:00:00</t>
  </si>
  <si>
    <t>31338606</t>
  </si>
  <si>
    <t xml:space="preserve">ООО "Экспресс Смидович"</t>
  </si>
  <si>
    <t>7903529800</t>
  </si>
  <si>
    <t>30874066</t>
  </si>
  <si>
    <t xml:space="preserve">ООО "Экспресс"</t>
  </si>
  <si>
    <t>2721228284</t>
  </si>
  <si>
    <t>272101001</t>
  </si>
  <si>
    <t xml:space="preserve">12-12-2016 00:00:00</t>
  </si>
  <si>
    <t>30810601</t>
  </si>
  <si>
    <t xml:space="preserve">ООО "Энергоресурс"</t>
  </si>
  <si>
    <t>7904506026</t>
  </si>
  <si>
    <t xml:space="preserve">01-05-2016 00:00:00</t>
  </si>
  <si>
    <t>26361162</t>
  </si>
  <si>
    <t xml:space="preserve">ООО "Южное ЖКХ"</t>
  </si>
  <si>
    <t>7903503784</t>
  </si>
  <si>
    <t xml:space="preserve">17-12-2004 00:00:00</t>
  </si>
  <si>
    <t>28435468</t>
  </si>
  <si>
    <t xml:space="preserve">ООО Комтехсервис</t>
  </si>
  <si>
    <t>7902528017</t>
  </si>
  <si>
    <t xml:space="preserve">29-11-2013 00:00:00</t>
  </si>
  <si>
    <t>26360994</t>
  </si>
  <si>
    <t xml:space="preserve">Путевая машинная станция № 219 Дальневосточной дирекции по ремонту пути - структурное подразделение ДВОСТ ж.д. - филиал ОАО "РЖД"</t>
  </si>
  <si>
    <t>272231005</t>
  </si>
  <si>
    <t>31408099</t>
  </si>
  <si>
    <t xml:space="preserve">ФГБПОУ "КАРГАТСКОЕ СУВУ"</t>
  </si>
  <si>
    <t>5423101288</t>
  </si>
  <si>
    <t>542301001</t>
  </si>
  <si>
    <t>30903763</t>
  </si>
  <si>
    <t xml:space="preserve">ФГБУ "ЦЖКУ" МИНОБОРОНЫ РОССИИ</t>
  </si>
  <si>
    <t>7729314745</t>
  </si>
  <si>
    <t>770101001</t>
  </si>
  <si>
    <t>30926365</t>
  </si>
  <si>
    <t xml:space="preserve">ФГБУ «ЦЖКУ» МО РФ (Филиал ФГБУ «ЦЖКУ» МО РФ по ВВО)</t>
  </si>
  <si>
    <t>272443001</t>
  </si>
  <si>
    <t xml:space="preserve">20-03-2017 00:00:00</t>
  </si>
  <si>
    <t>31310642</t>
  </si>
  <si>
    <t xml:space="preserve">ФГКУ "Пограничное управление Федеральной службы  безопасности Российской Федерации по Хабаровскому краю и Еврейской автономной области"</t>
  </si>
  <si>
    <t>2723073068</t>
  </si>
  <si>
    <t>790131001</t>
  </si>
  <si>
    <t>26361142</t>
  </si>
  <si>
    <t xml:space="preserve">ФКУ "Биробиджанская воспитательная колония"  УФСИН России по ЕАО</t>
  </si>
  <si>
    <t>7901013872</t>
  </si>
  <si>
    <t xml:space="preserve">29-07-1999 00:00:00</t>
  </si>
  <si>
    <t>26361161</t>
  </si>
  <si>
    <t xml:space="preserve">ФКУ Колония-поселение № 4 УФСИН России по ЕАО</t>
  </si>
  <si>
    <t>7903003407</t>
  </si>
  <si>
    <t xml:space="preserve">20-07-2001 00:00:00</t>
  </si>
  <si>
    <t>26761819</t>
  </si>
  <si>
    <t xml:space="preserve">Филиал ОАО "РЭУ "Хабаровский"</t>
  </si>
  <si>
    <t>7714783092</t>
  </si>
  <si>
    <t>272343002</t>
  </si>
  <si>
    <t>28159257</t>
  </si>
  <si>
    <t xml:space="preserve">Хабаровская дистанция гражданских сооружений-структ-го подразд-я ДВ дирекции по эксплуатации зданий и сооружений-структ-го подразд-я ДВ ЖД - филиала ОАО "РЖД"</t>
  </si>
  <si>
    <t>272445055</t>
  </si>
  <si>
    <t xml:space="preserve">01-04-2013 00:00:00</t>
  </si>
  <si>
    <t>31310779</t>
  </si>
  <si>
    <t xml:space="preserve">ИП Лермонтов Александр Сергеевич</t>
  </si>
  <si>
    <t>790203128980</t>
  </si>
  <si>
    <t>26375648</t>
  </si>
  <si>
    <t xml:space="preserve">МУП "Водоканал"</t>
  </si>
  <si>
    <t>7901003190</t>
  </si>
  <si>
    <t xml:space="preserve">24-10-2002 00:00:00</t>
  </si>
  <si>
    <t xml:space="preserve">03-03-2025 00:00:00</t>
  </si>
  <si>
    <t>31500234</t>
  </si>
  <si>
    <t xml:space="preserve">МУП "РК"</t>
  </si>
  <si>
    <t>7900001680</t>
  </si>
  <si>
    <t xml:space="preserve">19-03-2025 00:00:00</t>
  </si>
  <si>
    <t>31543177</t>
  </si>
  <si>
    <t xml:space="preserve">ООО "Акварель"</t>
  </si>
  <si>
    <t>2723215178</t>
  </si>
  <si>
    <t>272301001</t>
  </si>
  <si>
    <t>28139980</t>
  </si>
  <si>
    <t xml:space="preserve">ООО "Горное"</t>
  </si>
  <si>
    <t>7902525707</t>
  </si>
  <si>
    <t xml:space="preserve">28-01-2013 00:00:00</t>
  </si>
  <si>
    <t>31352540</t>
  </si>
  <si>
    <t xml:space="preserve">ООО "Источник ДВ"</t>
  </si>
  <si>
    <t>2721243765</t>
  </si>
  <si>
    <t>272124376</t>
  </si>
  <si>
    <t>30933881</t>
  </si>
  <si>
    <t xml:space="preserve">ООО "Прометей"</t>
  </si>
  <si>
    <t>7903528595</t>
  </si>
  <si>
    <t xml:space="preserve">07-02-2013 00:00:00</t>
  </si>
  <si>
    <t>28129787</t>
  </si>
  <si>
    <t xml:space="preserve">ООО "СВЕТОЧ"</t>
  </si>
  <si>
    <t>2721190640</t>
  </si>
  <si>
    <t xml:space="preserve">13-03-2013 00:00:00</t>
  </si>
  <si>
    <t>31454466</t>
  </si>
  <si>
    <t xml:space="preserve">ООО "Сервис Строй"</t>
  </si>
  <si>
    <t>2723207843</t>
  </si>
  <si>
    <t xml:space="preserve">14-11-2019 00:00:00</t>
  </si>
  <si>
    <t>31319417</t>
  </si>
  <si>
    <t xml:space="preserve">ООО "УК Луч"</t>
  </si>
  <si>
    <t>7901549092</t>
  </si>
  <si>
    <t>28872748</t>
  </si>
  <si>
    <t xml:space="preserve">ФКУ "ЛИУ № 2 УФСИН России по ЕАО"</t>
  </si>
  <si>
    <t>7902004479</t>
  </si>
  <si>
    <t xml:space="preserve">21-11-2014 00:00:00</t>
  </si>
  <si>
    <t xml:space="preserve">28-04-2025 00:00:00</t>
  </si>
  <si>
    <t>28797758</t>
  </si>
  <si>
    <t xml:space="preserve">АУ "Чистое село" Еврейской автономной области</t>
  </si>
  <si>
    <t>7904504903</t>
  </si>
  <si>
    <t>31481922</t>
  </si>
  <si>
    <t xml:space="preserve">ООО "Дом-Строй"</t>
  </si>
  <si>
    <t>7901530310</t>
  </si>
  <si>
    <t>30856622</t>
  </si>
  <si>
    <t xml:space="preserve">ООО "Полигон"</t>
  </si>
  <si>
    <t>2723155602</t>
  </si>
  <si>
    <t xml:space="preserve">10-10-2016 00:00:00</t>
  </si>
  <si>
    <t>31481596</t>
  </si>
  <si>
    <t>7906505469</t>
  </si>
  <si>
    <t>31223091</t>
  </si>
  <si>
    <t>NSRF</t>
  </si>
  <si>
    <t>MR_NAME</t>
  </si>
  <si>
    <t>OKTMO_MR_NAME</t>
  </si>
  <si>
    <t>MO_NAME</t>
  </si>
  <si>
    <t>OKTMO_NAME</t>
  </si>
  <si>
    <t>TYPE</t>
  </si>
  <si>
    <t>MR_ID</t>
  </si>
  <si>
    <t xml:space="preserve">Биробиджанский муниципальный район</t>
  </si>
  <si>
    <t>99605000</t>
  </si>
  <si>
    <t xml:space="preserve">муниципальный район</t>
  </si>
  <si>
    <t>Бирофельдское</t>
  </si>
  <si>
    <t>99605405</t>
  </si>
  <si>
    <t xml:space="preserve">сельское поселение</t>
  </si>
  <si>
    <t>Валдгеймское</t>
  </si>
  <si>
    <t>99605412</t>
  </si>
  <si>
    <t>Дубовское</t>
  </si>
  <si>
    <t>99605420</t>
  </si>
  <si>
    <t>Надеждинское</t>
  </si>
  <si>
    <t>99605415</t>
  </si>
  <si>
    <t>Найфельдское</t>
  </si>
  <si>
    <t>99605440</t>
  </si>
  <si>
    <t>Птичнинское</t>
  </si>
  <si>
    <t>99605445</t>
  </si>
  <si>
    <t xml:space="preserve">Город Биробиджан</t>
  </si>
  <si>
    <t>99701000</t>
  </si>
  <si>
    <t xml:space="preserve">городской округ</t>
  </si>
  <si>
    <t xml:space="preserve">Ленинский муниципальный район</t>
  </si>
  <si>
    <t>99610000</t>
  </si>
  <si>
    <t>Бабстовское</t>
  </si>
  <si>
    <t>99610405</t>
  </si>
  <si>
    <t>Биджанское</t>
  </si>
  <si>
    <t>99610412</t>
  </si>
  <si>
    <t>Дежневское</t>
  </si>
  <si>
    <t>99610430</t>
  </si>
  <si>
    <t>Лазаревское</t>
  </si>
  <si>
    <t>99610455</t>
  </si>
  <si>
    <t>Ленинское</t>
  </si>
  <si>
    <t>99610460</t>
  </si>
  <si>
    <t xml:space="preserve">Облученский муниципальный район</t>
  </si>
  <si>
    <t>99620000</t>
  </si>
  <si>
    <t>Бираканское</t>
  </si>
  <si>
    <t>99620156</t>
  </si>
  <si>
    <t xml:space="preserve">городское поселение, в состав которого входит поселок</t>
  </si>
  <si>
    <t>Бирское</t>
  </si>
  <si>
    <t>99620153</t>
  </si>
  <si>
    <t>Известковское</t>
  </si>
  <si>
    <t>99620159</t>
  </si>
  <si>
    <t>Кульдурское</t>
  </si>
  <si>
    <t>99620162</t>
  </si>
  <si>
    <t>Облученское</t>
  </si>
  <si>
    <t>99620101</t>
  </si>
  <si>
    <t xml:space="preserve">городское поселение, в состав которого входит город</t>
  </si>
  <si>
    <t>Пашковское</t>
  </si>
  <si>
    <t>99620440</t>
  </si>
  <si>
    <t>Теплоозерское</t>
  </si>
  <si>
    <t>99620170</t>
  </si>
  <si>
    <t xml:space="preserve">Октябрьский муниципальный район</t>
  </si>
  <si>
    <t>99625000</t>
  </si>
  <si>
    <t>Амурзетское</t>
  </si>
  <si>
    <t>99625405</t>
  </si>
  <si>
    <t>Нагибовское</t>
  </si>
  <si>
    <t>99625435</t>
  </si>
  <si>
    <t>Полевское</t>
  </si>
  <si>
    <t>99625440</t>
  </si>
  <si>
    <t xml:space="preserve">Смидовичский муниципальный район</t>
  </si>
  <si>
    <t>99630000</t>
  </si>
  <si>
    <t>Волочаевское</t>
  </si>
  <si>
    <t>99630155</t>
  </si>
  <si>
    <t xml:space="preserve">Волочаевское сельское</t>
  </si>
  <si>
    <t>99630440</t>
  </si>
  <si>
    <t>Камышовское</t>
  </si>
  <si>
    <t>99630425</t>
  </si>
  <si>
    <t>Николаевское</t>
  </si>
  <si>
    <t>99630160</t>
  </si>
  <si>
    <t>Приамурское</t>
  </si>
  <si>
    <t>99630165</t>
  </si>
  <si>
    <t>Смидовичское</t>
  </si>
  <si>
    <t>99630151</t>
  </si>
  <si>
    <t>NUMBER_POINT</t>
  </si>
  <si>
    <t>INVP_NAME</t>
  </si>
  <si>
    <t>INVP_ID</t>
  </si>
  <si>
    <t>L_START_DATE</t>
  </si>
  <si>
    <t>L_END_DATE</t>
  </si>
  <si>
    <t>L_DECISION_NAME</t>
  </si>
  <si>
    <t>L_DECISION_TYPE</t>
  </si>
  <si>
    <t>L_DECISION_NMBR</t>
  </si>
  <si>
    <t>L_DECISION_DATE</t>
  </si>
  <si>
    <t>8677187347</t>
  </si>
  <si>
    <t xml:space="preserve">Инвестиционная программа "Об утверждении инвестиционной программы АО "ДГК" в сфере теплоснабжения на территории Еврейской автономной области на 2025-2030 годы"</t>
  </si>
  <si>
    <t xml:space="preserve">Инвестиционная программа № 23@ (с изм.N38@ от 28.12.2023) от 12.12.2019 АО "ДГК" СП "Биробиджанская ТЭЦ" в сфере теплоснабжения и горячего водоснабжения по строительству, реконструкции, модернизации и развитию котельных и тепловых сетей на 2023-2027 годы</t>
  </si>
  <si>
    <t>7650755279</t>
  </si>
  <si>
    <t>01.01.2023</t>
  </si>
  <si>
    <t>31.12.2027</t>
  </si>
  <si>
    <t xml:space="preserve">Корректировка инвестиционной программы № 38@ от 12.12.2019 АО "ДГК" филиал "Хабаровская генерация" СП "Биробиджанская ТЭЦ" в сфере теплоснабжения по модернизации и реконструкции систем коммунальной инфраструктуры, на территории городского округа Биробиджан на 2020-2024 годы</t>
  </si>
  <si>
    <t>38@</t>
  </si>
  <si>
    <t>12.12.2019</t>
  </si>
  <si>
    <t xml:space="preserve">Инвестиционная программа № 23@ (с изм.N38@ от 28.12.2023) от 12.12.2019 АО "ДГК" филиал "Хабаровская генерация" СП "Биробиджанская ТЭЦ" в сфере теплоснабжения и горячего водоснабжения по строительству, реконструкции, модернизации и развитию котельных и тепловых сетей, на территории городского округа Биробиджан на 2023-2027 годы</t>
  </si>
  <si>
    <t>7814990585</t>
  </si>
  <si>
    <t>TER_NAME</t>
  </si>
  <si>
    <t xml:space="preserve">Территория 1</t>
  </si>
  <si>
    <t>ID_TARIFF_NAME</t>
  </si>
  <si>
    <t>TARIFF_NAME</t>
  </si>
  <si>
    <t>VED_NAME</t>
  </si>
  <si>
    <t>4189702</t>
  </si>
  <si>
    <t>4189703</t>
  </si>
  <si>
    <t>4189704</t>
  </si>
  <si>
    <t xml:space="preserve">Алейский муниципальный район</t>
  </si>
  <si>
    <t>01601000</t>
  </si>
  <si>
    <t xml:space="preserve">Алейский сельсовет</t>
  </si>
  <si>
    <t>01601402</t>
  </si>
  <si>
    <t xml:space="preserve">Безголосовский сельсовет</t>
  </si>
  <si>
    <t>01601408</t>
  </si>
  <si>
    <t xml:space="preserve">Большепанюшевский сельсовет</t>
  </si>
  <si>
    <t>01601413</t>
  </si>
  <si>
    <t xml:space="preserve">Боровской сельсовет</t>
  </si>
  <si>
    <t>01601417</t>
  </si>
  <si>
    <t xml:space="preserve">Дружбинский сельсовет</t>
  </si>
  <si>
    <t>01601420</t>
  </si>
  <si>
    <t xml:space="preserve">Дубровский сельсовет</t>
  </si>
  <si>
    <t>01601423</t>
  </si>
  <si>
    <t xml:space="preserve">Заветильичевский сельсовет</t>
  </si>
  <si>
    <t>01601426</t>
  </si>
  <si>
    <t xml:space="preserve">Кашинский сельсовет</t>
  </si>
  <si>
    <t>01601432</t>
  </si>
  <si>
    <t xml:space="preserve">Кировский сельсовет</t>
  </si>
  <si>
    <t>01601438</t>
  </si>
  <si>
    <t xml:space="preserve">Краснопартизанский сельсовет</t>
  </si>
  <si>
    <t>01601440</t>
  </si>
  <si>
    <t xml:space="preserve">Моховской сельсовет</t>
  </si>
  <si>
    <t>01601464</t>
  </si>
  <si>
    <t xml:space="preserve">Осколковский сельсовет</t>
  </si>
  <si>
    <t>01601468</t>
  </si>
  <si>
    <t xml:space="preserve">Плотавский сельсовет</t>
  </si>
  <si>
    <t>01601473</t>
  </si>
  <si>
    <t xml:space="preserve">Савинский сельсовет</t>
  </si>
  <si>
    <t>01601475</t>
  </si>
  <si>
    <t xml:space="preserve">Совхозный сельсовет</t>
  </si>
  <si>
    <t>01601477</t>
  </si>
  <si>
    <t xml:space="preserve">Урюпинский сельсовет</t>
  </si>
  <si>
    <t>01601485</t>
  </si>
  <si>
    <t xml:space="preserve">Фрунзенский сельсовет</t>
  </si>
  <si>
    <t>01601496</t>
  </si>
  <si>
    <t xml:space="preserve">Чапаевский сельсовет</t>
  </si>
  <si>
    <t>01601498</t>
  </si>
  <si>
    <t xml:space="preserve">Алтайский муниципальный район</t>
  </si>
  <si>
    <t xml:space="preserve">Айский сельсовет</t>
  </si>
  <si>
    <t>01602405</t>
  </si>
  <si>
    <t>01602000</t>
  </si>
  <si>
    <t xml:space="preserve">Алтайский сельсовет</t>
  </si>
  <si>
    <t>01602407</t>
  </si>
  <si>
    <t xml:space="preserve">Беловский сельсовет</t>
  </si>
  <si>
    <t>01602412</t>
  </si>
  <si>
    <t xml:space="preserve">Куяганский сельсовет</t>
  </si>
  <si>
    <t>01602423</t>
  </si>
  <si>
    <t xml:space="preserve">Куячинский сельсовет</t>
  </si>
  <si>
    <t>01602427</t>
  </si>
  <si>
    <t xml:space="preserve">Макарьевский сельсовет</t>
  </si>
  <si>
    <t>01602435</t>
  </si>
  <si>
    <t xml:space="preserve">Нижнекаменский сельсовет</t>
  </si>
  <si>
    <t>01602446</t>
  </si>
  <si>
    <t xml:space="preserve">Пролетарский сельсовет</t>
  </si>
  <si>
    <t>01602457</t>
  </si>
  <si>
    <t xml:space="preserve">Россошинский сельсовет</t>
  </si>
  <si>
    <t>01602468</t>
  </si>
  <si>
    <t xml:space="preserve">Старобелокурихинский сельсовет</t>
  </si>
  <si>
    <t>01602479</t>
  </si>
  <si>
    <t xml:space="preserve">Баевский муниципальный район</t>
  </si>
  <si>
    <t>01603000</t>
  </si>
  <si>
    <t xml:space="preserve">Баевский сельсовет</t>
  </si>
  <si>
    <t>01603407</t>
  </si>
  <si>
    <t xml:space="preserve">Верх-Пайвинский сельсовет</t>
  </si>
  <si>
    <t>01603416</t>
  </si>
  <si>
    <t xml:space="preserve">Верх-Чуманский сельсовет</t>
  </si>
  <si>
    <t>01603419</t>
  </si>
  <si>
    <t xml:space="preserve">Нижнечуманский сельсовет</t>
  </si>
  <si>
    <t>01603437</t>
  </si>
  <si>
    <t xml:space="preserve">Паклинский сельсовет</t>
  </si>
  <si>
    <t>01603455</t>
  </si>
  <si>
    <t>01603458</t>
  </si>
  <si>
    <t xml:space="preserve">Прослаухинский сельсовет</t>
  </si>
  <si>
    <t>01603469</t>
  </si>
  <si>
    <t xml:space="preserve">Ситниковский сельсовет</t>
  </si>
  <si>
    <t>01603480</t>
  </si>
  <si>
    <t xml:space="preserve">Бийский муниципальный район</t>
  </si>
  <si>
    <t>01604000</t>
  </si>
  <si>
    <t xml:space="preserve">Большеугреневский сельсовет</t>
  </si>
  <si>
    <t>01604410</t>
  </si>
  <si>
    <t xml:space="preserve">Верх-Бехтемирский сельсовет</t>
  </si>
  <si>
    <t>01604415</t>
  </si>
  <si>
    <t xml:space="preserve">Верх-Катунский сельсовет</t>
  </si>
  <si>
    <t>01604417</t>
  </si>
  <si>
    <t xml:space="preserve">Енисейский сельсовет</t>
  </si>
  <si>
    <t>01604422</t>
  </si>
  <si>
    <t xml:space="preserve">Заринский сельсовет</t>
  </si>
  <si>
    <t>01604424</t>
  </si>
  <si>
    <t xml:space="preserve">Калининский сельсовет</t>
  </si>
  <si>
    <t>01604434</t>
  </si>
  <si>
    <t xml:space="preserve">Лесной сельсовет</t>
  </si>
  <si>
    <t>01604437</t>
  </si>
  <si>
    <t xml:space="preserve">Малоенисейский сельсовет</t>
  </si>
  <si>
    <t>01604455</t>
  </si>
  <si>
    <t xml:space="preserve">Малоугреневский сельсовет</t>
  </si>
  <si>
    <t>01604459</t>
  </si>
  <si>
    <t xml:space="preserve">Новиковский сельсовет</t>
  </si>
  <si>
    <t>01604464</t>
  </si>
  <si>
    <t xml:space="preserve">Первомайский сельсовет</t>
  </si>
  <si>
    <t>01604470</t>
  </si>
  <si>
    <t xml:space="preserve">Светлоозерский сельсовет</t>
  </si>
  <si>
    <t>01604480</t>
  </si>
  <si>
    <t xml:space="preserve">Сростинский сельсовет</t>
  </si>
  <si>
    <t>01604483</t>
  </si>
  <si>
    <t xml:space="preserve">Усятский сельсовет</t>
  </si>
  <si>
    <t>01604488</t>
  </si>
  <si>
    <t xml:space="preserve">Шебалинский сельсовет</t>
  </si>
  <si>
    <t>01604495</t>
  </si>
  <si>
    <t xml:space="preserve">Благовещенский муниципальный район</t>
  </si>
  <si>
    <t xml:space="preserve">Алексеевский сельсовет</t>
  </si>
  <si>
    <t>01605406</t>
  </si>
  <si>
    <t>01605000</t>
  </si>
  <si>
    <t xml:space="preserve">Благовещенский поссовет</t>
  </si>
  <si>
    <t>01605151</t>
  </si>
  <si>
    <t xml:space="preserve">Гляденьский сельсовет</t>
  </si>
  <si>
    <t>01605420</t>
  </si>
  <si>
    <t xml:space="preserve">Леньковский сельсовет</t>
  </si>
  <si>
    <t>01605436</t>
  </si>
  <si>
    <t xml:space="preserve">Нижнекучукский сельсовет</t>
  </si>
  <si>
    <t>01605447</t>
  </si>
  <si>
    <t xml:space="preserve">Николаевский сельсовет</t>
  </si>
  <si>
    <t>01605452</t>
  </si>
  <si>
    <t xml:space="preserve">Новокулундинский сельсовет</t>
  </si>
  <si>
    <t>01605456</t>
  </si>
  <si>
    <t xml:space="preserve">Орлеанский сельсовет</t>
  </si>
  <si>
    <t>01605458</t>
  </si>
  <si>
    <t xml:space="preserve">Степноозёрский поссовет</t>
  </si>
  <si>
    <t>01605157</t>
  </si>
  <si>
    <t xml:space="preserve">Суворовский сельсовет</t>
  </si>
  <si>
    <t>01605461</t>
  </si>
  <si>
    <t xml:space="preserve">Шимолинский сельсовет</t>
  </si>
  <si>
    <t>01605483</t>
  </si>
  <si>
    <t xml:space="preserve">Яготинский сельсовет</t>
  </si>
  <si>
    <t>01605494</t>
  </si>
  <si>
    <t xml:space="preserve">Бурлинский муниципальный район</t>
  </si>
  <si>
    <t>01606000</t>
  </si>
  <si>
    <t xml:space="preserve">Бурлинский сельсовет</t>
  </si>
  <si>
    <t>01606411</t>
  </si>
  <si>
    <t xml:space="preserve">Михайловский сельсовет</t>
  </si>
  <si>
    <t>01606422</t>
  </si>
  <si>
    <t xml:space="preserve">Новоандреевский сельсовет</t>
  </si>
  <si>
    <t>01606430</t>
  </si>
  <si>
    <t xml:space="preserve">Новопесчанский сельсовет</t>
  </si>
  <si>
    <t>01606433</t>
  </si>
  <si>
    <t xml:space="preserve">Новосельский сельсовет</t>
  </si>
  <si>
    <t>01606444</t>
  </si>
  <si>
    <t xml:space="preserve">Ореховский сельсовет</t>
  </si>
  <si>
    <t>01606455</t>
  </si>
  <si>
    <t xml:space="preserve">Партизанский сельсовет</t>
  </si>
  <si>
    <t>01606466</t>
  </si>
  <si>
    <t xml:space="preserve">Рожковский сельсовет</t>
  </si>
  <si>
    <t>01606470</t>
  </si>
  <si>
    <t xml:space="preserve">Устьянский сельсовет</t>
  </si>
  <si>
    <t>01606477</t>
  </si>
  <si>
    <t xml:space="preserve">Быстроистокский муниципальный район</t>
  </si>
  <si>
    <t xml:space="preserve">Акутихинский сельсовет</t>
  </si>
  <si>
    <t>01607403</t>
  </si>
  <si>
    <t>01607000</t>
  </si>
  <si>
    <t xml:space="preserve">Быстроистокский сельсовет</t>
  </si>
  <si>
    <t>01607405</t>
  </si>
  <si>
    <t xml:space="preserve">Верх-Ануйский сельсовет</t>
  </si>
  <si>
    <t>01607411</t>
  </si>
  <si>
    <t xml:space="preserve">Верх-Озернинский сельсовет</t>
  </si>
  <si>
    <t>01607422</t>
  </si>
  <si>
    <t xml:space="preserve">Новопокровский сельсовет</t>
  </si>
  <si>
    <t>01607433</t>
  </si>
  <si>
    <t xml:space="preserve">Приобский сельсовет</t>
  </si>
  <si>
    <t>01607437</t>
  </si>
  <si>
    <t xml:space="preserve">Усть-Ануйский сельсовет</t>
  </si>
  <si>
    <t>01607444</t>
  </si>
  <si>
    <t xml:space="preserve">Хлеборобный сельсовет</t>
  </si>
  <si>
    <t>01607455</t>
  </si>
  <si>
    <t xml:space="preserve">Волчихинский муниципальный район</t>
  </si>
  <si>
    <t xml:space="preserve">Березовский сельсовет</t>
  </si>
  <si>
    <t>01608410</t>
  </si>
  <si>
    <t xml:space="preserve">Бор-Форпостовский сельсовет</t>
  </si>
  <si>
    <t>01608414</t>
  </si>
  <si>
    <t>01608000</t>
  </si>
  <si>
    <t xml:space="preserve">Волчихинский сельсовет</t>
  </si>
  <si>
    <t>01608421</t>
  </si>
  <si>
    <t xml:space="preserve">Востровский сельсовет</t>
  </si>
  <si>
    <t>01608423</t>
  </si>
  <si>
    <t xml:space="preserve">Коминтерновский сельсовет</t>
  </si>
  <si>
    <t>01608430</t>
  </si>
  <si>
    <t xml:space="preserve">Малышево-Логовской сельсовет</t>
  </si>
  <si>
    <t>01608434</t>
  </si>
  <si>
    <t xml:space="preserve">Новокормихинский сельсовет</t>
  </si>
  <si>
    <t>01608445</t>
  </si>
  <si>
    <t xml:space="preserve">Пятковологовской сельсовет</t>
  </si>
  <si>
    <t>01608456</t>
  </si>
  <si>
    <t xml:space="preserve">Селиверстовский сельсовет</t>
  </si>
  <si>
    <t>01608467</t>
  </si>
  <si>
    <t xml:space="preserve">Солоновский сельсовет</t>
  </si>
  <si>
    <t>01608478</t>
  </si>
  <si>
    <t xml:space="preserve">Усть-Волчихинский сельсовет</t>
  </si>
  <si>
    <t>01608489</t>
  </si>
  <si>
    <t xml:space="preserve">Город Алейск</t>
  </si>
  <si>
    <t>01703000</t>
  </si>
  <si>
    <t xml:space="preserve">Город Барнаул</t>
  </si>
  <si>
    <t>01701000</t>
  </si>
  <si>
    <t xml:space="preserve">Город Белокуриха</t>
  </si>
  <si>
    <t>01704000</t>
  </si>
  <si>
    <t xml:space="preserve">Город Бийск</t>
  </si>
  <si>
    <t>01705000</t>
  </si>
  <si>
    <t xml:space="preserve">Город Заринск</t>
  </si>
  <si>
    <t>01706000</t>
  </si>
  <si>
    <t xml:space="preserve">Город Новоалтайск</t>
  </si>
  <si>
    <t>01713000</t>
  </si>
  <si>
    <t xml:space="preserve">Город Рубцовск</t>
  </si>
  <si>
    <t>01716000</t>
  </si>
  <si>
    <t xml:space="preserve">Город Славгород</t>
  </si>
  <si>
    <t>01719000</t>
  </si>
  <si>
    <t xml:space="preserve">Город Яровое</t>
  </si>
  <si>
    <t>01730000</t>
  </si>
  <si>
    <t xml:space="preserve">Егорьевский муниципальный район</t>
  </si>
  <si>
    <t>01609000</t>
  </si>
  <si>
    <t xml:space="preserve">Кругло-Семенцовский сельсовет</t>
  </si>
  <si>
    <t>01609411</t>
  </si>
  <si>
    <t xml:space="preserve">Лебяжинский сельсовет</t>
  </si>
  <si>
    <t>01609422</t>
  </si>
  <si>
    <t xml:space="preserve">Малошелковниковский сельсовет</t>
  </si>
  <si>
    <t>01609428</t>
  </si>
  <si>
    <t xml:space="preserve">Новоегорьевский сельсовет</t>
  </si>
  <si>
    <t>01609433</t>
  </si>
  <si>
    <t>01609444</t>
  </si>
  <si>
    <t>01609455</t>
  </si>
  <si>
    <t xml:space="preserve">Титовский сельсовет</t>
  </si>
  <si>
    <t>01609466</t>
  </si>
  <si>
    <t xml:space="preserve">Шубинский сельсовет</t>
  </si>
  <si>
    <t>01609490</t>
  </si>
  <si>
    <t xml:space="preserve">Ельцовский муниципальный район</t>
  </si>
  <si>
    <t xml:space="preserve">Верх-Ненинский сельсовет</t>
  </si>
  <si>
    <t>01610411</t>
  </si>
  <si>
    <t>01610000</t>
  </si>
  <si>
    <t xml:space="preserve">Ельцовский сельсовет</t>
  </si>
  <si>
    <t>01610422</t>
  </si>
  <si>
    <t xml:space="preserve">Мартыновский сельсовет</t>
  </si>
  <si>
    <t>01610433</t>
  </si>
  <si>
    <t xml:space="preserve">Новокаменский сельсовет</t>
  </si>
  <si>
    <t>01610444</t>
  </si>
  <si>
    <t xml:space="preserve">Пуштулимский сельсовет</t>
  </si>
  <si>
    <t>01610466</t>
  </si>
  <si>
    <t xml:space="preserve">Черемшанский сельсовет</t>
  </si>
  <si>
    <t>01610488</t>
  </si>
  <si>
    <t xml:space="preserve">ЗАТО Сибирский</t>
  </si>
  <si>
    <t>01755000</t>
  </si>
  <si>
    <t xml:space="preserve">Завьяловский муниципальный район</t>
  </si>
  <si>
    <t xml:space="preserve">Гилевский сельсовет</t>
  </si>
  <si>
    <t>01611411</t>
  </si>
  <si>
    <t xml:space="preserve">Глубоковский сельсовет</t>
  </si>
  <si>
    <t>01611416</t>
  </si>
  <si>
    <t xml:space="preserve">Гоноховский сельсовет</t>
  </si>
  <si>
    <t>01611423</t>
  </si>
  <si>
    <t>01611000</t>
  </si>
  <si>
    <t xml:space="preserve">Завьяловский сельсовет</t>
  </si>
  <si>
    <t>01611434</t>
  </si>
  <si>
    <t xml:space="preserve">Камышенский сельсовет</t>
  </si>
  <si>
    <t>01611445</t>
  </si>
  <si>
    <t xml:space="preserve">Малиновский сельсовет</t>
  </si>
  <si>
    <t>01611456</t>
  </si>
  <si>
    <t xml:space="preserve">Овечкинский сельсовет</t>
  </si>
  <si>
    <t>01611467</t>
  </si>
  <si>
    <t xml:space="preserve">Светловский сельсовет</t>
  </si>
  <si>
    <t>01611469</t>
  </si>
  <si>
    <t xml:space="preserve">Тумановский сельсовет</t>
  </si>
  <si>
    <t>01611470</t>
  </si>
  <si>
    <t xml:space="preserve">Харитоновский сельсовет</t>
  </si>
  <si>
    <t>01611478</t>
  </si>
  <si>
    <t xml:space="preserve">Чернавский сельсовет</t>
  </si>
  <si>
    <t>01611486</t>
  </si>
  <si>
    <t xml:space="preserve">Чистоозерский сельсовет</t>
  </si>
  <si>
    <t>01611489</t>
  </si>
  <si>
    <t xml:space="preserve">Залесовский муниципальный округ</t>
  </si>
  <si>
    <t>01512000</t>
  </si>
  <si>
    <t xml:space="preserve">Заринский муниципальный район</t>
  </si>
  <si>
    <t xml:space="preserve">Аламбайский сельсовет</t>
  </si>
  <si>
    <t>01613406</t>
  </si>
  <si>
    <t xml:space="preserve">Верх-Камышенский сельсовет</t>
  </si>
  <si>
    <t>01613420</t>
  </si>
  <si>
    <t xml:space="preserve">Воскресенский сельсовет</t>
  </si>
  <si>
    <t>01613425</t>
  </si>
  <si>
    <t xml:space="preserve">Голухинский сельсовет</t>
  </si>
  <si>
    <t>01613428</t>
  </si>
  <si>
    <t xml:space="preserve">Гоношихинский сельсовет</t>
  </si>
  <si>
    <t>01613430</t>
  </si>
  <si>
    <t xml:space="preserve">Гришинский сельсовет</t>
  </si>
  <si>
    <t>01613434</t>
  </si>
  <si>
    <t xml:space="preserve">Жуланихинский сельсовет</t>
  </si>
  <si>
    <t>01613436</t>
  </si>
  <si>
    <t>01613000</t>
  </si>
  <si>
    <t xml:space="preserve">Зыряновский сельсовет</t>
  </si>
  <si>
    <t>01613438</t>
  </si>
  <si>
    <t xml:space="preserve">Комарский сельсовет</t>
  </si>
  <si>
    <t>01613450</t>
  </si>
  <si>
    <t xml:space="preserve">Новодраченинский сельсовет</t>
  </si>
  <si>
    <t>01613460</t>
  </si>
  <si>
    <t xml:space="preserve">Новозыряновский сельсовет</t>
  </si>
  <si>
    <t>01613461</t>
  </si>
  <si>
    <t xml:space="preserve">Новокопыловский сельсовет</t>
  </si>
  <si>
    <t>01613464</t>
  </si>
  <si>
    <t xml:space="preserve">Новомоношкинский сельсовет</t>
  </si>
  <si>
    <t>01613468</t>
  </si>
  <si>
    <t xml:space="preserve">Смазневский сельсовет</t>
  </si>
  <si>
    <t>01613474</t>
  </si>
  <si>
    <t xml:space="preserve">Сосновский сельсовет</t>
  </si>
  <si>
    <t>01613478</t>
  </si>
  <si>
    <t xml:space="preserve">Стародраченинский сельсовет</t>
  </si>
  <si>
    <t>01613487</t>
  </si>
  <si>
    <t xml:space="preserve">Тягунский сельсовет</t>
  </si>
  <si>
    <t>01613488</t>
  </si>
  <si>
    <t xml:space="preserve">Хмелевский сельсовет</t>
  </si>
  <si>
    <t>01613492</t>
  </si>
  <si>
    <t xml:space="preserve">Шпагинский сельсовет</t>
  </si>
  <si>
    <t>01613494</t>
  </si>
  <si>
    <t xml:space="preserve">Яновский сельсовет</t>
  </si>
  <si>
    <t>01613496</t>
  </si>
  <si>
    <t xml:space="preserve">Змеиногорский муниципальный район</t>
  </si>
  <si>
    <t xml:space="preserve">Барановский сельсовет</t>
  </si>
  <si>
    <t>01614422</t>
  </si>
  <si>
    <t>01614000</t>
  </si>
  <si>
    <t xml:space="preserve">Карамышевский сельсовет</t>
  </si>
  <si>
    <t>01614433</t>
  </si>
  <si>
    <t xml:space="preserve">Кузьминский сельсовет</t>
  </si>
  <si>
    <t>01614444</t>
  </si>
  <si>
    <t xml:space="preserve">Октябрьский сельсовет</t>
  </si>
  <si>
    <t>01614455</t>
  </si>
  <si>
    <t xml:space="preserve">Саввушинский сельсовет</t>
  </si>
  <si>
    <t>01614466</t>
  </si>
  <si>
    <t xml:space="preserve">Таловский сельсовет</t>
  </si>
  <si>
    <t>01614477</t>
  </si>
  <si>
    <t xml:space="preserve">Черепановский сельсовет</t>
  </si>
  <si>
    <t>01614488</t>
  </si>
  <si>
    <t xml:space="preserve">город Змеиногорск</t>
  </si>
  <si>
    <t>01614101</t>
  </si>
  <si>
    <t xml:space="preserve">Зональный муниципальный район</t>
  </si>
  <si>
    <t xml:space="preserve">Буланихинский сельсовет</t>
  </si>
  <si>
    <t>01629412</t>
  </si>
  <si>
    <t>01629000</t>
  </si>
  <si>
    <t xml:space="preserve">Зональный сельсовет</t>
  </si>
  <si>
    <t>01629426</t>
  </si>
  <si>
    <t xml:space="preserve">Луговской сельсовет</t>
  </si>
  <si>
    <t>01629442</t>
  </si>
  <si>
    <t xml:space="preserve">Новочемровский сельсовет</t>
  </si>
  <si>
    <t>01629466</t>
  </si>
  <si>
    <t>01629470</t>
  </si>
  <si>
    <t xml:space="preserve">Плешковский сельсовет</t>
  </si>
  <si>
    <t>01629474</t>
  </si>
  <si>
    <t xml:space="preserve">Соколовский сельсовет</t>
  </si>
  <si>
    <t>01629480</t>
  </si>
  <si>
    <t xml:space="preserve">Чемровский сельсовет</t>
  </si>
  <si>
    <t>01629493</t>
  </si>
  <si>
    <t xml:space="preserve">Шубенский сельсовет</t>
  </si>
  <si>
    <t>01629496</t>
  </si>
  <si>
    <t xml:space="preserve">Калманский муниципальный район</t>
  </si>
  <si>
    <t xml:space="preserve">Бурановский сельсовет</t>
  </si>
  <si>
    <t>01615409</t>
  </si>
  <si>
    <t xml:space="preserve">Зимаревский сельсовет</t>
  </si>
  <si>
    <t>01615414</t>
  </si>
  <si>
    <t xml:space="preserve">Калистратихинский сельсовет</t>
  </si>
  <si>
    <t>01615425</t>
  </si>
  <si>
    <t>01615000</t>
  </si>
  <si>
    <t xml:space="preserve">Калманский сельсовет</t>
  </si>
  <si>
    <t>01615427</t>
  </si>
  <si>
    <t xml:space="preserve">Кубанский сельсовет</t>
  </si>
  <si>
    <t>01615435</t>
  </si>
  <si>
    <t xml:space="preserve">Новоромановский сельсовет</t>
  </si>
  <si>
    <t>01615457</t>
  </si>
  <si>
    <t xml:space="preserve">Обской сельсовет</t>
  </si>
  <si>
    <t>01615468</t>
  </si>
  <si>
    <t xml:space="preserve">Усть-Алейский сельсовет</t>
  </si>
  <si>
    <t>01615480</t>
  </si>
  <si>
    <t xml:space="preserve">Шадринский сельсовет</t>
  </si>
  <si>
    <t>01615485</t>
  </si>
  <si>
    <t xml:space="preserve">Шиловский сельсовет</t>
  </si>
  <si>
    <t>01615450</t>
  </si>
  <si>
    <t xml:space="preserve">Каменский муниципальный район</t>
  </si>
  <si>
    <t xml:space="preserve">Аллакский сельсовет</t>
  </si>
  <si>
    <t>01616404</t>
  </si>
  <si>
    <t xml:space="preserve">Верх-Аллакский сельсовет</t>
  </si>
  <si>
    <t>01616413</t>
  </si>
  <si>
    <t>01616417</t>
  </si>
  <si>
    <t>01616000</t>
  </si>
  <si>
    <t xml:space="preserve">Корниловский сельсовет</t>
  </si>
  <si>
    <t>01616437</t>
  </si>
  <si>
    <t xml:space="preserve">Новоярковский сельсовет</t>
  </si>
  <si>
    <t>01616461</t>
  </si>
  <si>
    <t xml:space="preserve">Плотниковский сельсовет</t>
  </si>
  <si>
    <t>01616468</t>
  </si>
  <si>
    <t xml:space="preserve">Попереченский сельсовет</t>
  </si>
  <si>
    <t>01616473</t>
  </si>
  <si>
    <t xml:space="preserve">Пригородный сельсовет</t>
  </si>
  <si>
    <t>01616475</t>
  </si>
  <si>
    <t xml:space="preserve">Рыбинский сельсовет</t>
  </si>
  <si>
    <t>01616482</t>
  </si>
  <si>
    <t xml:space="preserve">Столбовский сельсовет</t>
  </si>
  <si>
    <t>01616486</t>
  </si>
  <si>
    <t xml:space="preserve">Телеутский сельсовет</t>
  </si>
  <si>
    <t>01616490</t>
  </si>
  <si>
    <t xml:space="preserve">Толстовский сельсовет</t>
  </si>
  <si>
    <t>01616494</t>
  </si>
  <si>
    <t xml:space="preserve">Филипповский сельсовет</t>
  </si>
  <si>
    <t>01616497</t>
  </si>
  <si>
    <t xml:space="preserve">город Камень-на-Оби</t>
  </si>
  <si>
    <t>01616101</t>
  </si>
  <si>
    <t xml:space="preserve">Ключевский муниципальный район</t>
  </si>
  <si>
    <t xml:space="preserve">Васильчуковский сельсовет</t>
  </si>
  <si>
    <t>01617406</t>
  </si>
  <si>
    <t xml:space="preserve">Зеленополянский сельсовет</t>
  </si>
  <si>
    <t>01617412</t>
  </si>
  <si>
    <t xml:space="preserve">Истимисский сельсовет</t>
  </si>
  <si>
    <t>01617415</t>
  </si>
  <si>
    <t xml:space="preserve">Каипский сельсовет</t>
  </si>
  <si>
    <t>01617420</t>
  </si>
  <si>
    <t>01617000</t>
  </si>
  <si>
    <t xml:space="preserve">Ключевский сельсовет</t>
  </si>
  <si>
    <t>01617424</t>
  </si>
  <si>
    <t xml:space="preserve">Новополтавский сельсовет</t>
  </si>
  <si>
    <t>01617435</t>
  </si>
  <si>
    <t xml:space="preserve">Новоцелинный сельсовет</t>
  </si>
  <si>
    <t>01617437</t>
  </si>
  <si>
    <t xml:space="preserve">Петуховский сельсовет</t>
  </si>
  <si>
    <t>01617446</t>
  </si>
  <si>
    <t xml:space="preserve">Покровский сельсовет</t>
  </si>
  <si>
    <t>01617468</t>
  </si>
  <si>
    <t xml:space="preserve">Северский сельсовет</t>
  </si>
  <si>
    <t>01617479</t>
  </si>
  <si>
    <t xml:space="preserve">Косихинский муниципальный район</t>
  </si>
  <si>
    <t xml:space="preserve">Баюновский сельсовет</t>
  </si>
  <si>
    <t>01618406</t>
  </si>
  <si>
    <t xml:space="preserve">Верх-Жилинский сельсовет</t>
  </si>
  <si>
    <t>01618414</t>
  </si>
  <si>
    <t xml:space="preserve">Глушинский сельсовет</t>
  </si>
  <si>
    <t>01618420</t>
  </si>
  <si>
    <t xml:space="preserve">Каркавинский сельсовет</t>
  </si>
  <si>
    <t>01618425</t>
  </si>
  <si>
    <t xml:space="preserve">Контошинский сельсовет</t>
  </si>
  <si>
    <t>01618430</t>
  </si>
  <si>
    <t>01618000</t>
  </si>
  <si>
    <t xml:space="preserve">Косихинский сельсовет</t>
  </si>
  <si>
    <t>01618434</t>
  </si>
  <si>
    <t xml:space="preserve">Лосихинский сельсовет</t>
  </si>
  <si>
    <t>01618440</t>
  </si>
  <si>
    <t xml:space="preserve">Малаховский сельсовет</t>
  </si>
  <si>
    <t>01618449</t>
  </si>
  <si>
    <t xml:space="preserve">Налобихинский сельсовет</t>
  </si>
  <si>
    <t>01618460</t>
  </si>
  <si>
    <t>01618466</t>
  </si>
  <si>
    <t xml:space="preserve">Полковниковский сельсовет</t>
  </si>
  <si>
    <t>01618468</t>
  </si>
  <si>
    <t xml:space="preserve">Красногорский муниципальный район</t>
  </si>
  <si>
    <t>01619405</t>
  </si>
  <si>
    <t xml:space="preserve">Быстрянский сельсовет</t>
  </si>
  <si>
    <t>01619407</t>
  </si>
  <si>
    <t>01619000</t>
  </si>
  <si>
    <t xml:space="preserve">Красногорский сельсовет</t>
  </si>
  <si>
    <t>01619423</t>
  </si>
  <si>
    <t xml:space="preserve">Новозыковский сельсовет</t>
  </si>
  <si>
    <t>01619445</t>
  </si>
  <si>
    <t xml:space="preserve">Новоталовский сельсовет</t>
  </si>
  <si>
    <t>01619447</t>
  </si>
  <si>
    <t xml:space="preserve">Соусканихинский сельсовет</t>
  </si>
  <si>
    <t>01619456</t>
  </si>
  <si>
    <t xml:space="preserve">Усть-Ишинский сельсовет</t>
  </si>
  <si>
    <t>01619478</t>
  </si>
  <si>
    <t xml:space="preserve">Усть-Кажинский сельсовет</t>
  </si>
  <si>
    <t>01619489</t>
  </si>
  <si>
    <t xml:space="preserve">Краснощёковский муниципальный район</t>
  </si>
  <si>
    <t xml:space="preserve">Акимовский сельсовет</t>
  </si>
  <si>
    <t>01620406</t>
  </si>
  <si>
    <t>01620412</t>
  </si>
  <si>
    <t>01620417</t>
  </si>
  <si>
    <t xml:space="preserve">Карповский сельсовет</t>
  </si>
  <si>
    <t>01620424</t>
  </si>
  <si>
    <t>01620000</t>
  </si>
  <si>
    <t xml:space="preserve">Краснощековский сельсовет</t>
  </si>
  <si>
    <t>01620430</t>
  </si>
  <si>
    <t xml:space="preserve">Маралихинский сельсовет</t>
  </si>
  <si>
    <t>01620442</t>
  </si>
  <si>
    <t xml:space="preserve">Новошипуновский сельсовет</t>
  </si>
  <si>
    <t>01620448</t>
  </si>
  <si>
    <t xml:space="preserve">Суетский сельсовет</t>
  </si>
  <si>
    <t>01620459</t>
  </si>
  <si>
    <t xml:space="preserve">Усть-Беловский сельсовет</t>
  </si>
  <si>
    <t>01620468</t>
  </si>
  <si>
    <t xml:space="preserve">Усть-Козлухинский сельсовет</t>
  </si>
  <si>
    <t>01620470</t>
  </si>
  <si>
    <t xml:space="preserve">Усть-Пустынский сельсовет</t>
  </si>
  <si>
    <t>01620472</t>
  </si>
  <si>
    <t xml:space="preserve">Харловский сельсовет</t>
  </si>
  <si>
    <t>01620481</t>
  </si>
  <si>
    <t xml:space="preserve">Чинетинский сельсовет</t>
  </si>
  <si>
    <t>01620492</t>
  </si>
  <si>
    <t xml:space="preserve">Крутихинский муниципальный район</t>
  </si>
  <si>
    <t>01621406</t>
  </si>
  <si>
    <t xml:space="preserve">Волчно-Бурлинский сельсовет</t>
  </si>
  <si>
    <t>01621412</t>
  </si>
  <si>
    <t xml:space="preserve">Долганский сельсовет</t>
  </si>
  <si>
    <t>01621418</t>
  </si>
  <si>
    <t xml:space="preserve">Заковряшинский сельсовет</t>
  </si>
  <si>
    <t>01621424</t>
  </si>
  <si>
    <t>01621000</t>
  </si>
  <si>
    <t xml:space="preserve">Крутихинский сельсовет</t>
  </si>
  <si>
    <t>01621430</t>
  </si>
  <si>
    <t xml:space="preserve">Маловолчанский сельсовет</t>
  </si>
  <si>
    <t>01621436</t>
  </si>
  <si>
    <t xml:space="preserve">Новодубровский сельсовет</t>
  </si>
  <si>
    <t>01621442</t>
  </si>
  <si>
    <t xml:space="preserve">Подборный сельсовет</t>
  </si>
  <si>
    <t>01621446</t>
  </si>
  <si>
    <t xml:space="preserve">Прыганский сельсовет</t>
  </si>
  <si>
    <t>01621448</t>
  </si>
  <si>
    <t xml:space="preserve">Кулундинский муниципальный район</t>
  </si>
  <si>
    <t xml:space="preserve">Ананьевский сельсовет</t>
  </si>
  <si>
    <t>01622411</t>
  </si>
  <si>
    <t xml:space="preserve">Воздвиженский сельсовет</t>
  </si>
  <si>
    <t>01622433</t>
  </si>
  <si>
    <t xml:space="preserve">Златополинский сельсовет</t>
  </si>
  <si>
    <t>01622444</t>
  </si>
  <si>
    <t xml:space="preserve">Константиновский сельсовет</t>
  </si>
  <si>
    <t>01622455</t>
  </si>
  <si>
    <t>01622000</t>
  </si>
  <si>
    <t xml:space="preserve">Кулундинский сельсовет</t>
  </si>
  <si>
    <t>01622460</t>
  </si>
  <si>
    <t xml:space="preserve">Курский сельсовет</t>
  </si>
  <si>
    <t>01622466</t>
  </si>
  <si>
    <t xml:space="preserve">Мирабилитский сельсовет</t>
  </si>
  <si>
    <t>01622472</t>
  </si>
  <si>
    <t>01622477</t>
  </si>
  <si>
    <t xml:space="preserve">Семеновский сельсовет</t>
  </si>
  <si>
    <t>01622488</t>
  </si>
  <si>
    <t xml:space="preserve">Курьинский муниципальный район</t>
  </si>
  <si>
    <t xml:space="preserve">Бугрышихинский сельсовет</t>
  </si>
  <si>
    <t>01623411</t>
  </si>
  <si>
    <t xml:space="preserve">Ивановский сельсовет</t>
  </si>
  <si>
    <t>01623422</t>
  </si>
  <si>
    <t xml:space="preserve">Казанцевский сельсовет</t>
  </si>
  <si>
    <t>01623433</t>
  </si>
  <si>
    <t xml:space="preserve">Колыванский сельсовет</t>
  </si>
  <si>
    <t>01623438</t>
  </si>
  <si>
    <t xml:space="preserve">Краснознаменский сельсовет</t>
  </si>
  <si>
    <t>01623444</t>
  </si>
  <si>
    <t xml:space="preserve">Кузнецовский сельсовет</t>
  </si>
  <si>
    <t>01623455</t>
  </si>
  <si>
    <t>01623000</t>
  </si>
  <si>
    <t xml:space="preserve">Курьинский сельсовет</t>
  </si>
  <si>
    <t>01623466</t>
  </si>
  <si>
    <t xml:space="preserve">Новофирсовский сельсовет</t>
  </si>
  <si>
    <t>01623468</t>
  </si>
  <si>
    <t xml:space="preserve">Трусовский сельсовет</t>
  </si>
  <si>
    <t>01623477</t>
  </si>
  <si>
    <t xml:space="preserve">Усть-Таловский сельсовет</t>
  </si>
  <si>
    <t>01623488</t>
  </si>
  <si>
    <t xml:space="preserve">Кытмановский муниципальный район</t>
  </si>
  <si>
    <t xml:space="preserve">Дмитро-Титовский сельсовет</t>
  </si>
  <si>
    <t>01624407</t>
  </si>
  <si>
    <t>01624000</t>
  </si>
  <si>
    <t xml:space="preserve">Кытмановский сельсовет</t>
  </si>
  <si>
    <t>01624423</t>
  </si>
  <si>
    <t xml:space="preserve">Новотарабинский сельсовет</t>
  </si>
  <si>
    <t>01624446</t>
  </si>
  <si>
    <t>01624457</t>
  </si>
  <si>
    <t xml:space="preserve">Порошинский сельсовет</t>
  </si>
  <si>
    <t>01624469</t>
  </si>
  <si>
    <t xml:space="preserve">Семено-Красиловский сельсовет</t>
  </si>
  <si>
    <t>01624480</t>
  </si>
  <si>
    <t xml:space="preserve">Сунгайский сельсовет</t>
  </si>
  <si>
    <t>01624491</t>
  </si>
  <si>
    <t>01624493</t>
  </si>
  <si>
    <t xml:space="preserve">Тяхтинский сельсовет</t>
  </si>
  <si>
    <t>01624494</t>
  </si>
  <si>
    <t xml:space="preserve">Червовский сельсовет</t>
  </si>
  <si>
    <t>01624434</t>
  </si>
  <si>
    <t xml:space="preserve">Локтевский муниципальный район</t>
  </si>
  <si>
    <t xml:space="preserve">Александровский сельсовет</t>
  </si>
  <si>
    <t>01625404</t>
  </si>
  <si>
    <t xml:space="preserve">Второкаменский сельсовет</t>
  </si>
  <si>
    <t>01625409</t>
  </si>
  <si>
    <t xml:space="preserve">Георгиевский сельсовет</t>
  </si>
  <si>
    <t>01625413</t>
  </si>
  <si>
    <t>01625417</t>
  </si>
  <si>
    <t xml:space="preserve">Город Горняк</t>
  </si>
  <si>
    <t>01625101</t>
  </si>
  <si>
    <t xml:space="preserve">Ермошихинский сельсовет</t>
  </si>
  <si>
    <t>01625419</t>
  </si>
  <si>
    <t xml:space="preserve">Золотухинский сельсовет</t>
  </si>
  <si>
    <t>01625421</t>
  </si>
  <si>
    <t>01625426</t>
  </si>
  <si>
    <t>01625000</t>
  </si>
  <si>
    <t xml:space="preserve">Локтевский сельсовет</t>
  </si>
  <si>
    <t>01625434</t>
  </si>
  <si>
    <t xml:space="preserve">Масальский сельсовет</t>
  </si>
  <si>
    <t>01625440</t>
  </si>
  <si>
    <t>01625449</t>
  </si>
  <si>
    <t xml:space="preserve">Новенский сельсовет</t>
  </si>
  <si>
    <t>01625456</t>
  </si>
  <si>
    <t xml:space="preserve">Новомихайловский сельсовет</t>
  </si>
  <si>
    <t>01625459</t>
  </si>
  <si>
    <t>01625466</t>
  </si>
  <si>
    <t xml:space="preserve">Ремовский сельсовет</t>
  </si>
  <si>
    <t>01625473</t>
  </si>
  <si>
    <t xml:space="preserve">Самарский сельсовет</t>
  </si>
  <si>
    <t>01625476</t>
  </si>
  <si>
    <t xml:space="preserve">Успенский сельсовет</t>
  </si>
  <si>
    <t>01625484</t>
  </si>
  <si>
    <t>01625495</t>
  </si>
  <si>
    <t xml:space="preserve">Мамонтовский муниципальный район</t>
  </si>
  <si>
    <t xml:space="preserve">Буканский сельсовет</t>
  </si>
  <si>
    <t>01626406</t>
  </si>
  <si>
    <t xml:space="preserve">Гришенский сельсовет</t>
  </si>
  <si>
    <t>01626412</t>
  </si>
  <si>
    <t xml:space="preserve">Кадниковский сельсовет</t>
  </si>
  <si>
    <t>01626424</t>
  </si>
  <si>
    <t xml:space="preserve">Комсомольский сельсовет</t>
  </si>
  <si>
    <t>01626429</t>
  </si>
  <si>
    <t xml:space="preserve">Корчинский сельсовет</t>
  </si>
  <si>
    <t>01626434</t>
  </si>
  <si>
    <t xml:space="preserve">Костино-Логовской сельсовет</t>
  </si>
  <si>
    <t>01626437</t>
  </si>
  <si>
    <t xml:space="preserve">Крестьянский сельсовет</t>
  </si>
  <si>
    <t>01626442</t>
  </si>
  <si>
    <t>01626000</t>
  </si>
  <si>
    <t xml:space="preserve">Мамонтовский сельсовет</t>
  </si>
  <si>
    <t>01626449</t>
  </si>
  <si>
    <t xml:space="preserve">Островновский сельсовет</t>
  </si>
  <si>
    <t>01626460</t>
  </si>
  <si>
    <t>01626468</t>
  </si>
  <si>
    <t xml:space="preserve">Сусловский сельсовет</t>
  </si>
  <si>
    <t>01626473</t>
  </si>
  <si>
    <t xml:space="preserve">Тимирязевский сельсовет</t>
  </si>
  <si>
    <t>01626478</t>
  </si>
  <si>
    <t xml:space="preserve">Чернокурьинский сельсовет</t>
  </si>
  <si>
    <t>01626492</t>
  </si>
  <si>
    <t xml:space="preserve">Михайловский муниципальный район</t>
  </si>
  <si>
    <t xml:space="preserve">Ащегульский сельсовет</t>
  </si>
  <si>
    <t>01627405</t>
  </si>
  <si>
    <t xml:space="preserve">Бастанский сельсовет</t>
  </si>
  <si>
    <t>01627411</t>
  </si>
  <si>
    <t xml:space="preserve">Малиновоозёрский поссовет</t>
  </si>
  <si>
    <t>01627154</t>
  </si>
  <si>
    <t>01627000</t>
  </si>
  <si>
    <t>01627416</t>
  </si>
  <si>
    <t xml:space="preserve">Назаровский сельсовет</t>
  </si>
  <si>
    <t>01627420</t>
  </si>
  <si>
    <t>01627422</t>
  </si>
  <si>
    <t xml:space="preserve">Полуямский сельсовет</t>
  </si>
  <si>
    <t>01627433</t>
  </si>
  <si>
    <t xml:space="preserve">Ракитовский сельсовет</t>
  </si>
  <si>
    <t>01627444</t>
  </si>
  <si>
    <t xml:space="preserve">Немецкий Национальный муниципальный район</t>
  </si>
  <si>
    <t xml:space="preserve">Гальбштадтский сельсовет</t>
  </si>
  <si>
    <t>01660420</t>
  </si>
  <si>
    <t xml:space="preserve">Гришковский сельсовет</t>
  </si>
  <si>
    <t>01660405</t>
  </si>
  <si>
    <t xml:space="preserve">Дегтярский сельсовет</t>
  </si>
  <si>
    <t>01660410</t>
  </si>
  <si>
    <t xml:space="preserve">Камышинский сельсовет</t>
  </si>
  <si>
    <t>01660415</t>
  </si>
  <si>
    <t xml:space="preserve">Кусакский сельсовет</t>
  </si>
  <si>
    <t>01660470</t>
  </si>
  <si>
    <t>01660000</t>
  </si>
  <si>
    <t>01660425</t>
  </si>
  <si>
    <t xml:space="preserve">Орловский сельсовет</t>
  </si>
  <si>
    <t>01660430</t>
  </si>
  <si>
    <t xml:space="preserve">Подсосновский сельсовет</t>
  </si>
  <si>
    <t>01660435</t>
  </si>
  <si>
    <t xml:space="preserve">Полевской сельсовет</t>
  </si>
  <si>
    <t>01660440</t>
  </si>
  <si>
    <t xml:space="preserve">Протасовский сельсовет</t>
  </si>
  <si>
    <t>01660445</t>
  </si>
  <si>
    <t xml:space="preserve">Редкодубравский сельсовет</t>
  </si>
  <si>
    <t>01660450</t>
  </si>
  <si>
    <t xml:space="preserve">Шумановский сельсовет</t>
  </si>
  <si>
    <t>01660460</t>
  </si>
  <si>
    <t xml:space="preserve">Новичихинский муниципальный район</t>
  </si>
  <si>
    <t xml:space="preserve">Долговский сельсовет</t>
  </si>
  <si>
    <t>01628411</t>
  </si>
  <si>
    <t xml:space="preserve">Лобанихинский сельсовет</t>
  </si>
  <si>
    <t>01628422</t>
  </si>
  <si>
    <t xml:space="preserve">Мельниковский сельсовет</t>
  </si>
  <si>
    <t>01628433</t>
  </si>
  <si>
    <t>01628000</t>
  </si>
  <si>
    <t xml:space="preserve">Новичихинский сельсовет</t>
  </si>
  <si>
    <t>01628444</t>
  </si>
  <si>
    <t xml:space="preserve">Поломошенский сельсовет</t>
  </si>
  <si>
    <t>01628455</t>
  </si>
  <si>
    <t>01628466</t>
  </si>
  <si>
    <t xml:space="preserve">Токаревский сельсовет</t>
  </si>
  <si>
    <t>01628477</t>
  </si>
  <si>
    <t xml:space="preserve">Павловский муниципальный район</t>
  </si>
  <si>
    <t xml:space="preserve">Арбузовский сельсовет</t>
  </si>
  <si>
    <t>01630401</t>
  </si>
  <si>
    <t>01630403</t>
  </si>
  <si>
    <t xml:space="preserve">Елунинский сельсовет</t>
  </si>
  <si>
    <t>01630412</t>
  </si>
  <si>
    <t>01630432</t>
  </si>
  <si>
    <t>01630437</t>
  </si>
  <si>
    <t>01630449</t>
  </si>
  <si>
    <t xml:space="preserve">Новозоринский сельсовет</t>
  </si>
  <si>
    <t>01630455</t>
  </si>
  <si>
    <t>01630000</t>
  </si>
  <si>
    <t xml:space="preserve">Павловский сельсовет</t>
  </si>
  <si>
    <t>01630460</t>
  </si>
  <si>
    <t xml:space="preserve">Павлозаводской сельсовет</t>
  </si>
  <si>
    <t>01630462</t>
  </si>
  <si>
    <t xml:space="preserve">Прутской сельсовет</t>
  </si>
  <si>
    <t>01630464</t>
  </si>
  <si>
    <t xml:space="preserve">Рогозихинский сельсовет</t>
  </si>
  <si>
    <t>01630466</t>
  </si>
  <si>
    <t xml:space="preserve">Стуковский сельсовет</t>
  </si>
  <si>
    <t>01630473</t>
  </si>
  <si>
    <t xml:space="preserve">Черемновский сельсовет</t>
  </si>
  <si>
    <t>01630482</t>
  </si>
  <si>
    <t xml:space="preserve">Чернопятовский сельсовет</t>
  </si>
  <si>
    <t>01630485</t>
  </si>
  <si>
    <t xml:space="preserve">Шаховский сельсовет</t>
  </si>
  <si>
    <t>01630490</t>
  </si>
  <si>
    <t xml:space="preserve">Панкрушихинский муниципальный район</t>
  </si>
  <si>
    <t xml:space="preserve">Велижанский сельсовет</t>
  </si>
  <si>
    <t>01631411</t>
  </si>
  <si>
    <t xml:space="preserve">Железнодорожный сельсовет</t>
  </si>
  <si>
    <t>01631417</t>
  </si>
  <si>
    <t xml:space="preserve">Зятьковский сельсовет</t>
  </si>
  <si>
    <t>01631422</t>
  </si>
  <si>
    <t xml:space="preserve">Кривинский сельсовет</t>
  </si>
  <si>
    <t>01631433</t>
  </si>
  <si>
    <t xml:space="preserve">Луковский сельсовет</t>
  </si>
  <si>
    <t>01631444</t>
  </si>
  <si>
    <t>01631000</t>
  </si>
  <si>
    <t xml:space="preserve">Панкрушихинский сельсовет</t>
  </si>
  <si>
    <t>01631456</t>
  </si>
  <si>
    <t xml:space="preserve">Подойниковский сельсовет</t>
  </si>
  <si>
    <t>01631467</t>
  </si>
  <si>
    <t xml:space="preserve">Романовский сельсовет</t>
  </si>
  <si>
    <t>01631478</t>
  </si>
  <si>
    <t xml:space="preserve">Урываевский сельсовет</t>
  </si>
  <si>
    <t>01631489</t>
  </si>
  <si>
    <t xml:space="preserve">Первомайский муниципальный район</t>
  </si>
  <si>
    <t xml:space="preserve">Акуловский сельсовет</t>
  </si>
  <si>
    <t>01632406</t>
  </si>
  <si>
    <t xml:space="preserve">Баюновоключевский сельсовет</t>
  </si>
  <si>
    <t>01632412</t>
  </si>
  <si>
    <t>01632416</t>
  </si>
  <si>
    <t xml:space="preserve">Бобровский сельсовет</t>
  </si>
  <si>
    <t>01632420</t>
  </si>
  <si>
    <t xml:space="preserve">Боровихинский сельсовет</t>
  </si>
  <si>
    <t>01632422</t>
  </si>
  <si>
    <t xml:space="preserve">Жилинский сельсовет</t>
  </si>
  <si>
    <t>01632425</t>
  </si>
  <si>
    <t xml:space="preserve">Журавлихинский сельсовет</t>
  </si>
  <si>
    <t>01632430</t>
  </si>
  <si>
    <t xml:space="preserve">Зудиловский сельсовет</t>
  </si>
  <si>
    <t>01632434</t>
  </si>
  <si>
    <t xml:space="preserve">Логовской сельсовет</t>
  </si>
  <si>
    <t>01632442</t>
  </si>
  <si>
    <t xml:space="preserve">Новоберезовский сельсовет</t>
  </si>
  <si>
    <t>01632445</t>
  </si>
  <si>
    <t>01632000</t>
  </si>
  <si>
    <t>01632449</t>
  </si>
  <si>
    <t xml:space="preserve">Повалихинский сельсовет</t>
  </si>
  <si>
    <t>01632454</t>
  </si>
  <si>
    <t xml:space="preserve">Рассказихинский сельсовет</t>
  </si>
  <si>
    <t>01632461</t>
  </si>
  <si>
    <t xml:space="preserve">Санниковский сельсовет</t>
  </si>
  <si>
    <t>01632472</t>
  </si>
  <si>
    <t xml:space="preserve">Северный сельсовет</t>
  </si>
  <si>
    <t>01632483</t>
  </si>
  <si>
    <t xml:space="preserve">Сибирский сельсовет</t>
  </si>
  <si>
    <t>01632494</t>
  </si>
  <si>
    <t xml:space="preserve">Солнечный сельсовет</t>
  </si>
  <si>
    <t>01632496</t>
  </si>
  <si>
    <t xml:space="preserve">Сорочелоговской сельсовет</t>
  </si>
  <si>
    <t>01632497</t>
  </si>
  <si>
    <t xml:space="preserve">Петропавловский муниципальный район</t>
  </si>
  <si>
    <t>01633405</t>
  </si>
  <si>
    <t xml:space="preserve">Антоньевский сельсовет</t>
  </si>
  <si>
    <t>01633407</t>
  </si>
  <si>
    <t xml:space="preserve">Зеленодольский сельсовет</t>
  </si>
  <si>
    <t>01633414</t>
  </si>
  <si>
    <t>01633423</t>
  </si>
  <si>
    <t>01633434</t>
  </si>
  <si>
    <t xml:space="preserve">Новообинский сельсовет</t>
  </si>
  <si>
    <t>01633440</t>
  </si>
  <si>
    <t xml:space="preserve">Паутовский сельсовет</t>
  </si>
  <si>
    <t>01633446</t>
  </si>
  <si>
    <t>01633000</t>
  </si>
  <si>
    <t xml:space="preserve">Петропавловский сельсовет</t>
  </si>
  <si>
    <t>01633457</t>
  </si>
  <si>
    <t xml:space="preserve">Соловьихинский сельсовет</t>
  </si>
  <si>
    <t>01633479</t>
  </si>
  <si>
    <t xml:space="preserve">Поспелихинский муниципальный район</t>
  </si>
  <si>
    <t xml:space="preserve">12 лет Октября сельсовет</t>
  </si>
  <si>
    <t>01634422</t>
  </si>
  <si>
    <t xml:space="preserve">Борковский сельсовет</t>
  </si>
  <si>
    <t>01634408</t>
  </si>
  <si>
    <t xml:space="preserve">Калмыцко-Мысовской сельсовет</t>
  </si>
  <si>
    <t>01634433</t>
  </si>
  <si>
    <t xml:space="preserve">Клепечихинский сельсовет</t>
  </si>
  <si>
    <t>01634439</t>
  </si>
  <si>
    <t xml:space="preserve">Красноалтайский сельсовет</t>
  </si>
  <si>
    <t>01634445</t>
  </si>
  <si>
    <t xml:space="preserve">Красноярский сельсовет</t>
  </si>
  <si>
    <t>01634450</t>
  </si>
  <si>
    <t>01634467</t>
  </si>
  <si>
    <t>01634478</t>
  </si>
  <si>
    <t xml:space="preserve">Озимовский сельсовет</t>
  </si>
  <si>
    <t>01634482</t>
  </si>
  <si>
    <t xml:space="preserve">Поспелихинский Центральный сельсовет</t>
  </si>
  <si>
    <t>01634495</t>
  </si>
  <si>
    <t>01634000</t>
  </si>
  <si>
    <t xml:space="preserve">Поспелихинский сельсовет</t>
  </si>
  <si>
    <t>01634489</t>
  </si>
  <si>
    <t xml:space="preserve">Ребрихинский муниципальный район</t>
  </si>
  <si>
    <t>01635407</t>
  </si>
  <si>
    <t xml:space="preserve">Боровлянский сельсовет</t>
  </si>
  <si>
    <t>01635412</t>
  </si>
  <si>
    <t xml:space="preserve">Воронихинский сельсовет</t>
  </si>
  <si>
    <t>01635419</t>
  </si>
  <si>
    <t xml:space="preserve">Зеленорощинский сельсовет</t>
  </si>
  <si>
    <t>01635430</t>
  </si>
  <si>
    <t xml:space="preserve">Зиминский сельсовет</t>
  </si>
  <si>
    <t>01635436</t>
  </si>
  <si>
    <t xml:space="preserve">Клочковский сельсовет</t>
  </si>
  <si>
    <t>01635442</t>
  </si>
  <si>
    <t xml:space="preserve">Пановский сельсовет</t>
  </si>
  <si>
    <t>01635456</t>
  </si>
  <si>
    <t xml:space="preserve">Плоскосеминский сельсовет</t>
  </si>
  <si>
    <t>01635458</t>
  </si>
  <si>
    <t xml:space="preserve">Подстепновский сельсовет</t>
  </si>
  <si>
    <t>01635459</t>
  </si>
  <si>
    <t>01635000</t>
  </si>
  <si>
    <t xml:space="preserve">Ребрихинский сельсовет</t>
  </si>
  <si>
    <t>01635464</t>
  </si>
  <si>
    <t xml:space="preserve">Рожне-Логовской сельсовет</t>
  </si>
  <si>
    <t>01635470</t>
  </si>
  <si>
    <t xml:space="preserve">Станционно-Ребрихинский сельсовет</t>
  </si>
  <si>
    <t>01635476</t>
  </si>
  <si>
    <t xml:space="preserve">Усть-Мосихинский сельсовет</t>
  </si>
  <si>
    <t>01635479</t>
  </si>
  <si>
    <t xml:space="preserve">Родинский муниципальный район</t>
  </si>
  <si>
    <t xml:space="preserve">Зелёнолуговской сельсовет</t>
  </si>
  <si>
    <t>01636410</t>
  </si>
  <si>
    <t xml:space="preserve">Каяушинский сельсовет</t>
  </si>
  <si>
    <t>01636422</t>
  </si>
  <si>
    <t xml:space="preserve">Кочкинский сельсовет</t>
  </si>
  <si>
    <t>01636428</t>
  </si>
  <si>
    <t xml:space="preserve">Мирненский сельсовет</t>
  </si>
  <si>
    <t>01636434</t>
  </si>
  <si>
    <t>01636445</t>
  </si>
  <si>
    <t xml:space="preserve">Раздольненский сельсовет</t>
  </si>
  <si>
    <t>01636451</t>
  </si>
  <si>
    <t>01636000</t>
  </si>
  <si>
    <t xml:space="preserve">Родинский сельсовет</t>
  </si>
  <si>
    <t>01636456</t>
  </si>
  <si>
    <t xml:space="preserve">Степно-Кучукский сельсовет</t>
  </si>
  <si>
    <t>01636472</t>
  </si>
  <si>
    <t xml:space="preserve">Степновский сельсовет</t>
  </si>
  <si>
    <t>01636468</t>
  </si>
  <si>
    <t xml:space="preserve">Центральный сельсовет</t>
  </si>
  <si>
    <t>01636480</t>
  </si>
  <si>
    <t xml:space="preserve">Шаталовский сельсовет</t>
  </si>
  <si>
    <t>01636474</t>
  </si>
  <si>
    <t xml:space="preserve">Ярослав-Логовской сельсовет</t>
  </si>
  <si>
    <t>01636491</t>
  </si>
  <si>
    <t xml:space="preserve">Романовский муниципальный район</t>
  </si>
  <si>
    <t xml:space="preserve">Гилёв-Логовской сельсовет</t>
  </si>
  <si>
    <t>01637407</t>
  </si>
  <si>
    <t xml:space="preserve">Грано-Маяковский сельсовет</t>
  </si>
  <si>
    <t>01637412</t>
  </si>
  <si>
    <t xml:space="preserve">Гуселетовский сельсовет</t>
  </si>
  <si>
    <t>01637417</t>
  </si>
  <si>
    <t xml:space="preserve">Дубровинский сельсовет</t>
  </si>
  <si>
    <t>01637422</t>
  </si>
  <si>
    <t xml:space="preserve">Закладинский сельсовет</t>
  </si>
  <si>
    <t>01637435</t>
  </si>
  <si>
    <t>01637440</t>
  </si>
  <si>
    <t xml:space="preserve">Майский сельсовет</t>
  </si>
  <si>
    <t>01637446</t>
  </si>
  <si>
    <t xml:space="preserve">Мормышанский сельсовет</t>
  </si>
  <si>
    <t>01637457</t>
  </si>
  <si>
    <t xml:space="preserve">Рассветовский сельсовет</t>
  </si>
  <si>
    <t>01637466</t>
  </si>
  <si>
    <t>01637000</t>
  </si>
  <si>
    <t>01637468</t>
  </si>
  <si>
    <t xml:space="preserve">Сидоровский сельсовет</t>
  </si>
  <si>
    <t>01637479</t>
  </si>
  <si>
    <t xml:space="preserve">Тамбовский сельсовет</t>
  </si>
  <si>
    <t>01637482</t>
  </si>
  <si>
    <t xml:space="preserve">Рубцовский муниципальный район</t>
  </si>
  <si>
    <t xml:space="preserve">Безрукавский сельсовет</t>
  </si>
  <si>
    <t>01638406</t>
  </si>
  <si>
    <t xml:space="preserve">Бобковский сельсовет</t>
  </si>
  <si>
    <t>01638412</t>
  </si>
  <si>
    <t xml:space="preserve">Большешелковниковский сельсовет</t>
  </si>
  <si>
    <t>01638415</t>
  </si>
  <si>
    <t xml:space="preserve">Веселоярский сельсовет</t>
  </si>
  <si>
    <t>01638418</t>
  </si>
  <si>
    <t xml:space="preserve">Вишневский сельсовет</t>
  </si>
  <si>
    <t>01638420</t>
  </si>
  <si>
    <t xml:space="preserve">Дальний сельсовет</t>
  </si>
  <si>
    <t>01638422</t>
  </si>
  <si>
    <t xml:space="preserve">Куйбышевский сельсовет</t>
  </si>
  <si>
    <t>01638425</t>
  </si>
  <si>
    <t xml:space="preserve">Новоалександровский сельсовет</t>
  </si>
  <si>
    <t>01638437</t>
  </si>
  <si>
    <t xml:space="preserve">Новониколаевский сельсовет</t>
  </si>
  <si>
    <t>01638440</t>
  </si>
  <si>
    <t xml:space="preserve">Новороссийский сельсовет</t>
  </si>
  <si>
    <t>01638444</t>
  </si>
  <si>
    <t xml:space="preserve">Новосклюихинский сельсовет</t>
  </si>
  <si>
    <t>01638447</t>
  </si>
  <si>
    <t xml:space="preserve">Половинкинский сельсовет</t>
  </si>
  <si>
    <t>01638451</t>
  </si>
  <si>
    <t>01638460</t>
  </si>
  <si>
    <t>01638000</t>
  </si>
  <si>
    <t xml:space="preserve">Рубцовский сельсовет</t>
  </si>
  <si>
    <t>01638462</t>
  </si>
  <si>
    <t>01638465</t>
  </si>
  <si>
    <t xml:space="preserve">Саратовский сельсовет</t>
  </si>
  <si>
    <t>01638467</t>
  </si>
  <si>
    <t xml:space="preserve">Тишинский сельсовет</t>
  </si>
  <si>
    <t>01638471</t>
  </si>
  <si>
    <t xml:space="preserve">Смоленский муниципальный район</t>
  </si>
  <si>
    <t xml:space="preserve">Ануйский сельсовет</t>
  </si>
  <si>
    <t>01640405</t>
  </si>
  <si>
    <t xml:space="preserve">Верх-Обский сельсовет</t>
  </si>
  <si>
    <t>01640412</t>
  </si>
  <si>
    <t>01640423</t>
  </si>
  <si>
    <t xml:space="preserve">Линевский сельсовет</t>
  </si>
  <si>
    <t>01640434</t>
  </si>
  <si>
    <t xml:space="preserve">Новотырышкинский сельсовет</t>
  </si>
  <si>
    <t>01640445</t>
  </si>
  <si>
    <t>01640000</t>
  </si>
  <si>
    <t xml:space="preserve">Смоленский сельсовет</t>
  </si>
  <si>
    <t>01640456</t>
  </si>
  <si>
    <t>01640460</t>
  </si>
  <si>
    <t xml:space="preserve">Сычевский сельсовет</t>
  </si>
  <si>
    <t>01640466</t>
  </si>
  <si>
    <t xml:space="preserve">Точилинский сельсовет</t>
  </si>
  <si>
    <t>01640479</t>
  </si>
  <si>
    <t xml:space="preserve">Советский муниципальный район</t>
  </si>
  <si>
    <t xml:space="preserve">Кокшинский сельсовет</t>
  </si>
  <si>
    <t>01642411</t>
  </si>
  <si>
    <t xml:space="preserve">Коловский сельсовет</t>
  </si>
  <si>
    <t>01642415</t>
  </si>
  <si>
    <t>01642420</t>
  </si>
  <si>
    <t xml:space="preserve">Никольский сельсовет</t>
  </si>
  <si>
    <t>01642429</t>
  </si>
  <si>
    <t xml:space="preserve">Платовский сельсовет</t>
  </si>
  <si>
    <t>01642435</t>
  </si>
  <si>
    <t xml:space="preserve">Половинский сельсовет</t>
  </si>
  <si>
    <t>01642440</t>
  </si>
  <si>
    <t xml:space="preserve">Сетовский сельсовет</t>
  </si>
  <si>
    <t>01642447</t>
  </si>
  <si>
    <t>01642000</t>
  </si>
  <si>
    <t xml:space="preserve">Советский сельсовет</t>
  </si>
  <si>
    <t>01642452</t>
  </si>
  <si>
    <t xml:space="preserve">Талицкий сельсовет</t>
  </si>
  <si>
    <t>01642457</t>
  </si>
  <si>
    <t xml:space="preserve">Урожайный сельсовет</t>
  </si>
  <si>
    <t>01642466</t>
  </si>
  <si>
    <t xml:space="preserve">Шульгин-Логский сельсовет</t>
  </si>
  <si>
    <t>01642471</t>
  </si>
  <si>
    <t xml:space="preserve">Шульгинский сельсовет</t>
  </si>
  <si>
    <t>01642472</t>
  </si>
  <si>
    <t xml:space="preserve">Солонешенский муниципальный район</t>
  </si>
  <si>
    <t>01643407</t>
  </si>
  <si>
    <t>01643423</t>
  </si>
  <si>
    <t xml:space="preserve">Лютаевский сельсовет</t>
  </si>
  <si>
    <t>01643434</t>
  </si>
  <si>
    <t xml:space="preserve">Сибирячихинский сельсовет</t>
  </si>
  <si>
    <t>01643445</t>
  </si>
  <si>
    <t>01643000</t>
  </si>
  <si>
    <t xml:space="preserve">Солонешенский сельсовет</t>
  </si>
  <si>
    <t>01643450</t>
  </si>
  <si>
    <t xml:space="preserve">Степной сельсовет</t>
  </si>
  <si>
    <t>01643457</t>
  </si>
  <si>
    <t xml:space="preserve">Тополинский сельсовет</t>
  </si>
  <si>
    <t>01643470</t>
  </si>
  <si>
    <t>01643481</t>
  </si>
  <si>
    <t xml:space="preserve">Солтонский муниципальный район</t>
  </si>
  <si>
    <t xml:space="preserve">Карабинский сельсовет</t>
  </si>
  <si>
    <t>01644424</t>
  </si>
  <si>
    <t>01644436</t>
  </si>
  <si>
    <t xml:space="preserve">Ненинский сельсовет</t>
  </si>
  <si>
    <t>01644447</t>
  </si>
  <si>
    <t xml:space="preserve">Нижнененинский сельсовет</t>
  </si>
  <si>
    <t>01644450</t>
  </si>
  <si>
    <t>01644000</t>
  </si>
  <si>
    <t xml:space="preserve">Солтонский сельсовет</t>
  </si>
  <si>
    <t>01644481</t>
  </si>
  <si>
    <t xml:space="preserve">Сузопский сельсовет</t>
  </si>
  <si>
    <t>01644492</t>
  </si>
  <si>
    <t xml:space="preserve">Суетский муниципальный район</t>
  </si>
  <si>
    <t>01641404</t>
  </si>
  <si>
    <t xml:space="preserve">Боронский сельсовет</t>
  </si>
  <si>
    <t>01641410</t>
  </si>
  <si>
    <t xml:space="preserve">Верх-Суетский сельсовет</t>
  </si>
  <si>
    <t>01641413</t>
  </si>
  <si>
    <t xml:space="preserve">Нижнесуетский сельсовет</t>
  </si>
  <si>
    <t>01641425</t>
  </si>
  <si>
    <t>01641000</t>
  </si>
  <si>
    <t xml:space="preserve">Табунский муниципальный район</t>
  </si>
  <si>
    <t>01646407</t>
  </si>
  <si>
    <t xml:space="preserve">Большеромановский сельсовет</t>
  </si>
  <si>
    <t>01646422</t>
  </si>
  <si>
    <t xml:space="preserve">Лебединский сельсовет</t>
  </si>
  <si>
    <t>01646440</t>
  </si>
  <si>
    <t xml:space="preserve">Серебропольский сельсовет</t>
  </si>
  <si>
    <t>01646455</t>
  </si>
  <si>
    <t>01646000</t>
  </si>
  <si>
    <t xml:space="preserve">Табунский сельсовет</t>
  </si>
  <si>
    <t>01646466</t>
  </si>
  <si>
    <t xml:space="preserve">Тальменский муниципальный район</t>
  </si>
  <si>
    <t xml:space="preserve">Анисимовский сельсовет</t>
  </si>
  <si>
    <t>01647406</t>
  </si>
  <si>
    <t xml:space="preserve">Зайцевский сельсовет</t>
  </si>
  <si>
    <t>01647415</t>
  </si>
  <si>
    <t>01647424</t>
  </si>
  <si>
    <t xml:space="preserve">Кашкарагаихинский сельсовет</t>
  </si>
  <si>
    <t>01647430</t>
  </si>
  <si>
    <t xml:space="preserve">Курочкинский сельсовет</t>
  </si>
  <si>
    <t>01647436</t>
  </si>
  <si>
    <t xml:space="preserve">Ларичихинский сельсовет</t>
  </si>
  <si>
    <t>01647442</t>
  </si>
  <si>
    <t>01647448</t>
  </si>
  <si>
    <t xml:space="preserve">Лушниковский сельсовет</t>
  </si>
  <si>
    <t>01647451</t>
  </si>
  <si>
    <t xml:space="preserve">Новоозерский сельсовет</t>
  </si>
  <si>
    <t>01647456</t>
  </si>
  <si>
    <t xml:space="preserve">Новоперуновский сельсовет</t>
  </si>
  <si>
    <t>01647459</t>
  </si>
  <si>
    <t xml:space="preserve">Новотроицкий сельсовет</t>
  </si>
  <si>
    <t>01647462</t>
  </si>
  <si>
    <t xml:space="preserve">Озерский сельсовет</t>
  </si>
  <si>
    <t>01647466</t>
  </si>
  <si>
    <t xml:space="preserve">Речкуновский сельсовет</t>
  </si>
  <si>
    <t>01647470</t>
  </si>
  <si>
    <t xml:space="preserve">Среднесибирский сельсовет</t>
  </si>
  <si>
    <t>01647473</t>
  </si>
  <si>
    <t xml:space="preserve">Староперуновский сельсовет</t>
  </si>
  <si>
    <t>01647475</t>
  </si>
  <si>
    <t>01647000</t>
  </si>
  <si>
    <t xml:space="preserve">Тальменский поссовет</t>
  </si>
  <si>
    <t>01647151</t>
  </si>
  <si>
    <t xml:space="preserve">Шадринцевский сельсовет</t>
  </si>
  <si>
    <t>01647482</t>
  </si>
  <si>
    <t xml:space="preserve">Шишкинский сельсовет</t>
  </si>
  <si>
    <t>01647492</t>
  </si>
  <si>
    <t xml:space="preserve">Тогульский муниципальный район</t>
  </si>
  <si>
    <t xml:space="preserve">Антипинский сельсовет</t>
  </si>
  <si>
    <t>01648406</t>
  </si>
  <si>
    <t xml:space="preserve">Новоиушинский сельсовет</t>
  </si>
  <si>
    <t>01648430</t>
  </si>
  <si>
    <t xml:space="preserve">Старотогульский сельсовет</t>
  </si>
  <si>
    <t>01648436</t>
  </si>
  <si>
    <t>01648000</t>
  </si>
  <si>
    <t xml:space="preserve">Тогульский сельсовет</t>
  </si>
  <si>
    <t>01648446</t>
  </si>
  <si>
    <t xml:space="preserve">Топтушинский сельсовет</t>
  </si>
  <si>
    <t>01648457</t>
  </si>
  <si>
    <t xml:space="preserve">Топчихинский муниципальный район</t>
  </si>
  <si>
    <t xml:space="preserve">Белояровский сельсовет</t>
  </si>
  <si>
    <t>01649403</t>
  </si>
  <si>
    <t xml:space="preserve">Володарский сельсовет</t>
  </si>
  <si>
    <t>01649407</t>
  </si>
  <si>
    <t>01649409</t>
  </si>
  <si>
    <t>01649412</t>
  </si>
  <si>
    <t>01649420</t>
  </si>
  <si>
    <t>01649424</t>
  </si>
  <si>
    <t>01649436</t>
  </si>
  <si>
    <t xml:space="preserve">Парфеновский сельсовет</t>
  </si>
  <si>
    <t>01649447</t>
  </si>
  <si>
    <t xml:space="preserve">Переясловский сельсовет</t>
  </si>
  <si>
    <t>01649450</t>
  </si>
  <si>
    <t xml:space="preserve">Победимский сельсовет</t>
  </si>
  <si>
    <t>01649452</t>
  </si>
  <si>
    <t>01649454</t>
  </si>
  <si>
    <t>01649460</t>
  </si>
  <si>
    <t>01649000</t>
  </si>
  <si>
    <t xml:space="preserve">Топчихинский сельсовет</t>
  </si>
  <si>
    <t>01649462</t>
  </si>
  <si>
    <t xml:space="preserve">Фунтиковский сельсовет</t>
  </si>
  <si>
    <t>01649469</t>
  </si>
  <si>
    <t xml:space="preserve">Хабазинский сельсовет</t>
  </si>
  <si>
    <t>01649475</t>
  </si>
  <si>
    <t xml:space="preserve">Чаузовский сельсовет</t>
  </si>
  <si>
    <t>01649480</t>
  </si>
  <si>
    <t xml:space="preserve">Чистюньский сельсовет</t>
  </si>
  <si>
    <t>01649491</t>
  </si>
  <si>
    <t xml:space="preserve">Третьяковский муниципальный район</t>
  </si>
  <si>
    <t xml:space="preserve">Екатерининский сельсовет</t>
  </si>
  <si>
    <t>01650411</t>
  </si>
  <si>
    <t xml:space="preserve">Корболихинский сельсовет</t>
  </si>
  <si>
    <t>01650422</t>
  </si>
  <si>
    <t xml:space="preserve">Новоалейский сельсовет</t>
  </si>
  <si>
    <t>01650433</t>
  </si>
  <si>
    <t xml:space="preserve">Первокаменский сельсовет</t>
  </si>
  <si>
    <t>01650444</t>
  </si>
  <si>
    <t xml:space="preserve">Плосковский сельсовет</t>
  </si>
  <si>
    <t>01650455</t>
  </si>
  <si>
    <t xml:space="preserve">Садовый сельсовет</t>
  </si>
  <si>
    <t>01650460</t>
  </si>
  <si>
    <t xml:space="preserve">Староалейский сельсовет</t>
  </si>
  <si>
    <t>01650466</t>
  </si>
  <si>
    <t>01650000</t>
  </si>
  <si>
    <t xml:space="preserve">Третьяковский сельсовет</t>
  </si>
  <si>
    <t>01650477</t>
  </si>
  <si>
    <t xml:space="preserve">Шипунихинский сельсовет</t>
  </si>
  <si>
    <t>01650488</t>
  </si>
  <si>
    <t xml:space="preserve">Троицкий муниципальный район</t>
  </si>
  <si>
    <t>01651408</t>
  </si>
  <si>
    <t>01651410</t>
  </si>
  <si>
    <t xml:space="preserve">Гордеевский сельсовет</t>
  </si>
  <si>
    <t>01651414</t>
  </si>
  <si>
    <t xml:space="preserve">Ереминский сельсовет</t>
  </si>
  <si>
    <t>01651425</t>
  </si>
  <si>
    <t xml:space="preserve">Заводской сельсовет</t>
  </si>
  <si>
    <t>01651430</t>
  </si>
  <si>
    <t>01651434</t>
  </si>
  <si>
    <t xml:space="preserve">Кипешинский сельсовет</t>
  </si>
  <si>
    <t>01651440</t>
  </si>
  <si>
    <t xml:space="preserve">Петровский сельсовет</t>
  </si>
  <si>
    <t>01651454</t>
  </si>
  <si>
    <t>01651000</t>
  </si>
  <si>
    <t xml:space="preserve">Троицкий сельсовет</t>
  </si>
  <si>
    <t>01651457</t>
  </si>
  <si>
    <t xml:space="preserve">Хайрюзовский сельсовет</t>
  </si>
  <si>
    <t>01651470</t>
  </si>
  <si>
    <t xml:space="preserve">Южаковский сельсовет</t>
  </si>
  <si>
    <t>01651492</t>
  </si>
  <si>
    <t xml:space="preserve">Тюменцевский муниципальный район</t>
  </si>
  <si>
    <t xml:space="preserve">Андроновский сельсовет</t>
  </si>
  <si>
    <t>01652403</t>
  </si>
  <si>
    <t>01652407</t>
  </si>
  <si>
    <t xml:space="preserve">Вылковский сельсовет</t>
  </si>
  <si>
    <t>01652416</t>
  </si>
  <si>
    <t xml:space="preserve">Грязновский сельсовет</t>
  </si>
  <si>
    <t>01652420</t>
  </si>
  <si>
    <t>01652425</t>
  </si>
  <si>
    <t xml:space="preserve">Ключевской сельсовет</t>
  </si>
  <si>
    <t>01652432</t>
  </si>
  <si>
    <t xml:space="preserve">Королевский сельсовет</t>
  </si>
  <si>
    <t>01652436</t>
  </si>
  <si>
    <t xml:space="preserve">Мезенцевский сельсовет</t>
  </si>
  <si>
    <t>01652450</t>
  </si>
  <si>
    <t xml:space="preserve">Новокарповский сельсовет</t>
  </si>
  <si>
    <t>01652452</t>
  </si>
  <si>
    <t>01652000</t>
  </si>
  <si>
    <t xml:space="preserve">Тюменцевский сельсовет</t>
  </si>
  <si>
    <t>01652458</t>
  </si>
  <si>
    <t xml:space="preserve">Урывский сельсовет</t>
  </si>
  <si>
    <t>01652461</t>
  </si>
  <si>
    <t>01652469</t>
  </si>
  <si>
    <t xml:space="preserve">Шарчинский сельсовет</t>
  </si>
  <si>
    <t>01652480</t>
  </si>
  <si>
    <t xml:space="preserve">Юдихинский сельсовет</t>
  </si>
  <si>
    <t>01652485</t>
  </si>
  <si>
    <t xml:space="preserve">Угловский муниципальный район</t>
  </si>
  <si>
    <t xml:space="preserve">Круглянский сельсовет</t>
  </si>
  <si>
    <t>01653411</t>
  </si>
  <si>
    <t xml:space="preserve">Лаптевский сельсовет</t>
  </si>
  <si>
    <t>01653422</t>
  </si>
  <si>
    <t xml:space="preserve">Озерно-Кузнецовский сельсовет</t>
  </si>
  <si>
    <t>01653455</t>
  </si>
  <si>
    <t>01653466</t>
  </si>
  <si>
    <t xml:space="preserve">Симоновский сельсовет</t>
  </si>
  <si>
    <t>01653477</t>
  </si>
  <si>
    <t>01653480</t>
  </si>
  <si>
    <t>01653000</t>
  </si>
  <si>
    <t xml:space="preserve">Угловский сельсовет</t>
  </si>
  <si>
    <t>01653488</t>
  </si>
  <si>
    <t xml:space="preserve">Усть-Калманский муниципальный район</t>
  </si>
  <si>
    <t xml:space="preserve">Кабановский сельсовет</t>
  </si>
  <si>
    <t>01654408</t>
  </si>
  <si>
    <t>01654411</t>
  </si>
  <si>
    <t xml:space="preserve">Новобурановский сельсовет</t>
  </si>
  <si>
    <t>01654422</t>
  </si>
  <si>
    <t xml:space="preserve">Новокалманский сельсовет</t>
  </si>
  <si>
    <t>01654433</t>
  </si>
  <si>
    <t xml:space="preserve">Огневский сельсовет</t>
  </si>
  <si>
    <t>01654444</t>
  </si>
  <si>
    <t xml:space="preserve">Пономаревский сельсовет</t>
  </si>
  <si>
    <t>01654446</t>
  </si>
  <si>
    <t xml:space="preserve">Приозёрный сельсовет</t>
  </si>
  <si>
    <t>01654448</t>
  </si>
  <si>
    <t>01654000</t>
  </si>
  <si>
    <t xml:space="preserve">Усть-Калманский сельсовет</t>
  </si>
  <si>
    <t>01654455</t>
  </si>
  <si>
    <t xml:space="preserve">Чарышский сельсовет</t>
  </si>
  <si>
    <t>01654466</t>
  </si>
  <si>
    <t xml:space="preserve">Усть-Пристанский муниципальный район</t>
  </si>
  <si>
    <t>01655408</t>
  </si>
  <si>
    <t xml:space="preserve">Брусенцевский сельсовет</t>
  </si>
  <si>
    <t>01655411</t>
  </si>
  <si>
    <t xml:space="preserve">Вяткинский сельсовет</t>
  </si>
  <si>
    <t>01655419</t>
  </si>
  <si>
    <t xml:space="preserve">Елбанский сельсовет</t>
  </si>
  <si>
    <t>01655423</t>
  </si>
  <si>
    <t xml:space="preserve">Клепиковский сельсовет</t>
  </si>
  <si>
    <t>01655434</t>
  </si>
  <si>
    <t xml:space="preserve">Коробейниковский сельсовет</t>
  </si>
  <si>
    <t>01655440</t>
  </si>
  <si>
    <t xml:space="preserve">Краснодарский сельсовет</t>
  </si>
  <si>
    <t>01655443</t>
  </si>
  <si>
    <t>01655446</t>
  </si>
  <si>
    <t xml:space="preserve">Нижнегусихинский сельсовет</t>
  </si>
  <si>
    <t>01655457</t>
  </si>
  <si>
    <t xml:space="preserve">Нижнеозернинский сельсовет</t>
  </si>
  <si>
    <t>01655460</t>
  </si>
  <si>
    <t>01655470</t>
  </si>
  <si>
    <t>01655000</t>
  </si>
  <si>
    <t xml:space="preserve">Усть-Пристанский сельсовет</t>
  </si>
  <si>
    <t>01655480</t>
  </si>
  <si>
    <t xml:space="preserve">Чеканихинский сельсовет</t>
  </si>
  <si>
    <t>01655491</t>
  </si>
  <si>
    <t xml:space="preserve">Хабарский муниципальный район</t>
  </si>
  <si>
    <t xml:space="preserve">Зятьково-Реченский сельсовет</t>
  </si>
  <si>
    <t>01656412</t>
  </si>
  <si>
    <t xml:space="preserve">Коротоякский сельсовет</t>
  </si>
  <si>
    <t>01656420</t>
  </si>
  <si>
    <t xml:space="preserve">Мартовский сельсовет</t>
  </si>
  <si>
    <t>01656430</t>
  </si>
  <si>
    <t xml:space="preserve">Мичуринский сельсовет</t>
  </si>
  <si>
    <t>01656435</t>
  </si>
  <si>
    <t xml:space="preserve">Новоильинский сельсовет</t>
  </si>
  <si>
    <t>01656446</t>
  </si>
  <si>
    <t xml:space="preserve">Плесо-Курьинский сельсовет</t>
  </si>
  <si>
    <t>01656460</t>
  </si>
  <si>
    <t xml:space="preserve">Свердловский сельсовет</t>
  </si>
  <si>
    <t>01656480</t>
  </si>
  <si>
    <t>01656486</t>
  </si>
  <si>
    <t xml:space="preserve">Утянский сельсовет</t>
  </si>
  <si>
    <t>01656490</t>
  </si>
  <si>
    <t>01656000</t>
  </si>
  <si>
    <t xml:space="preserve">Хабарский сельсовет</t>
  </si>
  <si>
    <t>01656493</t>
  </si>
  <si>
    <t xml:space="preserve">Целинный муниципальный район</t>
  </si>
  <si>
    <t xml:space="preserve">Бочкаревский сельсовет</t>
  </si>
  <si>
    <t>01657407</t>
  </si>
  <si>
    <t xml:space="preserve">Воеводский сельсовет</t>
  </si>
  <si>
    <t>01657412</t>
  </si>
  <si>
    <t>01657415</t>
  </si>
  <si>
    <t xml:space="preserve">Еландинский сельсовет</t>
  </si>
  <si>
    <t>01657420</t>
  </si>
  <si>
    <t xml:space="preserve">Ложкинский сельсовет</t>
  </si>
  <si>
    <t>01657430</t>
  </si>
  <si>
    <t xml:space="preserve">Марушинский сельсовет</t>
  </si>
  <si>
    <t>01657434</t>
  </si>
  <si>
    <t xml:space="preserve">Овсянниковский сельсовет</t>
  </si>
  <si>
    <t>01657445</t>
  </si>
  <si>
    <t xml:space="preserve">Степно-Чумышский сельсовет</t>
  </si>
  <si>
    <t>01657464</t>
  </si>
  <si>
    <t xml:space="preserve">Сухо-Чемровский сельсовет</t>
  </si>
  <si>
    <t>01657468</t>
  </si>
  <si>
    <t xml:space="preserve">Хомутинский сельсовет</t>
  </si>
  <si>
    <t>01657473</t>
  </si>
  <si>
    <t>01657000</t>
  </si>
  <si>
    <t xml:space="preserve">Целинный сельсовет</t>
  </si>
  <si>
    <t>01657479</t>
  </si>
  <si>
    <t xml:space="preserve">Шалапский сельсовет</t>
  </si>
  <si>
    <t>01657490</t>
  </si>
  <si>
    <t xml:space="preserve">Чарышский муниципальный район</t>
  </si>
  <si>
    <t>01658455</t>
  </si>
  <si>
    <t>01658411</t>
  </si>
  <si>
    <t>01658420</t>
  </si>
  <si>
    <t xml:space="preserve">Малобащелакский сельсовет</t>
  </si>
  <si>
    <t>01658422</t>
  </si>
  <si>
    <t>01658433</t>
  </si>
  <si>
    <t xml:space="preserve">Маякский сельсовет</t>
  </si>
  <si>
    <t>01658444</t>
  </si>
  <si>
    <t xml:space="preserve">Сентелекский сельсовет</t>
  </si>
  <si>
    <t>01658466</t>
  </si>
  <si>
    <t xml:space="preserve">Тулатинский сельсовет</t>
  </si>
  <si>
    <t>01658477</t>
  </si>
  <si>
    <t>01658000</t>
  </si>
  <si>
    <t>01658488</t>
  </si>
  <si>
    <t xml:space="preserve">Шелаболихинский муниципальный район</t>
  </si>
  <si>
    <t xml:space="preserve">Верх-Кучукский сельсовет</t>
  </si>
  <si>
    <t>01645410</t>
  </si>
  <si>
    <t xml:space="preserve">Ильинский сельсовет</t>
  </si>
  <si>
    <t>01645420</t>
  </si>
  <si>
    <t xml:space="preserve">Инской сельсовет</t>
  </si>
  <si>
    <t>01645423</t>
  </si>
  <si>
    <t xml:space="preserve">Кипринский сельсовет</t>
  </si>
  <si>
    <t>01645428</t>
  </si>
  <si>
    <t xml:space="preserve">Крутишинский сельсовет</t>
  </si>
  <si>
    <t>01645430</t>
  </si>
  <si>
    <t xml:space="preserve">Кучукский сельсовет</t>
  </si>
  <si>
    <t>01645433</t>
  </si>
  <si>
    <t xml:space="preserve">Макаровский сельсовет</t>
  </si>
  <si>
    <t>01645438</t>
  </si>
  <si>
    <t xml:space="preserve">Новообинцевский сельсовет</t>
  </si>
  <si>
    <t>01645442</t>
  </si>
  <si>
    <t>01645000</t>
  </si>
  <si>
    <t xml:space="preserve">Шелаболихинский сельсовет</t>
  </si>
  <si>
    <t>01645460</t>
  </si>
  <si>
    <t xml:space="preserve">Шипуновский муниципальный район</t>
  </si>
  <si>
    <t xml:space="preserve">Белоглазовский сельсовет</t>
  </si>
  <si>
    <t>01659409</t>
  </si>
  <si>
    <t>01659413</t>
  </si>
  <si>
    <t xml:space="preserve">Войковский сельсовет</t>
  </si>
  <si>
    <t>01659420</t>
  </si>
  <si>
    <t xml:space="preserve">Горьковский сельсовет</t>
  </si>
  <si>
    <t>01659426</t>
  </si>
  <si>
    <t>01659430</t>
  </si>
  <si>
    <t xml:space="preserve">Зеркальский сельсовет</t>
  </si>
  <si>
    <t>01659435</t>
  </si>
  <si>
    <t>01659439</t>
  </si>
  <si>
    <t xml:space="preserve">Комарихинский сельсовет</t>
  </si>
  <si>
    <t>01659442</t>
  </si>
  <si>
    <t xml:space="preserve">Краснояровский сельсовет</t>
  </si>
  <si>
    <t>01659446</t>
  </si>
  <si>
    <t xml:space="preserve">Нечунаевский сельсовет</t>
  </si>
  <si>
    <t>01659452</t>
  </si>
  <si>
    <t>01659462</t>
  </si>
  <si>
    <t xml:space="preserve">Порожненский сельсовет</t>
  </si>
  <si>
    <t>01659465</t>
  </si>
  <si>
    <t>01659470</t>
  </si>
  <si>
    <t xml:space="preserve">Российский сельсовет</t>
  </si>
  <si>
    <t>01659474</t>
  </si>
  <si>
    <t xml:space="preserve">Самсоновский сельсовет</t>
  </si>
  <si>
    <t>01659478</t>
  </si>
  <si>
    <t xml:space="preserve">Тугозвоновский сельсовет</t>
  </si>
  <si>
    <t>01659480</t>
  </si>
  <si>
    <t xml:space="preserve">Урлаповский сельсовет</t>
  </si>
  <si>
    <t>01659485</t>
  </si>
  <si>
    <t xml:space="preserve">Хлопуновский сельсовет</t>
  </si>
  <si>
    <t>01659490</t>
  </si>
  <si>
    <t>01659000</t>
  </si>
  <si>
    <t xml:space="preserve">Шипуновский сельсовет</t>
  </si>
  <si>
    <t>01659495</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</si>
  <si>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</si>
  <si>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</si>
  <si>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</si>
  <si>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</si>
  <si>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</si>
  <si>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</si>
  <si>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</si>
  <si>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</si>
  <si>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</si>
  <si>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</si>
  <si>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</si>
  <si>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</si>
  <si>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</si>
  <si>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</si>
  <si>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</si>
  <si>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</si>
  <si>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</si>
  <si>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</si>
  <si>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</si>
  <si>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</si>
  <si>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</si>
  <si>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</si>
  <si>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 xml:space="preserve">Расчетные листы</t>
  </si>
  <si>
    <t xml:space="preserve">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</si>
  <si>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</si>
  <si>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</si>
  <si>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</si>
  <si>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</si>
  <si>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</si>
  <si>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</si>
  <si>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</si>
  <si>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</si>
  <si>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</si>
  <si>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</si>
  <si>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</si>
  <si>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</si>
  <si>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</si>
  <si>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</si>
  <si>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</si>
  <si>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</si>
  <si>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</si>
  <si>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</si>
  <si>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</si>
  <si>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</si>
  <si>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</si>
  <si>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</si>
  <si>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</si>
  <si>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</si>
  <si>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</si>
  <si>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</si>
  <si>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</si>
  <si>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</si>
  <si>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</si>
  <si>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</si>
  <si>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</si>
  <si>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</si>
  <si>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</si>
  <si>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</si>
  <si>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</si>
  <si>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</si>
  <si>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</si>
  <si>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</si>
  <si>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</si>
  <si>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</si>
  <si>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</si>
  <si>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</si>
  <si>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</si>
  <si>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</si>
  <si>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</si>
  <si>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</si>
  <si>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</si>
  <si>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</si>
  <si>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</si>
  <si>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</si>
  <si>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</si>
  <si>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</si>
  <si>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</si>
  <si>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</si>
  <si>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</si>
  <si>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</si>
  <si>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</si>
  <si>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</si>
  <si>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</si>
  <si>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</si>
  <si>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</si>
  <si>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</si>
  <si>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</si>
  <si>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</si>
  <si>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</si>
  <si>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</si>
  <si>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</si>
  <si>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</si>
  <si>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</si>
  <si>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</si>
  <si>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</si>
  <si>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</si>
  <si>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</si>
  <si>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</si>
  <si>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</si>
  <si>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</si>
  <si>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</si>
  <si>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</si>
  <si>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</si>
  <si>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</si>
  <si>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</si>
  <si>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</si>
  <si>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</si>
  <si>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</si>
  <si>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</si>
  <si>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</si>
  <si>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</si>
  <si>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</si>
  <si>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</si>
  <si>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</si>
  <si>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</si>
  <si>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</si>
  <si>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</si>
  <si>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</si>
  <si>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</si>
  <si>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</si>
  <si>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</si>
  <si>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</si>
  <si>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</si>
  <si>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</si>
  <si>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</si>
  <si>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</si>
  <si>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</si>
  <si>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</si>
  <si>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</si>
  <si>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</si>
  <si>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</si>
  <si>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</si>
  <si>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</si>
  <si>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</si>
  <si>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</si>
  <si>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</si>
  <si>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</si>
  <si>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</si>
  <si>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</si>
  <si>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</si>
  <si>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</si>
  <si>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</si>
  <si>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</si>
  <si>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</si>
  <si>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</si>
  <si>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</si>
  <si>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</si>
  <si>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</si>
  <si>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</si>
  <si>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</si>
  <si>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</si>
  <si>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</si>
  <si>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</si>
  <si>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 xml:space="preserve">Для выбора того или иного источника публикации выполните двойной щелчок по синей ячейке напротив соответствующего источника.
ВНИМАНИЕ! Если Вы снимаете галочку с пункта, то будут скрыты и очищены соответствующие строки на листе "Форма 1.0.2"!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</si>
  <si>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 xml:space="preserve">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</si>
  <si>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 xml:space="preserve">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</si>
  <si>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 xml:space="preserve">Шаблон заполняется раздельно по каждому виду тарифа</t>
  </si>
  <si>
    <t xml:space="preserve">В зависимости от указанного вида деятельности будут доступны для заполнения поля 'Производство', 'Передача' и 'Сбыт'</t>
  </si>
  <si>
    <t xml:space="preserve">Если выбрано 'да', на листах с разбивкой по потребителям доступны для заполнения графы для двухставочного ставочного тарифа по группам потребителей</t>
  </si>
  <si>
    <t xml:space="preserve">Если выбрано 'да', значения тарифов для групп потребителей на листах с разбивкой по потребителям заполнятся автоматически значениями первой группы</t>
  </si>
  <si>
    <t xml:space="preserve">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</si>
  <si>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</si>
  <si>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 xml:space="preserve">Укажите является ли данное юридическое лицо подразделением(филиалом) другой организации</t>
  </si>
  <si>
    <t xml:space="preserve">Ссылки на публикации</t>
  </si>
  <si>
    <t xml:space="preserve">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</si>
  <si>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 xml:space="preserve">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</si>
  <si>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 xml:space="preserve">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</si>
  <si>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 xml:space="preserve">Список МО</t>
  </si>
  <si>
    <t xml:space="preserve">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</si>
  <si>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 xml:space="preserve">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</si>
  <si>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 xml:space="preserve">Признак дифференциации тарифа</t>
  </si>
  <si>
    <t xml:space="preserve">В случае, если тариф не дифференцируется по системам теплоснабжения, укажите "1".
Введите значение от 1 до 100, чтобы указать очередной условный порядковый номер системы теплоснабжения</t>
  </si>
  <si>
    <t>Стандарты</t>
  </si>
  <si>
    <t xml:space="preserve">В качестве примечания Вы можете указать единицу измерения</t>
  </si>
  <si>
    <t xml:space="preserve">Для корректного формирования Таблицы 25 Формы 1.10 необходимо задать разбивку по диаметрам и способу прокладки тепловых сетей</t>
  </si>
  <si>
    <t xml:space="preserve">Перечень тарифов</t>
  </si>
  <si>
    <t xml:space="preserve">Укажите «Да» в поле «Да/Нет», если дифференциация используется.
В поле «Описание» указывается наименование территории действия тарифа при наличии дифференциации тарифа по территориальному признаку.
В случае дифференциации тарифов по территориальному признаку информация по ним указывается в отдельных строках.</t>
  </si>
  <si>
    <t xml:space="preserve">Признаки дифференциации указываются в соответствии с п.6 ст.32 ФЗ РФ от 07.12.2011 №416-ФЗ</t>
  </si>
  <si>
    <t xml:space="preserve">Укажите «Да» в поле «Да/Нет», если дифференциация используется. В поле «Описание» укажите название ЦС ГВС или любое другое описание</t>
  </si>
  <si>
    <t>Территории</t>
  </si>
  <si>
    <t xml:space="preserve">Наименование территории действия тарифа для целей идентификации</t>
  </si>
  <si>
    <t xml:space="preserve">Муниципальные районы и муниципальные образования, на территории которых действует тариф</t>
  </si>
  <si>
    <t>Инструкция</t>
  </si>
  <si>
    <t xml:space="preserve">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</si>
</sst>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http://schemas.microsoft.com/office/spreadsheetml/2009/9/main" xmlns:x14ac="http://schemas.microsoft.com/office/spreadsheetml/2009/9/ac" xmlns:x16r2="http://schemas.microsoft.com/office/spreadsheetml/2015/02/main" mc:Ignorable="x14ac x16r2">
  <numFmts count="11">
    <numFmt numFmtId="160" formatCode="_-* #,##0.00\ _₽_-;\-* #,##0.00\ _₽_-;_-* &quot;-&quot;??\ _₽_-;_-@_-"/>
    <numFmt numFmtId="161" formatCode="_-* #,##0\ _₽_-;\-* #,##0\ _₽_-;_-* &quot;-&quot;\ _₽_-;_-@_-"/>
    <numFmt numFmtId="162" formatCode="_-* #,##0.00\ &quot;₽&quot;_-;\-* #,##0.00\ &quot;₽&quot;_-;_-* &quot;-&quot;??\ &quot;₽&quot;_-;_-@_-"/>
    <numFmt numFmtId="163" formatCode="_-* #,##0\ &quot;₽&quot;_-;\-* #,##0\ &quot;₽&quot;_-;_-* &quot;-&quot;\ &quot;₽&quot;_-;_-@_-"/>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27">
    <font>
      <sz val="9.000000"/>
      <color indexed="64"/>
      <name val="Tahoma"/>
    </font>
    <font>
      <sz val="11.000000"/>
      <color theme="1"/>
      <name val="Calibri"/>
      <scheme val="minor"/>
    </font>
    <font>
      <sz val="11.000000"/>
      <color theme="0"/>
      <name val="Calibri"/>
      <scheme val="minor"/>
    </font>
    <font>
      <sz val="11.000000"/>
      <color rgb="FF9C0006"/>
      <name val="Calibri"/>
      <scheme val="minor"/>
    </font>
    <font>
      <b/>
      <sz val="11.000000"/>
      <color rgb="FFFA7D00"/>
      <name val="Calibri"/>
      <scheme val="minor"/>
    </font>
    <font>
      <b/>
      <sz val="11.000000"/>
      <color theme="0"/>
      <name val="Calibri"/>
      <scheme val="minor"/>
    </font>
    <font>
      <sz val="11.000000"/>
      <color indexed="64"/>
      <name val="Calibri"/>
    </font>
    <font>
      <i/>
      <sz val="11.000000"/>
      <color rgb="FF7F7F7F"/>
      <name val="Calibri"/>
      <scheme val="minor"/>
    </font>
    <font>
      <sz val="11.000000"/>
      <color rgb="FF006100"/>
      <name val="Calibri"/>
      <scheme val="minor"/>
    </font>
    <font>
      <b/>
      <sz val="15.000000"/>
      <color theme="3"/>
      <name val="Calibri"/>
      <scheme val="minor"/>
    </font>
    <font>
      <b/>
      <sz val="13.000000"/>
      <color theme="3"/>
      <name val="Calibri"/>
      <scheme val="minor"/>
    </font>
    <font>
      <b/>
      <sz val="11.000000"/>
      <color theme="3"/>
      <name val="Calibri"/>
      <scheme val="minor"/>
    </font>
    <font>
      <sz val="11.000000"/>
      <color rgb="FF3F3F76"/>
      <name val="Calibri"/>
      <scheme val="minor"/>
    </font>
    <font>
      <sz val="11.000000"/>
      <color rgb="FFFA7D00"/>
      <name val="Calibri"/>
      <scheme val="minor"/>
    </font>
    <font>
      <sz val="11.000000"/>
      <color rgb="FF9C5700"/>
      <name val="Calibri"/>
      <scheme val="minor"/>
    </font>
    <font>
      <sz val="12.000000"/>
      <name val="Arial"/>
    </font>
    <font>
      <b/>
      <sz val="11.000000"/>
      <color rgb="FF3F3F3F"/>
      <name val="Calibri"/>
      <scheme val="minor"/>
    </font>
    <font>
      <sz val="18.000000"/>
      <color theme="3"/>
      <name val="Cambria"/>
      <scheme val="major"/>
    </font>
    <font>
      <b/>
      <sz val="11.000000"/>
      <color theme="1"/>
      <name val="Calibri"/>
      <scheme val="minor"/>
    </font>
    <font>
      <sz val="11.000000"/>
      <color indexed="2"/>
      <name val="Calibri"/>
      <scheme val="minor"/>
    </font>
    <font>
      <sz val="10.000000"/>
      <name val="Helv"/>
    </font>
    <font>
      <sz val="8.000000"/>
      <name val="Arial"/>
    </font>
    <font>
      <sz val="9.000000"/>
      <name val="Tahoma"/>
    </font>
    <font>
      <sz val="8.000000"/>
      <name val="Palatino"/>
    </font>
    <font>
      <u/>
      <sz val="10.000000"/>
      <color indexed="20"/>
      <name val="Arial Cyr"/>
    </font>
    <font>
      <u/>
      <sz val="10.000000"/>
      <color indexed="4"/>
      <name val="Arial Cyr"/>
    </font>
    <font>
      <sz val="8.000000"/>
      <name val="Helv"/>
    </font>
    <font>
      <u/>
      <sz val="9.000000"/>
      <color theme="10"/>
      <name val="Tahoma"/>
    </font>
    <font>
      <sz val="10.000000"/>
      <name val="Arial"/>
    </font>
    <font>
      <sz val="10.000000"/>
      <name val="Arial Cyr"/>
    </font>
    <font>
      <u/>
      <sz val="9.000000"/>
      <color theme="11"/>
      <name val="Tahoma"/>
    </font>
    <font>
      <b/>
      <u/>
      <sz val="11.000000"/>
      <color indexed="4"/>
      <name val="Tahoma"/>
    </font>
    <font>
      <sz val="11.000000"/>
      <color indexed="64"/>
      <name val="Tahoma"/>
    </font>
    <font>
      <sz val="11.000000"/>
      <color indexed="65"/>
      <name val="Tahoma"/>
    </font>
    <font>
      <b/>
      <sz val="10.000000"/>
      <name val="Tahoma"/>
    </font>
    <font>
      <u/>
      <sz val="20.000000"/>
      <color indexed="56"/>
      <name val="Tahoma"/>
    </font>
    <font>
      <sz val="10.000000"/>
      <name val="Tahoma"/>
    </font>
    <font>
      <b/>
      <sz val="10.000000"/>
      <color indexed="64"/>
      <name val="Tahoma"/>
    </font>
    <font>
      <sz val="11.000000"/>
      <color indexed="64"/>
      <name val="Marlett"/>
    </font>
    <font>
      <sz val="10.000000"/>
      <color indexed="64"/>
      <name val="Tahoma"/>
    </font>
    <font>
      <sz val="7.000000"/>
      <name val="Tahoma"/>
    </font>
    <font>
      <sz val="9.000000"/>
      <color indexed="65"/>
      <name val="Tahoma"/>
    </font>
    <font>
      <sz val="9.000000"/>
      <color rgb="FFCC0000"/>
      <name val="Tahoma"/>
    </font>
    <font>
      <sz val="9.000000"/>
      <color theme="0"/>
      <name val="Tahoma"/>
    </font>
    <font>
      <sz val="1.000000"/>
      <color indexed="65"/>
      <name val="Tahoma"/>
    </font>
    <font>
      <sz val="1.000000"/>
      <color theme="0"/>
      <name val="Tahoma"/>
    </font>
    <font>
      <sz val="3.000000"/>
      <name val="Tahoma"/>
    </font>
    <font>
      <sz val="3.000000"/>
      <color indexed="65"/>
      <name val="Tahoma"/>
    </font>
    <font>
      <sz val="3.000000"/>
      <color rgb="FFCC0000"/>
      <name val="Tahoma"/>
    </font>
    <font>
      <sz val="3.000000"/>
      <color theme="0"/>
      <name val="Tahoma"/>
    </font>
    <font>
      <sz val="16.000000"/>
      <name val="Tahoma"/>
    </font>
    <font>
      <b/>
      <sz val="9.000000"/>
      <name val="Tahoma"/>
    </font>
    <font>
      <b/>
      <sz val="9.000000"/>
      <color theme="0"/>
      <name val="Tahoma"/>
    </font>
    <font>
      <sz val="3.000000"/>
      <color indexed="60"/>
      <name val="Tahoma"/>
    </font>
    <font>
      <sz val="7.000000"/>
      <color theme="0" tint="-0.5"/>
      <name val="Tahoma"/>
    </font>
    <font>
      <u/>
      <sz val="9.000000"/>
      <color indexed="62"/>
      <name val="Tahoma"/>
    </font>
    <font>
      <sz val="16.000000"/>
      <color indexed="65"/>
      <name val="Tahoma"/>
    </font>
    <font>
      <sz val="3.000000"/>
      <color indexed="64"/>
      <name val="Tahoma"/>
    </font>
    <font>
      <u/>
      <sz val="9.000000"/>
      <color indexed="18"/>
      <name val="Tahoma"/>
    </font>
    <font>
      <sz val="7.000000"/>
      <color indexed="65"/>
      <name val="Tahoma"/>
    </font>
    <font>
      <sz val="12.000000"/>
      <name val="Tahoma"/>
    </font>
    <font>
      <sz val="11.000000"/>
      <color rgb="FFBCBCBC"/>
      <name val="Wingdings 2"/>
    </font>
    <font>
      <sz val="5.000000"/>
      <color indexed="2"/>
      <name val="Tahoma"/>
    </font>
    <font>
      <sz val="1.000000"/>
      <name val="Tahoma"/>
    </font>
    <font>
      <sz val="11.000000"/>
      <color theme="0"/>
      <name val="Wingdings 2"/>
    </font>
    <font>
      <sz val="5.000000"/>
      <color theme="0"/>
      <name val="Tahoma"/>
    </font>
    <font>
      <sz val="11.000000"/>
      <name val="Wingdings 2"/>
    </font>
    <font>
      <sz val="9.000000"/>
      <color rgb="FFBCBCBC"/>
      <name val="Tahoma"/>
    </font>
    <font>
      <sz val="9.000000"/>
      <color indexed="2"/>
      <name val="Tahoma"/>
    </font>
    <font>
      <sz val="12.000000"/>
      <color theme="0"/>
      <name val="Tahoma"/>
    </font>
    <font>
      <sz val="9.000000"/>
      <color indexed="18"/>
      <name val="Tahoma"/>
    </font>
    <font>
      <sz val="8.000000"/>
      <name val="Tahoma"/>
    </font>
    <font>
      <sz val="8.000000"/>
      <color theme="0"/>
      <name val="Tahoma"/>
    </font>
    <font>
      <sz val="8.000000"/>
      <color rgb="FFBCBCBC"/>
      <name val="Tahoma"/>
    </font>
    <font>
      <b/>
      <sz val="11.000000"/>
      <color indexed="64"/>
      <name val="Calibri"/>
    </font>
    <font>
      <b/>
      <sz val="11.000000"/>
      <color theme="0"/>
      <name val="Calibri"/>
    </font>
    <font>
      <b/>
      <sz val="1.000000"/>
      <color theme="0"/>
      <name val="Calibri"/>
    </font>
    <font>
      <b/>
      <sz val="9.000000"/>
      <name val="Calibri"/>
    </font>
    <font>
      <sz val="9.000000"/>
      <color theme="1"/>
      <name val="Tahoma"/>
    </font>
    <font>
      <sz val="9.000000"/>
      <color rgb="FFBCBCBC"/>
      <name val="Wingdings 2"/>
    </font>
    <font>
      <sz val="12.000000"/>
      <name val="Marlett"/>
    </font>
    <font>
      <sz val="18.000000"/>
      <name val="Tahoma"/>
    </font>
    <font>
      <sz val="1.000000"/>
      <color indexed="64"/>
      <name val="Tahoma"/>
    </font>
    <font>
      <sz val="9.000000"/>
      <name val="Wingdings 2"/>
    </font>
    <font>
      <sz val="9.000000"/>
      <color indexed="65"/>
      <name val="Wingdings 2"/>
    </font>
    <font>
      <b/>
      <sz val="9.000000"/>
      <color rgb="FF0070C0"/>
      <name val="Tahoma"/>
    </font>
    <font>
      <b/>
      <sz val="3.000000"/>
      <name val="Tahoma"/>
    </font>
    <font>
      <b/>
      <sz val="9.000000"/>
      <color indexed="18"/>
      <name val="Tahoma"/>
    </font>
    <font>
      <sz val="18.000000"/>
      <color indexed="64"/>
      <name val="Tahoma"/>
    </font>
    <font>
      <sz val="12.000000"/>
      <color indexed="64"/>
      <name val="Tahoma"/>
    </font>
    <font>
      <sz val="9.000000"/>
      <color indexed="30"/>
      <name val="Tahoma"/>
    </font>
    <font>
      <b/>
      <sz val="10.000000"/>
      <color theme="1"/>
      <name val="Tahoma"/>
    </font>
    <font>
      <sz val="10.000000"/>
      <color theme="1"/>
      <name val="Tahoma"/>
    </font>
    <font>
      <sz val="3.000000"/>
      <color rgb="FFBCBCBC"/>
      <name val="Tahoma"/>
    </font>
    <font>
      <sz val="1.000000"/>
      <color rgb="FFBCBCBC"/>
      <name val="Tahoma"/>
    </font>
    <font>
      <sz val="11.000000"/>
      <name val="Webdings2"/>
    </font>
    <font>
      <sz val="1.000000"/>
      <color theme="0"/>
      <name val="Webdings2"/>
    </font>
    <font>
      <b/>
      <sz val="1.000000"/>
      <color theme="0"/>
      <name val="Tahoma"/>
    </font>
    <font>
      <sz val="11.000000"/>
      <color theme="0"/>
      <name val="Webdings2"/>
    </font>
    <font>
      <sz val="15.000000"/>
      <color indexed="64"/>
      <name val="Tahoma"/>
    </font>
    <font>
      <sz val="1.000000"/>
      <name val="Webdings2"/>
    </font>
    <font>
      <sz val="1.000000"/>
      <color theme="0"/>
      <name val="Wingdings 2"/>
    </font>
    <font>
      <sz val="9.000000"/>
      <color theme="0"/>
      <name val="Webdings2"/>
    </font>
    <font>
      <sz val="15.000000"/>
      <color theme="0"/>
      <name val="Tahoma"/>
    </font>
    <font>
      <sz val="1.000000"/>
      <color indexed="2"/>
      <name val="Tahoma"/>
    </font>
    <font>
      <b/>
      <sz val="1.000000"/>
      <name val="Tahoma"/>
    </font>
    <font>
      <b/>
      <sz val="1.000000"/>
      <color indexed="18"/>
      <name val="Tahoma"/>
    </font>
    <font>
      <sz val="15.000000"/>
      <name val="Tahoma"/>
    </font>
    <font>
      <sz val="11.000000"/>
      <color theme="0"/>
      <name val="Tahoma"/>
    </font>
    <font>
      <b/>
      <sz val="9.000000"/>
      <color rgb="FFCC0000"/>
      <name val="Tahoma"/>
    </font>
    <font>
      <sz val="14.000000"/>
      <color rgb="FFBCBCBC"/>
      <name val="Calibri"/>
    </font>
    <font>
      <b/>
      <u/>
      <sz val="9.000000"/>
      <color indexed="18"/>
      <name val="Tahoma"/>
    </font>
    <font>
      <sz val="19.000000"/>
      <color theme="0"/>
      <name val="Tahoma"/>
    </font>
    <font>
      <b/>
      <sz val="9.000000"/>
      <color indexed="64"/>
      <name val="Tahoma"/>
    </font>
    <font>
      <b/>
      <sz val="8.000000"/>
      <color theme="0"/>
      <name val="Wingdings 2"/>
    </font>
    <font>
      <sz val="8.000000"/>
      <color indexed="18"/>
      <name val="Tahoma"/>
    </font>
    <font>
      <b/>
      <sz val="8.000000"/>
      <color indexed="22"/>
      <name val="Wingdings 2"/>
    </font>
    <font>
      <sz val="8.000000"/>
      <color indexed="65"/>
      <name val="Tahoma"/>
    </font>
    <font>
      <u/>
      <sz val="1.000000"/>
      <color indexed="62"/>
      <name val="Tahoma"/>
    </font>
    <font>
      <sz val="10.000000"/>
      <color indexed="64"/>
      <name val="Arial"/>
    </font>
    <font>
      <sz val="18.000000"/>
      <color theme="0"/>
      <name val="Tahoma"/>
    </font>
    <font>
      <u/>
      <sz val="9.000000"/>
      <name val="Tahoma"/>
    </font>
    <font>
      <b/>
      <sz val="9.000000"/>
      <color indexed="65"/>
      <name val="Tahoma"/>
    </font>
    <font>
      <sz val="9.000000"/>
      <color indexed="62"/>
      <name val="Tahoma"/>
    </font>
    <font>
      <sz val="7.000000"/>
      <color indexed="64"/>
      <name val="Tahoma"/>
    </font>
    <font>
      <sz val="1.000000"/>
      <color indexed="18"/>
      <name val="Tahoma"/>
    </font>
    <font>
      <b/>
      <u/>
      <sz val="9.000000"/>
      <name val="Tahoma"/>
    </font>
  </fonts>
  <fills count="58">
    <fill>
      <patternFill patternType="none"/>
    </fill>
    <fill>
      <patternFill patternType="gray125"/>
    </fill>
    <fill>
      <patternFill patternType="solid">
        <fgColor theme="4" tint="0.80000000000000004"/>
        <bgColor theme="4" tint="0.80000000000000004"/>
      </patternFill>
    </fill>
    <fill>
      <patternFill patternType="solid">
        <fgColor theme="5" tint="0.80000000000000004"/>
        <bgColor theme="5" tint="0.80000000000000004"/>
      </patternFill>
    </fill>
    <fill>
      <patternFill patternType="solid">
        <fgColor theme="6" tint="0.80000000000000004"/>
        <bgColor theme="6" tint="0.80000000000000004"/>
      </patternFill>
    </fill>
    <fill>
      <patternFill patternType="solid">
        <fgColor theme="7" tint="0.80000000000000004"/>
        <bgColor theme="7" tint="0.80000000000000004"/>
      </patternFill>
    </fill>
    <fill>
      <patternFill patternType="solid">
        <fgColor theme="8" tint="0.80000000000000004"/>
        <bgColor theme="8" tint="0.80000000000000004"/>
      </patternFill>
    </fill>
    <fill>
      <patternFill patternType="solid">
        <fgColor theme="9" tint="0.80000000000000004"/>
        <bgColor theme="9" tint="0.80000000000000004"/>
      </patternFill>
    </fill>
    <fill>
      <patternFill patternType="solid">
        <fgColor theme="4" tint="0.59999999999999998"/>
        <bgColor theme="4" tint="0.59999999999999998"/>
      </patternFill>
    </fill>
    <fill>
      <patternFill patternType="solid">
        <fgColor theme="5" tint="0.59999999999999998"/>
        <bgColor theme="5" tint="0.59999999999999998"/>
      </patternFill>
    </fill>
    <fill>
      <patternFill patternType="solid">
        <fgColor theme="6" tint="0.59999999999999998"/>
        <bgColor theme="6" tint="0.59999999999999998"/>
      </patternFill>
    </fill>
    <fill>
      <patternFill patternType="solid">
        <fgColor theme="7" tint="0.59999999999999998"/>
        <bgColor theme="7" tint="0.59999999999999998"/>
      </patternFill>
    </fill>
    <fill>
      <patternFill patternType="solid">
        <fgColor theme="8" tint="0.59999999999999998"/>
        <bgColor theme="8" tint="0.59999999999999998"/>
      </patternFill>
    </fill>
    <fill>
      <patternFill patternType="solid">
        <fgColor theme="9" tint="0.59999999999999998"/>
        <bgColor theme="9" tint="0.59999999999999998"/>
      </patternFill>
    </fill>
    <fill>
      <patternFill patternType="solid">
        <fgColor theme="4" tint="0.40000000000000002"/>
        <bgColor theme="4" tint="0.40000000000000002"/>
      </patternFill>
    </fill>
    <fill>
      <patternFill patternType="solid">
        <fgColor theme="5" tint="0.40000000000000002"/>
        <bgColor theme="5" tint="0.40000000000000002"/>
      </patternFill>
    </fill>
    <fill>
      <patternFill patternType="solid">
        <fgColor theme="6" tint="0.40000000000000002"/>
        <bgColor theme="6" tint="0.40000000000000002"/>
      </patternFill>
    </fill>
    <fill>
      <patternFill patternType="solid">
        <fgColor theme="7" tint="0.40000000000000002"/>
        <bgColor theme="7" tint="0.40000000000000002"/>
      </patternFill>
    </fill>
    <fill>
      <patternFill patternType="solid">
        <fgColor theme="8" tint="0.40000000000000002"/>
        <bgColor theme="8" tint="0.40000000000000002"/>
      </patternFill>
    </fill>
    <fill>
      <patternFill patternType="solid">
        <fgColor theme="9" tint="0.40000000000000002"/>
        <bgColor theme="9" tint="0.40000000000000002"/>
      </patternFill>
    </fill>
    <fill>
      <patternFill patternType="solid">
        <fgColor theme="4"/>
        <bgColor theme="4"/>
      </patternFill>
    </fill>
    <fill>
      <patternFill patternType="solid">
        <fgColor theme="5"/>
        <bgColor theme="5"/>
      </patternFill>
    </fill>
    <fill>
      <patternFill patternType="solid">
        <fgColor theme="6"/>
        <bgColor theme="6"/>
      </patternFill>
    </fill>
    <fill>
      <patternFill patternType="solid">
        <fgColor theme="7"/>
        <bgColor theme="7"/>
      </patternFill>
    </fill>
    <fill>
      <patternFill patternType="solid">
        <fgColor theme="8"/>
        <bgColor theme="8"/>
      </patternFill>
    </fill>
    <fill>
      <patternFill patternType="solid">
        <fgColor theme="9"/>
        <bgColor theme="9"/>
      </patternFill>
    </fill>
    <fill>
      <patternFill patternType="solid">
        <fgColor rgb="FFFFC7CE"/>
        <bgColor rgb="FFFFC7CE"/>
      </patternFill>
    </fill>
    <fill>
      <patternFill patternType="solid">
        <fgColor rgb="FFF2F2F2"/>
        <bgColor rgb="FFF2F2F2"/>
      </patternFill>
    </fill>
    <fill>
      <patternFill patternType="solid">
        <fgColor rgb="FFA5A5A5"/>
        <bgColor rgb="FFA5A5A5"/>
      </patternFill>
    </fill>
    <fill>
      <patternFill patternType="solid">
        <fgColor rgb="FFC6EFCE"/>
        <bgColor rgb="FFC6EFCE"/>
      </patternFill>
    </fill>
    <fill>
      <patternFill patternType="solid">
        <fgColor indexed="47"/>
        <bgColor indexed="47"/>
      </patternFill>
    </fill>
    <fill>
      <patternFill patternType="solid">
        <fgColor rgb="FFFFEB9C"/>
        <bgColor rgb="FFFFEB9C"/>
      </patternFill>
    </fill>
    <fill>
      <patternFill patternType="solid">
        <fgColor indexed="26"/>
        <bgColor indexed="26"/>
      </patternFill>
    </fill>
    <fill>
      <patternFill patternType="solid">
        <fgColor indexed="43"/>
        <bgColor indexed="43"/>
      </patternFill>
    </fill>
    <fill>
      <patternFill patternType="solid">
        <fgColor rgb="FFBCBCBC"/>
        <bgColor rgb="FFBCBCBC"/>
      </patternFill>
    </fill>
    <fill>
      <patternFill patternType="solid">
        <fgColor theme="0" tint="-0.14999999999999999"/>
        <bgColor theme="0" tint="-0.14999999999999999"/>
      </patternFill>
    </fill>
    <fill>
      <patternFill patternType="solid">
        <fgColor rgb="FFFFFFC0"/>
        <bgColor rgb="FFFFFFC0"/>
      </patternFill>
    </fill>
    <fill>
      <patternFill patternType="solid">
        <fgColor rgb="FFD3DBDB"/>
        <bgColor rgb="FFD3DBDB"/>
      </patternFill>
    </fill>
    <fill>
      <patternFill patternType="solid">
        <fgColor rgb="FFD7EAD3"/>
        <bgColor rgb="FFD7EAD3"/>
      </patternFill>
    </fill>
    <fill>
      <patternFill patternType="solid">
        <fgColor rgb="FFE3FAFD"/>
        <bgColor rgb="FFE3FAFD"/>
      </patternFill>
    </fill>
    <fill>
      <patternFill patternType="solid">
        <fgColor indexed="65"/>
        <bgColor indexed="65"/>
      </patternFill>
    </fill>
    <fill>
      <patternFill patternType="solid">
        <fgColor rgb="FFB7E4FF"/>
        <bgColor rgb="FFB7E4FF"/>
      </patternFill>
    </fill>
    <fill>
      <patternFill patternType="lightDown">
        <fgColor indexed="22"/>
        <bgColor indexed="22"/>
      </patternFill>
    </fill>
    <fill>
      <patternFill patternType="solid">
        <fgColor theme="0"/>
        <bgColor theme="0"/>
      </patternFill>
    </fill>
    <fill>
      <patternFill patternType="solid">
        <fgColor indexed="40"/>
        <bgColor indexed="40"/>
      </patternFill>
    </fill>
    <fill>
      <patternFill patternType="solid">
        <fgColor indexed="31"/>
        <bgColor indexed="31"/>
      </patternFill>
    </fill>
    <fill>
      <patternFill patternType="solid">
        <fgColor rgb="FFEAEBEE"/>
        <bgColor rgb="FFEAEBEE"/>
      </patternFill>
    </fill>
    <fill>
      <patternFill patternType="solid">
        <fgColor indexed="52"/>
        <bgColor indexed="52"/>
      </patternFill>
    </fill>
    <fill>
      <patternFill patternType="solid">
        <fgColor indexed="30"/>
        <bgColor indexed="30"/>
      </patternFill>
    </fill>
    <fill>
      <patternFill patternType="solid">
        <fgColor indexed="19"/>
        <bgColor indexed="19"/>
      </patternFill>
    </fill>
    <fill>
      <patternFill patternType="solid">
        <fgColor indexed="46"/>
        <bgColor indexed="46"/>
      </patternFill>
    </fill>
    <fill>
      <patternFill patternType="solid">
        <fgColor indexed="22"/>
        <bgColor indexed="22"/>
      </patternFill>
    </fill>
    <fill>
      <patternFill patternType="lightDown">
        <fgColor rgb="FFB7E4FF"/>
        <bgColor indexed="65"/>
      </patternFill>
    </fill>
    <fill>
      <patternFill patternType="solid">
        <fgColor indexed="5"/>
        <bgColor indexed="5"/>
      </patternFill>
    </fill>
    <fill>
      <patternFill patternType="solid">
        <fgColor rgb="FFFFB7B7"/>
        <bgColor rgb="FFFFB7B7"/>
      </patternFill>
    </fill>
    <fill>
      <patternFill patternType="solid">
        <fgColor rgb="FF8DB4E2"/>
        <bgColor rgb="FF8DB4E2"/>
      </patternFill>
    </fill>
    <fill>
      <patternFill patternType="solid">
        <fgColor theme="2" tint="-0.10000000000000001"/>
        <bgColor theme="2" tint="-0.10000000000000001"/>
      </patternFill>
    </fill>
    <fill>
      <patternFill patternType="solid">
        <fgColor theme="9" tint="-0.25"/>
        <bgColor theme="9" tint="-0.25"/>
      </patternFill>
    </fill>
  </fills>
  <borders count="75">
    <border>
      <left style="none"/>
      <right style="none"/>
      <top style="none"/>
      <bottom style="none"/>
      <diagonal style="none"/>
    </border>
    <border>
      <left style="thin">
        <color rgb="FF7F7F7F"/>
      </left>
      <right style="thin">
        <color rgb="FF7F7F7F"/>
      </right>
      <top style="thin">
        <color rgb="FF7F7F7F"/>
      </top>
      <bottom style="thin">
        <color rgb="FF7F7F7F"/>
      </bottom>
      <diagonal style="none"/>
    </border>
    <border>
      <left style="double">
        <color rgb="FF3F3F3F"/>
      </left>
      <right style="double">
        <color rgb="FF3F3F3F"/>
      </right>
      <top style="double">
        <color rgb="FF3F3F3F"/>
      </top>
      <bottom style="double">
        <color rgb="FF3F3F3F"/>
      </bottom>
      <diagonal style="none"/>
    </border>
    <border>
      <left style="none"/>
      <right style="none"/>
      <top style="none"/>
      <bottom style="thick">
        <color theme="4"/>
      </bottom>
      <diagonal style="none"/>
    </border>
    <border>
      <left style="none"/>
      <right style="none"/>
      <top style="none"/>
      <bottom style="thick">
        <color theme="4" tint="0.5"/>
      </bottom>
      <diagonal style="none"/>
    </border>
    <border>
      <left style="none"/>
      <right style="none"/>
      <top style="none"/>
      <bottom style="medium">
        <color theme="4" tint="0.40000000000000002"/>
      </bottom>
      <diagonal style="none"/>
    </border>
    <border>
      <left style="none"/>
      <right style="none"/>
      <top style="none"/>
      <bottom style="double">
        <color rgb="FFFF8001"/>
      </bottom>
      <diagonal style="none"/>
    </border>
    <border>
      <left style="thin">
        <color rgb="FFB2B2B2"/>
      </left>
      <right style="thin">
        <color rgb="FFB2B2B2"/>
      </right>
      <top style="thin">
        <color rgb="FFB2B2B2"/>
      </top>
      <bottom style="thin">
        <color rgb="FFB2B2B2"/>
      </bottom>
      <diagonal style="none"/>
    </border>
    <border>
      <left style="thin">
        <color rgb="FF3F3F3F"/>
      </left>
      <right style="thin">
        <color rgb="FF3F3F3F"/>
      </right>
      <top style="thin">
        <color rgb="FF3F3F3F"/>
      </top>
      <bottom style="thin">
        <color rgb="FF3F3F3F"/>
      </bottom>
      <diagonal style="none"/>
    </border>
    <border>
      <left style="none"/>
      <right style="none"/>
      <top style="thin">
        <color theme="4"/>
      </top>
      <bottom style="double">
        <color theme="4"/>
      </bottom>
      <diagonal style="none"/>
    </border>
    <border>
      <left style="thin">
        <color rgb="FF999999"/>
      </left>
      <right style="none"/>
      <top style="thin">
        <color rgb="FF999999"/>
      </top>
      <bottom style="thin">
        <color rgb="FF999999"/>
      </bottom>
      <diagonal style="none"/>
    </border>
    <border>
      <left style="none"/>
      <right style="none"/>
      <top style="thin">
        <color rgb="FF999999"/>
      </top>
      <bottom style="thin">
        <color rgb="FF999999"/>
      </bottom>
      <diagonal style="none"/>
    </border>
    <border>
      <left style="none"/>
      <right style="thin">
        <color rgb="FF999999"/>
      </right>
      <top style="thin">
        <color rgb="FF999999"/>
      </top>
      <bottom style="thin">
        <color rgb="FF999999"/>
      </bottom>
      <diagonal style="none"/>
    </border>
    <border>
      <left style="thin">
        <color rgb="FFBCBCBC"/>
      </left>
      <right style="none"/>
      <top style="none"/>
      <bottom style="none"/>
      <diagonal style="none"/>
    </border>
    <border>
      <left style="none"/>
      <right style="thin">
        <color rgb="FFBCBCBC"/>
      </right>
      <top style="none"/>
      <bottom style="none"/>
      <diagonal style="none"/>
    </border>
    <border>
      <left style="thin">
        <color rgb="FFBCBCBC"/>
      </left>
      <right style="none"/>
      <top style="thin">
        <color rgb="FFBCBCBC"/>
      </top>
      <bottom style="none"/>
      <diagonal style="none"/>
    </border>
    <border>
      <left style="none"/>
      <right style="none"/>
      <top style="thin">
        <color rgb="FFBCBCBC"/>
      </top>
      <bottom style="none"/>
      <diagonal style="none"/>
    </border>
    <border>
      <left style="none"/>
      <right style="thin">
        <color rgb="FFBCBCBC"/>
      </right>
      <top style="thin">
        <color rgb="FFBCBCBC"/>
      </top>
      <bottom style="none"/>
      <diagonal style="none"/>
    </border>
    <border>
      <left style="thin">
        <color rgb="FFBCBCBC"/>
      </left>
      <right style="none"/>
      <top style="none"/>
      <bottom style="thin">
        <color rgb="FFBCBCBC"/>
      </bottom>
      <diagonal style="none"/>
    </border>
    <border>
      <left style="none"/>
      <right style="none"/>
      <top style="none"/>
      <bottom style="thin">
        <color rgb="FFBCBCBC"/>
      </bottom>
      <diagonal style="none"/>
    </border>
    <border>
      <left style="none"/>
      <right style="thin">
        <color indexed="22"/>
      </right>
      <top style="thin">
        <color indexed="22"/>
      </top>
      <bottom style="thin">
        <color indexed="22"/>
      </bottom>
      <diagonal style="none"/>
    </border>
    <border>
      <left style="thin">
        <color indexed="22"/>
      </left>
      <right style="none"/>
      <top style="thin">
        <color indexed="22"/>
      </top>
      <bottom style="thin">
        <color indexed="22"/>
      </bottom>
      <diagonal style="none"/>
    </border>
    <border>
      <left style="hair">
        <color indexed="22"/>
      </left>
      <right style="none"/>
      <top style="hair">
        <color indexed="22"/>
      </top>
      <bottom style="hair">
        <color indexed="22"/>
      </bottom>
      <diagonal style="none"/>
    </border>
    <border>
      <left style="thin">
        <color indexed="22"/>
      </left>
      <right style="thin">
        <color indexed="22"/>
      </right>
      <top style="thin">
        <color indexed="22"/>
      </top>
      <bottom style="thin">
        <color indexed="22"/>
      </bottom>
      <diagonal style="none"/>
    </border>
    <border>
      <left style="thin">
        <color rgb="FFBCBCBC"/>
      </left>
      <right style="thin">
        <color rgb="FFBCBCBC"/>
      </right>
      <top style="thin">
        <color rgb="FFBCBCBC"/>
      </top>
      <bottom style="thin">
        <color rgb="FFBCBCBC"/>
      </bottom>
      <diagonal style="none"/>
    </border>
    <border>
      <left style="none"/>
      <right style="none"/>
      <top style="thin">
        <color indexed="22"/>
      </top>
      <bottom style="thin">
        <color indexed="22"/>
      </bottom>
      <diagonal style="none"/>
    </border>
    <border>
      <left style="none"/>
      <right style="none"/>
      <top style="thin">
        <color indexed="22"/>
      </top>
      <bottom style="none"/>
      <diagonal style="none"/>
    </border>
    <border>
      <left style="none"/>
      <right style="thin">
        <color indexed="22"/>
      </right>
      <top style="thin">
        <color indexed="22"/>
      </top>
      <bottom style="none"/>
      <diagonal style="none"/>
    </border>
    <border>
      <left style="thin">
        <color indexed="22"/>
      </left>
      <right style="none"/>
      <top style="none"/>
      <bottom style="none"/>
      <diagonal style="none"/>
    </border>
    <border>
      <left style="none"/>
      <right style="thin">
        <color indexed="22"/>
      </right>
      <top style="none"/>
      <bottom style="none"/>
      <diagonal style="none"/>
    </border>
    <border>
      <left style="thin">
        <color indexed="22"/>
      </left>
      <right style="thin">
        <color indexed="22"/>
      </right>
      <top style="none"/>
      <bottom style="thin">
        <color indexed="22"/>
      </bottom>
      <diagonal style="none"/>
    </border>
    <border>
      <left style="none"/>
      <right style="none"/>
      <top style="thin">
        <color rgb="FFD3DBDB"/>
      </top>
      <bottom style="none"/>
      <diagonal style="none"/>
    </border>
    <border>
      <left style="thin">
        <color indexed="22"/>
      </left>
      <right style="thin">
        <color indexed="22"/>
      </right>
      <top style="thin">
        <color indexed="22"/>
      </top>
      <bottom style="none"/>
      <diagonal style="none"/>
    </border>
    <border>
      <left style="thin">
        <color indexed="22"/>
      </left>
      <right style="none"/>
      <top style="thin">
        <color indexed="22"/>
      </top>
      <bottom style="none"/>
      <diagonal style="none"/>
    </border>
    <border>
      <left style="none"/>
      <right style="thin">
        <color indexed="22"/>
      </right>
      <top style="none"/>
      <bottom style="thin">
        <color indexed="22"/>
      </bottom>
      <diagonal style="none"/>
    </border>
    <border>
      <left style="thin">
        <color indexed="22"/>
      </left>
      <right style="none"/>
      <top style="none"/>
      <bottom style="thin">
        <color indexed="22"/>
      </bottom>
      <diagonal style="none"/>
    </border>
    <border>
      <left style="thin">
        <color rgb="FFBCBCBC"/>
      </left>
      <right style="none"/>
      <top style="thin">
        <color rgb="FFBCBCBC"/>
      </top>
      <bottom style="thin">
        <color rgb="FFBCBCBC"/>
      </bottom>
      <diagonal style="none"/>
    </border>
    <border>
      <left style="none"/>
      <right style="thin">
        <color rgb="FFBCBCBC"/>
      </right>
      <top style="thin">
        <color rgb="FFBCBCBC"/>
      </top>
      <bottom style="thin">
        <color rgb="FFBCBCBC"/>
      </bottom>
      <diagonal style="none"/>
    </border>
    <border>
      <left style="thin">
        <color indexed="22"/>
      </left>
      <right style="none"/>
      <top style="thin">
        <color rgb="FFBCBCBC"/>
      </top>
      <bottom style="thin">
        <color rgb="FFBCBCBC"/>
      </bottom>
      <diagonal style="none"/>
    </border>
    <border>
      <left style="none"/>
      <right style="thin">
        <color indexed="22"/>
      </right>
      <top style="thin">
        <color rgb="FFBCBCBC"/>
      </top>
      <bottom style="thin">
        <color rgb="FFBCBCBC"/>
      </bottom>
      <diagonal style="none"/>
    </border>
    <border>
      <left style="none"/>
      <right style="none"/>
      <top style="thin">
        <color rgb="FFBCBCBC"/>
      </top>
      <bottom style="thin">
        <color rgb="FFBCBCBC"/>
      </bottom>
      <diagonal style="none"/>
    </border>
    <border>
      <left style="thin">
        <color indexed="22"/>
      </left>
      <right style="thin">
        <color indexed="22"/>
      </right>
      <top style="thin">
        <color rgb="FFBCBCBC"/>
      </top>
      <bottom style="thin">
        <color rgb="FFBCBCBC"/>
      </bottom>
      <diagonal style="none"/>
    </border>
    <border>
      <left style="thin">
        <color indexed="22"/>
      </left>
      <right style="thin">
        <color indexed="22"/>
      </right>
      <top style="none"/>
      <bottom style="none"/>
      <diagonal style="none"/>
    </border>
    <border>
      <left style="thin">
        <color indexed="22"/>
      </left>
      <right style="none"/>
      <top style="thin">
        <color rgb="FFBCBCBC"/>
      </top>
      <bottom style="thin">
        <color indexed="22"/>
      </bottom>
      <diagonal style="none"/>
    </border>
    <border>
      <left style="none"/>
      <right style="none"/>
      <top style="thin">
        <color rgb="FFBCBCBC"/>
      </top>
      <bottom style="thin">
        <color indexed="22"/>
      </bottom>
      <diagonal style="none"/>
    </border>
    <border>
      <left style="none"/>
      <right style="none"/>
      <top style="none"/>
      <bottom style="thin">
        <color indexed="22"/>
      </bottom>
      <diagonal style="none"/>
    </border>
    <border>
      <left style="thin">
        <color theme="0" tint="-0.25"/>
      </left>
      <right style="thin">
        <color indexed="22"/>
      </right>
      <top style="thin">
        <color indexed="22"/>
      </top>
      <bottom style="thin">
        <color indexed="22"/>
      </bottom>
      <diagonal style="none"/>
    </border>
    <border>
      <left style="thin">
        <color theme="0" tint="-0.25"/>
      </left>
      <right style="thin">
        <color indexed="22"/>
      </right>
      <top style="thin">
        <color indexed="22"/>
      </top>
      <bottom style="none"/>
      <diagonal style="none"/>
    </border>
    <border>
      <left style="thin">
        <color theme="0" tint="-0.25"/>
      </left>
      <right style="none"/>
      <top style="thin">
        <color indexed="22"/>
      </top>
      <bottom style="thin">
        <color indexed="22"/>
      </bottom>
      <diagonal style="none"/>
    </border>
    <border>
      <left style="thin">
        <color theme="0" tint="-0.25"/>
      </left>
      <right style="none"/>
      <top style="thin">
        <color indexed="22"/>
      </top>
      <bottom style="none"/>
      <diagonal style="none"/>
    </border>
    <border>
      <left style="thin">
        <color theme="0" tint="-0.25"/>
      </left>
      <right style="thin">
        <color theme="0" tint="-0.25"/>
      </right>
      <top style="none"/>
      <bottom style="thin">
        <color theme="0" tint="-0.25"/>
      </bottom>
      <diagonal style="none"/>
    </border>
    <border>
      <left style="thin">
        <color theme="0" tint="-0.25"/>
      </left>
      <right style="thin">
        <color theme="0" tint="-0.25"/>
      </right>
      <top style="none"/>
      <bottom style="none"/>
      <diagonal style="none"/>
    </border>
    <border>
      <left style="thin">
        <color theme="0" tint="-0.25"/>
      </left>
      <right style="thin">
        <color theme="0" tint="-0.25"/>
      </right>
      <top style="thin">
        <color theme="0" tint="-0.25"/>
      </top>
      <bottom style="thin">
        <color theme="0" tint="-0.25"/>
      </bottom>
      <diagonal style="none"/>
    </border>
    <border>
      <left style="thin">
        <color theme="0" tint="-0.25"/>
      </left>
      <right style="none"/>
      <top style="thin">
        <color theme="0" tint="-0.25"/>
      </top>
      <bottom style="thin">
        <color theme="0" tint="-0.25"/>
      </bottom>
      <diagonal style="none"/>
    </border>
    <border>
      <left style="thin">
        <color theme="0" tint="-0.25"/>
      </left>
      <right style="thin">
        <color theme="0" tint="-0.25"/>
      </right>
      <top style="thin">
        <color theme="0" tint="-0.25"/>
      </top>
      <bottom style="none"/>
      <diagonal style="none"/>
    </border>
    <border>
      <left style="thin">
        <color theme="0" tint="-0.25"/>
      </left>
      <right style="none"/>
      <top style="none"/>
      <bottom style="thin">
        <color theme="0" tint="-0.25"/>
      </bottom>
      <diagonal style="none"/>
    </border>
    <border>
      <left style="thin">
        <color rgb="FFBCBCBC"/>
      </left>
      <right style="none"/>
      <top style="medium">
        <color rgb="FFBCBCBC"/>
      </top>
      <bottom style="none"/>
      <diagonal style="none"/>
    </border>
    <border>
      <left style="none"/>
      <right style="none"/>
      <top style="medium">
        <color rgb="FFBCBCBC"/>
      </top>
      <bottom style="none"/>
      <diagonal style="none"/>
    </border>
    <border>
      <left style="none"/>
      <right style="none"/>
      <top style="medium">
        <color rgb="FFBCBCBC"/>
      </top>
      <bottom style="thin">
        <color rgb="FFBCBCBC"/>
      </bottom>
      <diagonal style="none"/>
    </border>
    <border>
      <left style="none"/>
      <right style="thin">
        <color rgb="FFBCBCBC"/>
      </right>
      <top style="medium">
        <color rgb="FFBCBCBC"/>
      </top>
      <bottom style="thin">
        <color rgb="FFBCBCBC"/>
      </bottom>
      <diagonal style="none"/>
    </border>
    <border>
      <left style="none"/>
      <right style="thin">
        <color theme="0" tint="-0.25"/>
      </right>
      <top style="thin">
        <color indexed="22"/>
      </top>
      <bottom style="thin">
        <color indexed="22"/>
      </bottom>
      <diagonal style="none"/>
    </border>
    <border>
      <left style="thin">
        <color indexed="22"/>
      </left>
      <right style="thin">
        <color indexed="22"/>
      </right>
      <top style="thin">
        <color indexed="22"/>
      </top>
      <bottom style="medium">
        <color indexed="22"/>
      </bottom>
      <diagonal style="none"/>
    </border>
    <border>
      <left style="none"/>
      <right style="none"/>
      <top style="none"/>
      <bottom style="medium">
        <color indexed="22"/>
      </bottom>
      <diagonal style="none"/>
    </border>
    <border>
      <left style="none"/>
      <right style="none"/>
      <top style="thin">
        <color indexed="22"/>
      </top>
      <bottom style="medium">
        <color indexed="22"/>
      </bottom>
      <diagonal style="none"/>
    </border>
    <border>
      <left style="thin">
        <color rgb="FFBCBCBC"/>
      </left>
      <right style="none"/>
      <top style="thin">
        <color rgb="FFBCBCBC"/>
      </top>
      <bottom style="thin">
        <color indexed="22"/>
      </bottom>
      <diagonal style="none"/>
    </border>
    <border>
      <left style="thin">
        <color rgb="FFBCBCBC"/>
      </left>
      <right style="none"/>
      <top style="medium">
        <color rgb="FFBCBCBC"/>
      </top>
      <bottom style="thin">
        <color indexed="22"/>
      </bottom>
      <diagonal style="none"/>
    </border>
    <border>
      <left style="none"/>
      <right style="none"/>
      <top style="medium">
        <color indexed="22"/>
      </top>
      <bottom style="thin">
        <color indexed="22"/>
      </bottom>
      <diagonal style="none"/>
    </border>
    <border>
      <left style="thin">
        <color indexed="22"/>
      </left>
      <right style="none"/>
      <top style="thin">
        <color indexed="22"/>
      </top>
      <bottom style="medium">
        <color indexed="22"/>
      </bottom>
      <diagonal style="none"/>
    </border>
    <border>
      <left style="none"/>
      <right style="none"/>
      <top style="thin">
        <color rgb="FFD3DBDB"/>
      </top>
      <bottom style="thin">
        <color rgb="FFD3DBDB"/>
      </bottom>
      <diagonal style="none"/>
    </border>
    <border>
      <left style="thin">
        <color rgb="FFD3DBDB"/>
      </left>
      <right style="none"/>
      <top style="thin">
        <color rgb="FFD3DBDB"/>
      </top>
      <bottom style="thin">
        <color rgb="FFD3DBDB"/>
      </bottom>
      <diagonal style="none"/>
    </border>
    <border>
      <left style="thin">
        <color rgb="FFD3DBDB"/>
      </left>
      <right style="thin">
        <color rgb="FFD3DBDB"/>
      </right>
      <top style="thin">
        <color rgb="FFD3DBDB"/>
      </top>
      <bottom style="thin">
        <color rgb="FFD3DBDB"/>
      </bottom>
      <diagonal style="none"/>
    </border>
    <border>
      <left style="thin">
        <color indexed="64"/>
      </left>
      <right style="thin">
        <color indexed="64"/>
      </right>
      <top style="thin">
        <color indexed="64"/>
      </top>
      <bottom style="thin">
        <color indexed="64"/>
      </bottom>
      <diagonal style="none"/>
    </border>
    <border>
      <left style="thin">
        <color theme="0" tint="-0.34999999999999998"/>
      </left>
      <right style="thin">
        <color theme="0" tint="-0.34999999999999998"/>
      </right>
      <top style="thin">
        <color theme="0" tint="-0.34999999999999998"/>
      </top>
      <bottom style="thin">
        <color theme="0" tint="-0.34999999999999998"/>
      </bottom>
      <diagonal style="none"/>
    </border>
    <border>
      <left style="thin">
        <color indexed="22"/>
      </left>
      <right style="thin">
        <color indexed="22"/>
      </right>
      <top style="thin">
        <color indexed="22"/>
      </top>
      <bottom style="thin">
        <color rgb="FFBCBCBC"/>
      </bottom>
      <diagonal style="none"/>
    </border>
    <border>
      <left style="none"/>
      <right style="none"/>
      <top style="dotted">
        <color indexed="64"/>
      </top>
      <bottom style="dotted">
        <color indexed="64"/>
      </bottom>
      <diagonal style="none"/>
    </border>
  </borders>
  <cellStyleXfs count="79">
    <xf fontId="0" fillId="0" borderId="0" numFmtId="49" applyNumberFormat="1" applyFont="1" applyFill="0" applyBorder="0">
      <alignment vertical="top"/>
    </xf>
    <xf fontId="1" fillId="2" borderId="0" numFmtId="0" applyNumberFormat="1" applyFont="1" applyFill="1" applyBorder="0">
      <alignment vertical="top"/>
    </xf>
    <xf fontId="1" fillId="3" borderId="0" numFmtId="0" applyNumberFormat="1" applyFont="1" applyFill="1" applyBorder="0">
      <alignment vertical="top"/>
    </xf>
    <xf fontId="1" fillId="4" borderId="0" numFmtId="0" applyNumberFormat="1" applyFont="1" applyFill="1" applyBorder="0">
      <alignment vertical="top"/>
    </xf>
    <xf fontId="1" fillId="5" borderId="0" numFmtId="0" applyNumberFormat="1" applyFont="1" applyFill="1" applyBorder="0">
      <alignment vertical="top"/>
    </xf>
    <xf fontId="1" fillId="6" borderId="0" numFmtId="0" applyNumberFormat="1" applyFont="1" applyFill="1" applyBorder="0">
      <alignment vertical="top"/>
    </xf>
    <xf fontId="1" fillId="7" borderId="0" numFmtId="0" applyNumberFormat="1" applyFont="1" applyFill="1" applyBorder="0">
      <alignment vertical="top"/>
    </xf>
    <xf fontId="1" fillId="8" borderId="0" numFmtId="0" applyNumberFormat="1" applyFont="1" applyFill="1" applyBorder="0">
      <alignment vertical="top"/>
    </xf>
    <xf fontId="1" fillId="9" borderId="0" numFmtId="0" applyNumberFormat="1" applyFont="1" applyFill="1" applyBorder="0">
      <alignment vertical="top"/>
    </xf>
    <xf fontId="1" fillId="10" borderId="0" numFmtId="0" applyNumberFormat="1" applyFont="1" applyFill="1" applyBorder="0">
      <alignment vertical="top"/>
    </xf>
    <xf fontId="1" fillId="11" borderId="0" numFmtId="0" applyNumberFormat="1" applyFont="1" applyFill="1" applyBorder="0">
      <alignment vertical="top"/>
    </xf>
    <xf fontId="1" fillId="12" borderId="0" numFmtId="0" applyNumberFormat="1" applyFont="1" applyFill="1" applyBorder="0">
      <alignment vertical="top"/>
    </xf>
    <xf fontId="1" fillId="13" borderId="0" numFmtId="0" applyNumberFormat="1" applyFont="1" applyFill="1" applyBorder="0">
      <alignment vertical="top"/>
    </xf>
    <xf fontId="1" fillId="14" borderId="0" numFmtId="0" applyNumberFormat="1" applyFont="1" applyFill="1" applyBorder="0">
      <alignment vertical="top"/>
    </xf>
    <xf fontId="1" fillId="15" borderId="0" numFmtId="0" applyNumberFormat="1" applyFont="1" applyFill="1" applyBorder="0">
      <alignment vertical="top"/>
    </xf>
    <xf fontId="1" fillId="16" borderId="0" numFmtId="0" applyNumberFormat="1" applyFont="1" applyFill="1" applyBorder="0">
      <alignment vertical="top"/>
    </xf>
    <xf fontId="1" fillId="17" borderId="0" numFmtId="0" applyNumberFormat="1" applyFont="1" applyFill="1" applyBorder="0">
      <alignment vertical="top"/>
    </xf>
    <xf fontId="1" fillId="18" borderId="0" numFmtId="0" applyNumberFormat="1" applyFont="1" applyFill="1" applyBorder="0">
      <alignment vertical="top"/>
    </xf>
    <xf fontId="1" fillId="19" borderId="0" numFmtId="0" applyNumberFormat="1" applyFont="1" applyFill="1" applyBorder="0">
      <alignment vertical="top"/>
    </xf>
    <xf fontId="2" fillId="20" borderId="0" numFmtId="0" applyNumberFormat="1" applyFont="1" applyFill="1" applyBorder="0">
      <alignment vertical="top"/>
    </xf>
    <xf fontId="2" fillId="21" borderId="0" numFmtId="0" applyNumberFormat="1" applyFont="1" applyFill="1" applyBorder="0">
      <alignment vertical="top"/>
    </xf>
    <xf fontId="2" fillId="22" borderId="0" numFmtId="0" applyNumberFormat="1" applyFont="1" applyFill="1" applyBorder="0">
      <alignment vertical="top"/>
    </xf>
    <xf fontId="2" fillId="23" borderId="0" numFmtId="0" applyNumberFormat="1" applyFont="1" applyFill="1" applyBorder="0">
      <alignment vertical="top"/>
    </xf>
    <xf fontId="2" fillId="24" borderId="0" numFmtId="0" applyNumberFormat="1" applyFont="1" applyFill="1" applyBorder="0">
      <alignment vertical="top"/>
    </xf>
    <xf fontId="2" fillId="25" borderId="0" numFmtId="0" applyNumberFormat="1" applyFont="1" applyFill="1" applyBorder="0">
      <alignment vertical="top"/>
    </xf>
    <xf fontId="3" fillId="26" borderId="0" numFmtId="0" applyNumberFormat="1" applyFont="1" applyFill="1" applyBorder="0">
      <alignment vertical="top"/>
    </xf>
    <xf fontId="4" fillId="27" borderId="1" numFmtId="0" applyNumberFormat="1" applyFont="1" applyFill="1" applyBorder="1">
      <alignment vertical="top"/>
    </xf>
    <xf fontId="5" fillId="28" borderId="2" numFmtId="0" applyNumberFormat="1" applyFont="1" applyFill="1" applyBorder="1">
      <alignment vertical="top"/>
    </xf>
    <xf fontId="6" fillId="0" borderId="0" numFmtId="160" applyNumberFormat="1" applyFont="0" applyFill="0" applyBorder="0">
      <alignment vertical="top"/>
    </xf>
    <xf fontId="6" fillId="0" borderId="0" numFmtId="161" applyNumberFormat="1" applyFont="0" applyFill="0" applyBorder="0">
      <alignment vertical="top"/>
    </xf>
    <xf fontId="6" fillId="0" borderId="0" numFmtId="162" applyNumberFormat="1" applyFont="0" applyFill="0" applyBorder="0">
      <alignment vertical="top"/>
    </xf>
    <xf fontId="6" fillId="0" borderId="0" numFmtId="163" applyNumberFormat="1" applyFont="0" applyFill="0" applyBorder="0">
      <alignment vertical="top"/>
    </xf>
    <xf fontId="7" fillId="0" borderId="0" numFmtId="0" applyNumberFormat="1" applyFont="1" applyFill="0" applyBorder="0">
      <alignment vertical="top"/>
    </xf>
    <xf fontId="8" fillId="29" borderId="0" numFmtId="0" applyNumberFormat="1" applyFont="1" applyFill="1" applyBorder="0">
      <alignment vertical="top"/>
    </xf>
    <xf fontId="9" fillId="0" borderId="3" numFmtId="0" applyNumberFormat="1" applyFont="1" applyFill="0" applyBorder="1">
      <alignment vertical="top"/>
    </xf>
    <xf fontId="10" fillId="0" borderId="4" numFmtId="0" applyNumberFormat="1" applyFont="1" applyFill="0" applyBorder="1">
      <alignment vertical="top"/>
    </xf>
    <xf fontId="11" fillId="0" borderId="5" numFmtId="0" applyNumberFormat="1" applyFont="1" applyFill="0" applyBorder="1">
      <alignment vertical="top"/>
    </xf>
    <xf fontId="11" fillId="0" borderId="0" numFmtId="0" applyNumberFormat="1" applyFont="1" applyFill="0" applyBorder="0">
      <alignment vertical="top"/>
    </xf>
    <xf fontId="12" fillId="30" borderId="1" numFmtId="0" applyNumberFormat="1" applyFont="1" applyFill="1" applyBorder="1">
      <alignment vertical="top"/>
    </xf>
    <xf fontId="13" fillId="0" borderId="6" numFmtId="0" applyNumberFormat="1" applyFont="1" applyFill="0" applyBorder="1">
      <alignment vertical="top"/>
    </xf>
    <xf fontId="14" fillId="31" borderId="0" numFmtId="0" applyNumberFormat="1" applyFont="1" applyFill="1" applyBorder="0">
      <alignment vertical="top"/>
    </xf>
    <xf fontId="15" fillId="0" borderId="0" numFmtId="0" applyNumberFormat="1" applyFont="1" applyFill="0" applyBorder="0">
      <alignment vertical="top"/>
    </xf>
    <xf fontId="6" fillId="32" borderId="7" numFmtId="0" applyNumberFormat="1" applyFont="0" applyFill="1" applyBorder="1">
      <alignment vertical="top"/>
    </xf>
    <xf fontId="16" fillId="27" borderId="8" numFmtId="0" applyNumberFormat="1" applyFont="1" applyFill="1" applyBorder="1">
      <alignment vertical="top"/>
    </xf>
    <xf fontId="6" fillId="0" borderId="0" numFmtId="9" applyNumberFormat="1" applyFont="0" applyFill="0" applyBorder="0">
      <alignment vertical="top"/>
    </xf>
    <xf fontId="17" fillId="0" borderId="0" numFmtId="0" applyNumberFormat="1" applyFont="1" applyFill="0" applyBorder="0">
      <alignment vertical="top"/>
    </xf>
    <xf fontId="18" fillId="0" borderId="9" numFmtId="0" applyNumberFormat="1" applyFont="1" applyFill="0" applyBorder="1">
      <alignment vertical="top"/>
    </xf>
    <xf fontId="19" fillId="0" borderId="0" numFmtId="0" applyNumberFormat="1" applyFont="1" applyFill="0" applyBorder="0">
      <alignment vertical="top"/>
    </xf>
    <xf fontId="20" fillId="0" borderId="0" numFmtId="0" applyNumberFormat="1" applyFont="1" applyFill="0" applyBorder="0"/>
    <xf fontId="20" fillId="0" borderId="0" numFmtId="164" applyNumberFormat="1" applyFont="1" applyFill="0" applyBorder="0"/>
    <xf fontId="20" fillId="0" borderId="0" numFmtId="0" applyNumberFormat="1" applyFont="1" applyFill="0" applyBorder="0"/>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1" fillId="0" borderId="0" numFmtId="38" applyNumberFormat="1" applyFont="1" applyFill="0" applyBorder="0">
      <alignment vertical="top"/>
    </xf>
    <xf fontId="22" fillId="33" borderId="0" numFmtId="165" applyNumberFormat="1" applyFont="1" applyFill="1" applyBorder="0">
      <protection locked="0"/>
    </xf>
    <xf fontId="23" fillId="0" borderId="0" numFmtId="0" applyNumberFormat="1" applyFont="1" applyFill="0" applyBorder="0">
      <alignment vertical="center"/>
    </xf>
    <xf fontId="22" fillId="33" borderId="0" numFmtId="166" applyNumberFormat="1" applyFont="1" applyFill="1" applyBorder="0">
      <protection locked="0"/>
    </xf>
    <xf fontId="22" fillId="33" borderId="0" numFmtId="167" applyNumberFormat="1" applyFont="1" applyFill="1" applyBorder="0">
      <protection locked="0"/>
    </xf>
    <xf fontId="24" fillId="0" borderId="0" numFmtId="0" applyNumberFormat="1" applyFont="1" applyFill="0" applyBorder="0">
      <alignment vertical="top"/>
    </xf>
    <xf fontId="25" fillId="0" borderId="0" numFmtId="0" applyNumberFormat="1" applyFont="1" applyFill="0" applyBorder="0">
      <alignment vertical="top"/>
    </xf>
    <xf fontId="26" fillId="0" borderId="0" numFmtId="0" applyNumberFormat="1" applyFont="1" applyFill="0" applyBorder="0"/>
    <xf fontId="23" fillId="0" borderId="0" numFmtId="0" applyNumberFormat="1" applyFont="1" applyFill="0" applyBorder="0">
      <alignment vertical="center"/>
    </xf>
    <xf fontId="23" fillId="0" borderId="0" numFmtId="0" applyNumberFormat="1" applyFont="1" applyFill="0" applyBorder="0">
      <alignment vertical="center"/>
    </xf>
    <xf fontId="27" fillId="0" borderId="0" numFmtId="0" applyNumberFormat="1" applyFont="1" applyFill="0" applyBorder="0">
      <alignment vertical="top"/>
    </xf>
    <xf fontId="22" fillId="0" borderId="0" numFmtId="49" applyNumberFormat="1" applyFont="1" applyFill="0" applyBorder="0">
      <alignment vertical="top"/>
    </xf>
    <xf fontId="28" fillId="0" borderId="0" numFmtId="0" applyNumberFormat="1" applyFont="1" applyFill="0" applyBorder="0"/>
    <xf fontId="0" fillId="0" borderId="0" numFmtId="49" applyNumberFormat="1" applyFont="1" applyFill="0" applyBorder="0">
      <alignment vertical="top"/>
    </xf>
    <xf fontId="29" fillId="0" borderId="0" numFmtId="0" applyNumberFormat="1" applyFont="1" applyFill="0" applyBorder="0"/>
    <xf fontId="29" fillId="0" borderId="0" numFmtId="0" applyNumberFormat="1" applyFont="1" applyFill="0" applyBorder="0"/>
    <xf fontId="30" fillId="0" borderId="0" numFmtId="0" applyNumberFormat="1" applyFont="1" applyFill="0" applyBorder="0">
      <alignment vertical="top"/>
    </xf>
  </cellStyleXfs>
  <cellXfs count="1412">
    <xf fontId="0" fillId="0" borderId="0" numFmtId="49" xfId="0" applyNumberFormat="1" applyAlignment="1">
      <alignment vertical="top"/>
    </xf>
    <xf fontId="29" fillId="0" borderId="0" numFmtId="0" xfId="0" applyFont="1"/>
    <xf fontId="31" fillId="0" borderId="0" numFmtId="0" xfId="0" applyFont="1" applyAlignment="1">
      <alignment wrapText="1"/>
    </xf>
    <xf fontId="32" fillId="0" borderId="0" numFmtId="49" xfId="0" applyNumberFormat="1" applyFont="1" applyAlignment="1">
      <alignment wrapText="1"/>
    </xf>
    <xf fontId="32" fillId="0" borderId="0" numFmtId="49" xfId="0" applyNumberFormat="1" applyFont="1" applyAlignment="1">
      <alignment vertical="center" wrapText="1"/>
    </xf>
    <xf fontId="33" fillId="0" borderId="0" numFmtId="49" xfId="0" applyNumberFormat="1" applyFont="1" applyAlignment="1">
      <alignment wrapText="1"/>
    </xf>
    <xf fontId="34" fillId="0" borderId="0" numFmtId="0" xfId="0" applyFont="1" applyAlignment="1">
      <alignment vertical="center" wrapText="1"/>
    </xf>
    <xf fontId="34" fillId="0" borderId="0" numFmtId="0" xfId="0" applyFont="1" applyAlignment="1">
      <alignment horizontal="left" vertical="center" wrapText="1"/>
    </xf>
    <xf fontId="35" fillId="0" borderId="0" numFmtId="49" xfId="0" applyNumberFormat="1" applyFont="1" applyAlignment="1">
      <alignment wrapText="1"/>
    </xf>
    <xf fontId="34" fillId="0" borderId="0" numFmtId="0" xfId="0" applyFont="1" applyAlignment="1">
      <alignment vertical="center"/>
    </xf>
    <xf fontId="36" fillId="0" borderId="0" numFmtId="0" xfId="0" applyFont="1" applyAlignment="1">
      <alignment horizontal="left" vertical="top" wrapText="1"/>
    </xf>
    <xf fontId="22" fillId="0" borderId="0" numFmtId="49" xfId="0" applyNumberFormat="1" applyFont="1" applyAlignment="1">
      <alignment vertical="top" wrapText="1"/>
    </xf>
    <xf fontId="36" fillId="34" borderId="10" numFmtId="0" xfId="0" applyFont="1" applyFill="1" applyBorder="1" applyAlignment="1">
      <alignment horizontal="center" vertical="center" wrapText="1"/>
    </xf>
    <xf fontId="36" fillId="34" borderId="11" numFmtId="0" xfId="0" applyFont="1" applyFill="1" applyBorder="1" applyAlignment="1">
      <alignment horizontal="center" vertical="center" wrapText="1"/>
    </xf>
    <xf fontId="36" fillId="34" borderId="12" numFmtId="0" xfId="0" applyFont="1" applyFill="1" applyBorder="1" applyAlignment="1">
      <alignment horizontal="center" vertical="center" wrapText="1"/>
    </xf>
    <xf fontId="32" fillId="0" borderId="0" numFmtId="0" xfId="0" applyFont="1" applyAlignment="1">
      <alignment wrapText="1"/>
    </xf>
    <xf fontId="36" fillId="35" borderId="13" numFmtId="0" xfId="0" applyFont="1" applyFill="1" applyBorder="1" applyAlignment="1">
      <alignment horizontal="right" indent="1" vertical="center" wrapText="1"/>
    </xf>
    <xf fontId="36" fillId="35" borderId="14" numFmtId="0" xfId="0" applyFont="1" applyFill="1" applyBorder="1" applyAlignment="1">
      <alignment horizontal="right" indent="1" vertical="center" wrapText="1"/>
    </xf>
    <xf fontId="37" fillId="0" borderId="0" numFmtId="0" xfId="0" applyFont="1" applyAlignment="1">
      <alignment horizontal="left" vertical="center" wrapText="1"/>
    </xf>
    <xf fontId="38" fillId="0" borderId="0" numFmtId="0" xfId="0" applyFont="1" applyAlignment="1">
      <alignment vertical="center" wrapText="1"/>
    </xf>
    <xf fontId="32" fillId="0" borderId="13" numFmtId="0" xfId="0" applyFont="1" applyBorder="1" applyAlignment="1">
      <alignment wrapText="1"/>
    </xf>
    <xf fontId="32" fillId="0" borderId="0" numFmtId="0" xfId="0" applyFont="1"/>
    <xf fontId="37" fillId="0" borderId="0" numFmtId="0" xfId="0" applyFont="1"/>
    <xf fontId="39" fillId="0" borderId="0" numFmtId="0" xfId="0" applyFont="1" applyAlignment="1">
      <alignment wrapText="1"/>
    </xf>
    <xf fontId="0" fillId="36" borderId="15" numFmtId="0" xfId="0" applyFill="1" applyBorder="1" applyAlignment="1">
      <alignment horizontal="center" vertical="center" wrapText="1"/>
    </xf>
    <xf fontId="39" fillId="0" borderId="13" numFmtId="0" xfId="0" applyFont="1" applyBorder="1" applyAlignment="1">
      <alignment vertical="center" wrapText="1"/>
    </xf>
    <xf fontId="39" fillId="0" borderId="0" numFmtId="0" xfId="0" applyFont="1" applyAlignment="1">
      <alignment vertical="center" wrapText="1"/>
    </xf>
    <xf fontId="0" fillId="37" borderId="15" numFmtId="0" xfId="0" applyFill="1" applyBorder="1" applyAlignment="1">
      <alignment horizontal="center" vertical="center" wrapText="1"/>
    </xf>
    <xf fontId="39" fillId="0" borderId="13" numFmtId="0" xfId="0" applyFont="1" applyBorder="1" applyAlignment="1">
      <alignment horizontal="left" vertical="center" wrapText="1"/>
    </xf>
    <xf fontId="39" fillId="0" borderId="0" numFmtId="0" xfId="0" applyFont="1" applyAlignment="1">
      <alignment horizontal="left" vertical="center" wrapText="1"/>
    </xf>
    <xf fontId="0" fillId="38" borderId="15" numFmtId="0" xfId="0" applyFill="1" applyBorder="1" applyAlignment="1">
      <alignment horizontal="center" vertical="center" wrapText="1"/>
    </xf>
    <xf fontId="0" fillId="39" borderId="15" numFmtId="0" xfId="0" applyFill="1" applyBorder="1" applyAlignment="1">
      <alignment horizontal="center" vertical="center" wrapText="1"/>
    </xf>
    <xf fontId="36" fillId="35" borderId="0" numFmtId="0" xfId="0" applyFont="1" applyFill="1" applyAlignment="1">
      <alignment horizontal="right" indent="1" vertical="center" wrapText="1"/>
    </xf>
    <xf fontId="37" fillId="0" borderId="13" numFmtId="0" xfId="0" applyFont="1" applyBorder="1" applyAlignment="1">
      <alignment horizontal="left" vertical="center" wrapText="1"/>
    </xf>
    <xf fontId="37" fillId="0" borderId="16" numFmtId="0" xfId="0" applyFont="1" applyBorder="1" applyAlignment="1">
      <alignment horizontal="left" vertical="center" wrapText="1"/>
    </xf>
    <xf fontId="36" fillId="35" borderId="15" numFmtId="0" xfId="0" applyFont="1" applyFill="1" applyBorder="1" applyAlignment="1">
      <alignment horizontal="right" indent="1" vertical="center" wrapText="1"/>
    </xf>
    <xf fontId="36" fillId="35" borderId="17" numFmtId="0" xfId="0" applyFont="1" applyFill="1" applyBorder="1" applyAlignment="1">
      <alignment horizontal="right" indent="1" vertical="center" wrapText="1"/>
    </xf>
    <xf fontId="39" fillId="0" borderId="0" numFmtId="0" xfId="0" applyFont="1"/>
    <xf fontId="39" fillId="0" borderId="13" numFmtId="0" xfId="0" applyFont="1" applyBorder="1" applyAlignment="1">
      <alignment wrapText="1"/>
    </xf>
    <xf fontId="39" fillId="0" borderId="0" numFmtId="0" xfId="0" applyFont="1" applyAlignment="1">
      <alignment vertical="top" wrapText="1"/>
    </xf>
    <xf fontId="36" fillId="35" borderId="18" numFmtId="0" xfId="0" applyFont="1" applyFill="1" applyBorder="1" applyAlignment="1">
      <alignment horizontal="right" indent="1" vertical="center" wrapText="1"/>
    </xf>
    <xf fontId="36" fillId="35" borderId="19" numFmtId="0" xfId="0" applyFont="1" applyFill="1" applyBorder="1" applyAlignment="1">
      <alignment horizontal="right" indent="1" vertical="center" wrapText="1"/>
    </xf>
    <xf fontId="32" fillId="0" borderId="18" numFmtId="0" xfId="0" applyFont="1" applyBorder="1" applyAlignment="1">
      <alignment wrapText="1"/>
    </xf>
    <xf fontId="32" fillId="0" borderId="19" numFmtId="0" xfId="0" applyFont="1" applyBorder="1" applyAlignment="1">
      <alignment wrapText="1"/>
    </xf>
    <xf fontId="32" fillId="0" borderId="19" numFmtId="0" xfId="0" applyFont="1" applyBorder="1" applyAlignment="1">
      <alignment vertical="center" wrapText="1"/>
    </xf>
    <xf fontId="33" fillId="0" borderId="0" numFmtId="0" xfId="0" applyFont="1"/>
    <xf fontId="32" fillId="0" borderId="0" numFmtId="49" xfId="0" applyNumberFormat="1" applyFont="1" applyAlignment="1">
      <alignment vertical="top" wrapText="1"/>
    </xf>
    <xf fontId="40" fillId="0" borderId="0" numFmtId="0" xfId="0" applyFont="1" applyAlignment="1">
      <alignment horizontal="left" vertical="center" wrapText="1"/>
    </xf>
    <xf fontId="41" fillId="0" borderId="0" numFmtId="0" xfId="0" applyFont="1" applyAlignment="1">
      <alignment horizontal="left" vertical="center" wrapText="1"/>
    </xf>
    <xf fontId="42" fillId="0" borderId="0" numFmtId="0" xfId="0" applyFont="1" applyAlignment="1">
      <alignment vertical="center" wrapText="1"/>
    </xf>
    <xf fontId="22" fillId="0" borderId="0" numFmtId="0" xfId="0" applyFont="1" applyAlignment="1">
      <alignment vertical="center" wrapText="1"/>
    </xf>
    <xf fontId="22" fillId="0" borderId="0" numFmtId="0" xfId="0" applyFont="1" applyAlignment="1">
      <alignment horizontal="center" vertical="center" wrapText="1"/>
    </xf>
    <xf fontId="41" fillId="0" borderId="0" numFmtId="0" xfId="0" applyFont="1" applyAlignment="1">
      <alignment horizontal="center" vertical="center" wrapText="1"/>
    </xf>
    <xf fontId="43" fillId="0" borderId="0" numFmtId="0" xfId="0" applyFont="1" applyAlignment="1">
      <alignment vertical="center" wrapText="1"/>
    </xf>
    <xf fontId="44" fillId="0" borderId="0" numFmtId="0" xfId="0" applyFont="1" applyAlignment="1">
      <alignment vertical="center" wrapText="1"/>
    </xf>
    <xf fontId="44" fillId="0" borderId="0" numFmtId="0" xfId="0" applyFont="1" applyAlignment="1">
      <alignment horizontal="left" vertical="center" wrapText="1"/>
    </xf>
    <xf fontId="41" fillId="0" borderId="0" numFmtId="0" xfId="0" applyFont="1" applyAlignment="1">
      <alignment vertical="center" wrapText="1"/>
    </xf>
    <xf fontId="45" fillId="0" borderId="0" numFmtId="0" xfId="0" applyFont="1" applyAlignment="1">
      <alignment vertical="center" wrapText="1"/>
    </xf>
    <xf fontId="22" fillId="0" borderId="0" numFmtId="0" xfId="0" applyFont="1" applyAlignment="1">
      <alignment horizontal="left" indent="1" vertical="top"/>
    </xf>
    <xf fontId="32" fillId="0" borderId="0" numFmtId="49" xfId="0" applyNumberFormat="1" applyFont="1" applyAlignment="1">
      <alignment vertical="top"/>
    </xf>
    <xf fontId="22" fillId="0" borderId="0" numFmtId="49" xfId="0" applyNumberFormat="1" applyFont="1" applyAlignment="1">
      <alignment vertical="center" wrapText="1"/>
    </xf>
    <xf fontId="43" fillId="0" borderId="0" numFmtId="49" xfId="0" applyNumberFormat="1" applyFont="1" applyAlignment="1">
      <alignment vertical="center" wrapText="1"/>
    </xf>
    <xf fontId="0" fillId="0" borderId="0" numFmtId="0" xfId="0" applyAlignment="1">
      <alignment horizontal="left" indent="1" vertical="center"/>
    </xf>
    <xf fontId="0" fillId="0" borderId="0" numFmtId="49" xfId="0" applyNumberFormat="1" applyAlignment="1">
      <alignment vertical="top"/>
    </xf>
    <xf fontId="43" fillId="0" borderId="0" numFmtId="49" xfId="0" applyNumberFormat="1" applyFont="1" applyAlignment="1">
      <alignment vertical="top"/>
    </xf>
    <xf fontId="46" fillId="0" borderId="0" numFmtId="0" xfId="0" applyFont="1" applyAlignment="1">
      <alignment vertical="center" wrapText="1"/>
    </xf>
    <xf fontId="47" fillId="0" borderId="0" numFmtId="0" xfId="0" applyFont="1" applyAlignment="1">
      <alignment horizontal="left" vertical="center" wrapText="1"/>
    </xf>
    <xf fontId="48" fillId="0" borderId="0" numFmtId="0" xfId="0" applyFont="1" applyAlignment="1">
      <alignment vertical="center" wrapText="1"/>
    </xf>
    <xf fontId="46" fillId="40" borderId="0" numFmtId="0" xfId="0" applyFont="1" applyFill="1" applyAlignment="1">
      <alignment vertical="center" wrapText="1"/>
    </xf>
    <xf fontId="46" fillId="0" borderId="0" numFmtId="0" xfId="0" applyFont="1" applyAlignment="1">
      <alignment horizontal="right" vertical="center"/>
    </xf>
    <xf fontId="49" fillId="0" borderId="0" numFmtId="0" xfId="0" applyFont="1" applyAlignment="1">
      <alignment vertical="center" wrapText="1"/>
    </xf>
    <xf fontId="50" fillId="40" borderId="0" numFmtId="0" xfId="0" applyFont="1" applyFill="1" applyAlignment="1">
      <alignment vertical="center" wrapText="1"/>
    </xf>
    <xf fontId="22" fillId="0" borderId="20" numFmtId="0" xfId="0" applyFont="1" applyBorder="1" applyAlignment="1">
      <alignment horizontal="center" vertical="center" wrapText="1"/>
    </xf>
    <xf fontId="22" fillId="0" borderId="21" numFmtId="0" xfId="0" applyFont="1" applyBorder="1" applyAlignment="1">
      <alignment horizontal="center" vertical="center" wrapText="1"/>
    </xf>
    <xf fontId="51" fillId="40" borderId="0" numFmtId="0" xfId="0" applyFont="1" applyFill="1" applyAlignment="1">
      <alignment vertical="center" wrapText="1"/>
    </xf>
    <xf fontId="52" fillId="0" borderId="0" numFmtId="0" xfId="0" applyFont="1" applyAlignment="1">
      <alignment vertical="center" wrapText="1"/>
    </xf>
    <xf fontId="46" fillId="40" borderId="0" numFmtId="0" xfId="0" applyFont="1" applyFill="1" applyAlignment="1">
      <alignment horizontal="right" indent="1" vertical="center" wrapText="1"/>
    </xf>
    <xf fontId="53" fillId="40" borderId="0" numFmtId="0" xfId="0" applyFont="1" applyFill="1" applyAlignment="1">
      <alignment horizontal="center" vertical="center" wrapText="1"/>
    </xf>
    <xf fontId="22" fillId="40" borderId="22" numFmtId="0" xfId="0" applyFont="1" applyFill="1" applyBorder="1" applyAlignment="1">
      <alignment horizontal="right" indent="1" vertical="center" wrapText="1"/>
    </xf>
    <xf fontId="0" fillId="38" borderId="23" numFmtId="0" xfId="0" applyFill="1" applyBorder="1" applyAlignment="1">
      <alignment horizontal="left" indent="1" vertical="center" wrapText="1"/>
    </xf>
    <xf fontId="40" fillId="40" borderId="0" numFmtId="14" xfId="0" applyNumberFormat="1" applyFont="1" applyFill="1" applyAlignment="1">
      <alignment horizontal="left" vertical="center" wrapText="1"/>
    </xf>
    <xf fontId="47" fillId="40" borderId="0" numFmtId="0" xfId="0" applyFont="1" applyFill="1" applyAlignment="1">
      <alignment horizontal="center" vertical="center" wrapText="1"/>
    </xf>
    <xf fontId="46" fillId="40" borderId="0" numFmtId="0" xfId="0" applyFont="1" applyFill="1" applyAlignment="1">
      <alignment horizontal="left" indent="1" vertical="center" wrapText="1"/>
    </xf>
    <xf fontId="22" fillId="40" borderId="0" numFmtId="0" xfId="0" applyFont="1" applyFill="1" applyAlignment="1">
      <alignment horizontal="center" vertical="center" wrapText="1"/>
    </xf>
    <xf fontId="49" fillId="0" borderId="0" numFmtId="0" xfId="0" applyFont="1" applyAlignment="1">
      <alignment horizontal="center" vertical="center" wrapText="1"/>
    </xf>
    <xf fontId="22" fillId="39" borderId="23" numFmtId="0" xfId="0" applyFont="1" applyFill="1" applyBorder="1" applyAlignment="1">
      <alignment horizontal="left" indent="1" vertical="top" wrapText="1"/>
      <protection locked="0"/>
    </xf>
    <xf fontId="22" fillId="0" borderId="0" numFmtId="0" xfId="0" applyFont="1" applyAlignment="1">
      <alignment horizontal="left" vertical="center" wrapText="1"/>
    </xf>
    <xf fontId="22" fillId="41" borderId="23" numFmtId="49" xfId="0" applyNumberFormat="1" applyFont="1" applyFill="1" applyBorder="1" applyAlignment="1">
      <alignment horizontal="left" indent="1" vertical="center" wrapText="1"/>
    </xf>
    <xf fontId="54" fillId="0" borderId="23" numFmtId="14" xfId="0" applyNumberFormat="1" applyFont="1" applyBorder="1" applyAlignment="1">
      <alignment horizontal="center" vertical="center" wrapText="1"/>
    </xf>
    <xf fontId="0" fillId="39" borderId="23" numFmtId="168" xfId="0" applyNumberFormat="1" applyFill="1" applyBorder="1" applyAlignment="1">
      <alignment horizontal="left" indent="1" vertical="center" wrapText="1"/>
      <protection locked="0"/>
    </xf>
    <xf fontId="55" fillId="0" borderId="0" numFmtId="0" xfId="0" applyFont="1" applyAlignment="1">
      <alignment horizontal="left" indent="1" vertical="center"/>
    </xf>
    <xf fontId="22" fillId="40" borderId="0" numFmtId="0" xfId="0" applyFont="1" applyFill="1" applyAlignment="1">
      <alignment vertical="center" wrapText="1"/>
    </xf>
    <xf fontId="54" fillId="0" borderId="23" numFmtId="14" xfId="0" applyNumberFormat="1" applyFont="1" applyBorder="1" applyAlignment="1">
      <alignment horizontal="left" vertical="center" wrapText="1"/>
    </xf>
    <xf fontId="22" fillId="40" borderId="22" numFmtId="49" xfId="0" applyNumberFormat="1" applyFont="1" applyFill="1" applyBorder="1" applyAlignment="1">
      <alignment horizontal="right" indent="1" vertical="center" wrapText="1"/>
    </xf>
    <xf fontId="0" fillId="39" borderId="23" numFmtId="0" xfId="0" applyFill="1" applyBorder="1" applyAlignment="1">
      <alignment horizontal="left" indent="1" vertical="center" wrapText="1"/>
      <protection locked="0"/>
    </xf>
    <xf fontId="22" fillId="39" borderId="23" numFmtId="49" xfId="0" applyNumberFormat="1" applyFont="1" applyFill="1" applyBorder="1" applyAlignment="1">
      <alignment horizontal="left" indent="1" vertical="center" wrapText="1"/>
      <protection locked="0"/>
    </xf>
    <xf fontId="0" fillId="0" borderId="23" numFmtId="168" xfId="0" applyNumberFormat="1" applyBorder="1" applyAlignment="1">
      <alignment horizontal="left" indent="1" vertical="center" wrapText="1"/>
    </xf>
    <xf fontId="0" fillId="40" borderId="0" numFmtId="0" xfId="0" applyFill="1" applyAlignment="1">
      <alignment horizontal="right" indent="1" vertical="center" wrapText="1"/>
    </xf>
    <xf fontId="52" fillId="0" borderId="0" numFmtId="0" xfId="0" applyFont="1" applyAlignment="1">
      <alignment horizontal="left" vertical="center" wrapText="1"/>
    </xf>
    <xf fontId="22" fillId="40" borderId="0" numFmtId="0" xfId="0" applyFont="1" applyFill="1" applyAlignment="1">
      <alignment horizontal="right" indent="1" vertical="center" wrapText="1"/>
    </xf>
    <xf fontId="0" fillId="40" borderId="0" numFmtId="0" xfId="0" applyFill="1" applyAlignment="1">
      <alignment horizontal="left" indent="1" vertical="center" wrapText="1"/>
    </xf>
    <xf fontId="22" fillId="0" borderId="23" numFmtId="49" xfId="0" applyNumberFormat="1" applyFont="1" applyBorder="1" applyAlignment="1">
      <alignment horizontal="left" indent="1" vertical="center" wrapText="1"/>
    </xf>
    <xf fontId="42" fillId="0" borderId="0" numFmtId="0" xfId="0" applyFont="1" applyAlignment="1">
      <alignment horizontal="center" vertical="center" wrapText="1"/>
    </xf>
    <xf fontId="56" fillId="40" borderId="0" numFmtId="0" xfId="0" applyFont="1" applyFill="1" applyAlignment="1">
      <alignment horizontal="center" vertical="center" wrapText="1"/>
    </xf>
    <xf fontId="22" fillId="38" borderId="23" numFmtId="49" xfId="0" applyNumberFormat="1" applyFont="1" applyFill="1" applyBorder="1" applyAlignment="1">
      <alignment horizontal="left" indent="1" vertical="center" wrapText="1"/>
    </xf>
    <xf fontId="22" fillId="40" borderId="0" numFmtId="14" xfId="0" applyNumberFormat="1" applyFont="1" applyFill="1" applyAlignment="1">
      <alignment horizontal="center" vertical="center" wrapText="1"/>
    </xf>
    <xf fontId="0" fillId="40" borderId="22" numFmtId="0" xfId="0" applyFill="1" applyBorder="1" applyAlignment="1">
      <alignment horizontal="right" indent="1" vertical="center" wrapText="1"/>
    </xf>
    <xf fontId="22" fillId="0" borderId="0" numFmtId="0" xfId="0" applyFont="1" applyAlignment="1">
      <alignment vertical="center"/>
    </xf>
    <xf fontId="22" fillId="40" borderId="0" numFmtId="14" xfId="0" applyNumberFormat="1" applyFont="1" applyFill="1" applyAlignment="1">
      <alignment horizontal="left" vertical="center" wrapText="1"/>
    </xf>
    <xf fontId="22" fillId="39" borderId="23" numFmtId="0" xfId="0" applyFont="1" applyFill="1" applyBorder="1" applyAlignment="1">
      <alignment horizontal="left" indent="1" vertical="center" wrapText="1"/>
      <protection locked="0"/>
    </xf>
    <xf fontId="57" fillId="40" borderId="0" numFmtId="0" xfId="0" applyFont="1" applyFill="1" applyAlignment="1">
      <alignment horizontal="right" indent="1" vertical="center" wrapText="1"/>
    </xf>
    <xf fontId="57" fillId="40" borderId="0" numFmtId="0" xfId="0" applyFont="1" applyFill="1" applyAlignment="1">
      <alignment horizontal="left" indent="1" vertical="center" wrapText="1"/>
    </xf>
    <xf fontId="58" fillId="0" borderId="23" numFmtId="49" xfId="0" applyNumberFormat="1" applyFont="1" applyBorder="1" applyAlignment="1">
      <alignment horizontal="left" indent="1" vertical="center" wrapText="1"/>
    </xf>
    <xf fontId="59" fillId="0" borderId="0" numFmtId="14" xfId="0" applyNumberFormat="1" applyFont="1" applyAlignment="1">
      <alignment horizontal="center" vertical="center" wrapText="1"/>
    </xf>
    <xf fontId="43" fillId="0" borderId="0" numFmtId="0" xfId="0" applyFont="1" applyAlignment="1">
      <alignment horizontal="center" vertical="center" wrapText="1"/>
    </xf>
    <xf fontId="60" fillId="0" borderId="0" numFmtId="0" xfId="0" applyFont="1" applyAlignment="1">
      <alignment vertical="center" wrapText="1"/>
    </xf>
    <xf fontId="22" fillId="41" borderId="23" numFmtId="0" xfId="0" applyFont="1" applyFill="1" applyBorder="1" applyAlignment="1">
      <alignment horizontal="left" indent="1" vertical="center" wrapText="1"/>
    </xf>
    <xf fontId="0" fillId="0" borderId="24" numFmtId="168" xfId="0" applyNumberFormat="1" applyBorder="1" applyAlignment="1">
      <alignment horizontal="left" indent="1" vertical="center" wrapText="1"/>
    </xf>
    <xf fontId="41" fillId="0" borderId="0" numFmtId="49" xfId="0" applyNumberFormat="1" applyFont="1" applyAlignment="1">
      <alignment horizontal="left" vertical="center" wrapText="1"/>
    </xf>
    <xf fontId="50" fillId="40" borderId="0" numFmtId="49" xfId="0" applyNumberFormat="1" applyFont="1" applyFill="1" applyAlignment="1">
      <alignment horizontal="center" vertical="center" wrapText="1"/>
    </xf>
    <xf fontId="22" fillId="0" borderId="0" numFmtId="0" xfId="0" applyFont="1" applyAlignment="1">
      <alignment horizontal="left" indent="4" vertical="center" wrapText="1"/>
    </xf>
    <xf fontId="22" fillId="0" borderId="0" numFmtId="0" xfId="0" applyFont="1" applyAlignment="1">
      <alignment horizontal="left" indent="1" vertical="center" wrapText="1"/>
    </xf>
    <xf fontId="27" fillId="39" borderId="23" numFmtId="49" xfId="0" applyNumberFormat="1" applyFont="1" applyFill="1" applyBorder="1" applyAlignment="1">
      <alignment horizontal="left" indent="1" vertical="center" wrapText="1"/>
      <protection locked="0"/>
    </xf>
    <xf fontId="0" fillId="0" borderId="0" numFmtId="0" xfId="0" applyAlignment="1">
      <alignment horizontal="center" vertical="center" wrapText="1"/>
    </xf>
    <xf fontId="22" fillId="40" borderId="0" numFmtId="49" xfId="0" applyNumberFormat="1" applyFont="1" applyFill="1" applyAlignment="1">
      <alignment horizontal="right" indent="1" vertical="center" wrapText="1"/>
    </xf>
    <xf fontId="43" fillId="0" borderId="0" numFmtId="49" xfId="0" applyNumberFormat="1" applyFont="1" applyAlignment="1">
      <alignment horizontal="center" vertical="center" wrapText="1"/>
    </xf>
    <xf fontId="22" fillId="0" borderId="0" numFmtId="49" xfId="0" applyNumberFormat="1" applyFont="1" applyAlignment="1">
      <alignment horizontal="center" vertical="center" wrapText="1"/>
    </xf>
    <xf fontId="0" fillId="40" borderId="0" numFmtId="49" xfId="0" applyNumberFormat="1" applyFill="1" applyAlignment="1">
      <alignment horizontal="right" indent="1" vertical="center" wrapText="1"/>
    </xf>
    <xf fontId="51" fillId="0" borderId="0" numFmtId="0" xfId="0" applyFont="1" applyAlignment="1">
      <alignment vertical="top" wrapText="1"/>
    </xf>
    <xf fontId="61" fillId="0" borderId="0" numFmtId="0" xfId="0" applyFont="1" applyAlignment="1">
      <alignment horizontal="center" vertical="center" wrapText="1"/>
    </xf>
    <xf fontId="45" fillId="0" borderId="0" numFmtId="0" xfId="0" applyFont="1" applyAlignment="1">
      <alignment vertical="center"/>
    </xf>
    <xf fontId="62" fillId="0" borderId="0" numFmtId="0" xfId="0" applyFont="1" applyAlignment="1">
      <alignment vertical="center"/>
    </xf>
    <xf fontId="63" fillId="0" borderId="0" numFmtId="0" xfId="0" applyFont="1" applyAlignment="1">
      <alignment vertical="center" wrapText="1"/>
    </xf>
    <xf fontId="45" fillId="0" borderId="0" numFmtId="0" xfId="0" applyFont="1" applyAlignment="1">
      <alignment horizontal="center" vertical="center" wrapText="1"/>
    </xf>
    <xf fontId="45" fillId="0" borderId="0" numFmtId="0" xfId="0" applyFont="1" applyAlignment="1">
      <alignment horizontal="left" indent="1" vertical="center"/>
    </xf>
    <xf fontId="45" fillId="0" borderId="0" numFmtId="0" xfId="0" applyFont="1" applyAlignment="1">
      <alignment horizontal="left" indent="1" vertical="center" wrapText="1"/>
    </xf>
    <xf fontId="64" fillId="0" borderId="0" numFmtId="0" xfId="0" applyFont="1" applyAlignment="1">
      <alignment vertical="center" wrapText="1"/>
    </xf>
    <xf fontId="43" fillId="0" borderId="0" numFmtId="0" xfId="0" applyFont="1" applyAlignment="1">
      <alignment horizontal="left" indent="1" vertical="center" wrapText="1"/>
    </xf>
    <xf fontId="64" fillId="0" borderId="0" numFmtId="0" xfId="0" applyFont="1" applyAlignment="1">
      <alignment horizontal="left" indent="1" vertical="center" wrapText="1"/>
    </xf>
    <xf fontId="65" fillId="0" borderId="0" numFmtId="0" xfId="0" applyFont="1" applyAlignment="1">
      <alignment horizontal="left" indent="1" vertical="center"/>
    </xf>
    <xf fontId="66" fillId="0" borderId="0" numFmtId="0" xfId="0" applyFont="1" applyAlignment="1">
      <alignment vertical="center" wrapText="1"/>
    </xf>
    <xf fontId="22" fillId="0" borderId="0" numFmtId="0" xfId="0" applyFont="1" applyAlignment="1">
      <alignment horizontal="right" vertical="center" wrapText="1"/>
    </xf>
    <xf fontId="22" fillId="0" borderId="25" numFmtId="0" xfId="0" applyFont="1" applyBorder="1" applyAlignment="1">
      <alignment horizontal="left" indent="1" vertical="center" wrapText="1"/>
    </xf>
    <xf fontId="22" fillId="0" borderId="0" numFmtId="4" xfId="0" applyNumberFormat="1" applyFont="1" applyAlignment="1">
      <alignment horizontal="right" vertical="center" wrapText="1"/>
    </xf>
    <xf fontId="22" fillId="0" borderId="0" numFmtId="49" xfId="0" applyNumberFormat="1" applyFont="1" applyAlignment="1">
      <alignment vertical="top"/>
    </xf>
    <xf fontId="22" fillId="0" borderId="0" numFmtId="4" xfId="0" applyNumberFormat="1" applyFont="1" applyAlignment="1">
      <alignment horizontal="center" vertical="center" wrapText="1"/>
    </xf>
    <xf fontId="22" fillId="0" borderId="25" numFmtId="0" xfId="0" applyFont="1" applyBorder="1" applyAlignment="1">
      <alignment horizontal="center" vertical="center" wrapText="1"/>
    </xf>
    <xf fontId="22" fillId="0" borderId="23" numFmtId="4" xfId="0" applyNumberFormat="1" applyFont="1" applyBorder="1" applyAlignment="1">
      <alignment horizontal="center" vertical="center" wrapText="1"/>
    </xf>
    <xf fontId="22" fillId="0" borderId="21" numFmtId="169" xfId="0" applyNumberFormat="1" applyFont="1" applyBorder="1" applyAlignment="1">
      <alignment horizontal="center" vertical="center" wrapText="1"/>
    </xf>
    <xf fontId="22" fillId="0" borderId="23" numFmtId="169" xfId="0" applyNumberFormat="1" applyFont="1" applyBorder="1" applyAlignment="1">
      <alignment horizontal="center" vertical="center" wrapText="1"/>
    </xf>
    <xf fontId="67" fillId="0" borderId="0" numFmtId="0" xfId="0" applyFont="1" applyAlignment="1">
      <alignment horizontal="center" vertical="center" wrapText="1"/>
    </xf>
    <xf fontId="67" fillId="0" borderId="25" numFmtId="49" xfId="0" applyNumberFormat="1" applyFont="1" applyBorder="1" applyAlignment="1">
      <alignment horizontal="center" vertical="center" wrapText="1"/>
    </xf>
    <xf fontId="43" fillId="0" borderId="0" numFmtId="0" xfId="0" applyFont="1" applyAlignment="1">
      <alignment vertical="center"/>
    </xf>
    <xf fontId="68" fillId="0" borderId="0" numFmtId="0" xfId="0" applyFont="1" applyAlignment="1">
      <alignment vertical="center"/>
    </xf>
    <xf fontId="22" fillId="42" borderId="26" numFmtId="49" xfId="0" applyNumberFormat="1" applyFont="1" applyFill="1" applyBorder="1" applyAlignment="1">
      <alignment horizontal="center" vertical="center" wrapText="1"/>
    </xf>
    <xf fontId="43" fillId="42" borderId="26" numFmtId="49" xfId="0" applyNumberFormat="1" applyFont="1" applyFill="1" applyBorder="1" applyAlignment="1">
      <alignment horizontal="left" vertical="center" wrapText="1"/>
    </xf>
    <xf fontId="43" fillId="42" borderId="27" numFmtId="49" xfId="0" applyNumberFormat="1" applyFont="1" applyFill="1" applyBorder="1" applyAlignment="1">
      <alignment horizontal="left" vertical="center" wrapText="1"/>
    </xf>
    <xf fontId="45" fillId="0" borderId="28" numFmtId="0" xfId="0" applyFont="1" applyBorder="1" applyAlignment="1">
      <alignment vertical="center"/>
    </xf>
    <xf fontId="22" fillId="0" borderId="23" numFmtId="0" xfId="0" applyFont="1" applyBorder="1" applyAlignment="1">
      <alignment horizontal="center" vertical="center" wrapText="1"/>
    </xf>
    <xf fontId="45" fillId="0" borderId="23" numFmtId="0" xfId="0" applyFont="1" applyBorder="1" applyAlignment="1">
      <alignment horizontal="center" vertical="center" wrapText="1"/>
    </xf>
    <xf fontId="22" fillId="39" borderId="23" numFmtId="49" xfId="0" applyNumberFormat="1" applyFont="1" applyFill="1" applyBorder="1" applyAlignment="1">
      <alignment vertical="center" wrapText="1"/>
      <protection locked="0"/>
    </xf>
    <xf fontId="43" fillId="0" borderId="23" numFmtId="49" xfId="0" applyNumberFormat="1" applyFont="1" applyBorder="1" applyAlignment="1">
      <alignment horizontal="left" vertical="center" wrapText="1"/>
    </xf>
    <xf fontId="67" fillId="0" borderId="29" numFmtId="0" xfId="0" applyFont="1" applyBorder="1" applyAlignment="1">
      <alignment vertical="top" wrapText="1"/>
    </xf>
    <xf fontId="22" fillId="0" borderId="30" numFmtId="0" xfId="0" applyFont="1" applyBorder="1" applyAlignment="1">
      <alignment horizontal="center" vertical="center" wrapText="1"/>
    </xf>
    <xf fontId="45" fillId="0" borderId="30" numFmtId="0" xfId="0" applyFont="1" applyBorder="1" applyAlignment="1">
      <alignment horizontal="center" vertical="center" wrapText="1"/>
    </xf>
    <xf fontId="22" fillId="41" borderId="30" numFmtId="14" xfId="0" applyNumberFormat="1" applyFont="1" applyFill="1" applyBorder="1" applyAlignment="1">
      <alignment horizontal="left" indent="1" vertical="center" wrapText="1"/>
    </xf>
    <xf fontId="22" fillId="38" borderId="30" numFmtId="49" xfId="0" applyNumberFormat="1" applyFont="1" applyFill="1" applyBorder="1" applyAlignment="1">
      <alignment horizontal="center" vertical="center" wrapText="1"/>
    </xf>
    <xf fontId="69" fillId="0" borderId="0" numFmtId="0" xfId="0" applyFont="1" applyAlignment="1">
      <alignment vertical="center" wrapText="1"/>
    </xf>
    <xf fontId="45" fillId="0" borderId="0" numFmtId="49" xfId="0" applyNumberFormat="1" applyFont="1" applyAlignment="1">
      <alignment vertical="top"/>
    </xf>
    <xf fontId="0" fillId="0" borderId="0" numFmtId="0" xfId="0" applyAlignment="1">
      <alignment vertical="center" wrapText="1"/>
    </xf>
    <xf fontId="67" fillId="0" borderId="0" numFmtId="0" xfId="0" applyFont="1" applyAlignment="1">
      <alignment vertical="top" wrapText="1"/>
    </xf>
    <xf fontId="51" fillId="42" borderId="21" numFmtId="49" xfId="0" applyNumberFormat="1" applyFont="1" applyFill="1" applyBorder="1" applyAlignment="1">
      <alignment horizontal="right" vertical="center" wrapText="1"/>
    </xf>
    <xf fontId="51" fillId="42" borderId="25" numFmtId="49" xfId="0" applyNumberFormat="1" applyFont="1" applyFill="1" applyBorder="1" applyAlignment="1">
      <alignment horizontal="right" vertical="center" wrapText="1"/>
    </xf>
    <xf fontId="70" fillId="42" borderId="25" numFmtId="49" xfId="0" applyNumberFormat="1" applyFont="1" applyFill="1" applyBorder="1" applyAlignment="1">
      <alignment horizontal="left" indent="1" vertical="center"/>
    </xf>
    <xf fontId="0" fillId="42" borderId="25" numFmtId="49" xfId="0" applyNumberFormat="1" applyFill="1" applyBorder="1" applyAlignment="1">
      <alignment horizontal="right" vertical="center" wrapText="1"/>
    </xf>
    <xf fontId="0" fillId="42" borderId="20" numFmtId="49" xfId="0" applyNumberFormat="1" applyFill="1" applyBorder="1" applyAlignment="1">
      <alignment horizontal="right" vertical="center" wrapText="1"/>
    </xf>
    <xf fontId="22" fillId="42" borderId="21" numFmtId="49" xfId="0" applyNumberFormat="1" applyFont="1" applyFill="1" applyBorder="1" applyAlignment="1">
      <alignment horizontal="right" vertical="center" wrapText="1"/>
    </xf>
    <xf fontId="22" fillId="42" borderId="25" numFmtId="49" xfId="0" applyNumberFormat="1" applyFont="1" applyFill="1" applyBorder="1" applyAlignment="1">
      <alignment horizontal="right" vertical="center" wrapText="1"/>
    </xf>
    <xf fontId="70" fillId="42" borderId="25" numFmtId="49" xfId="0" applyNumberFormat="1" applyFont="1" applyFill="1" applyBorder="1" applyAlignment="1">
      <alignment horizontal="left" vertical="center"/>
    </xf>
    <xf fontId="22" fillId="42" borderId="20" numFmtId="49" xfId="0" applyNumberFormat="1" applyFont="1" applyFill="1" applyBorder="1" applyAlignment="1">
      <alignment horizontal="right" vertical="center" wrapText="1"/>
    </xf>
    <xf fontId="22" fillId="0" borderId="31" numFmtId="0" xfId="0" applyFont="1" applyBorder="1" applyAlignment="1">
      <alignment vertical="center" wrapText="1"/>
    </xf>
    <xf fontId="71" fillId="0" borderId="0" numFmtId="0" xfId="0" applyFont="1" applyAlignment="1">
      <alignment vertical="center" wrapText="1"/>
    </xf>
    <xf fontId="72" fillId="0" borderId="0" numFmtId="0" xfId="0" applyFont="1" applyAlignment="1">
      <alignment vertical="center" wrapText="1"/>
    </xf>
    <xf fontId="73" fillId="0" borderId="0" numFmtId="0" xfId="0" applyFont="1" applyAlignment="1">
      <alignment horizontal="center" vertical="center" wrapText="1"/>
    </xf>
    <xf fontId="0" fillId="0" borderId="0" numFmtId="49" xfId="75" applyNumberFormat="1" applyAlignment="1">
      <alignment vertical="top"/>
    </xf>
    <xf fontId="0" fillId="0" borderId="0" numFmtId="0" xfId="0" applyAlignment="1">
      <alignment vertical="center"/>
    </xf>
    <xf fontId="22" fillId="0" borderId="27" numFmtId="0" xfId="0" applyFont="1" applyBorder="1" applyAlignment="1">
      <alignment horizontal="left" indent="1" vertical="center" wrapText="1"/>
    </xf>
    <xf fontId="22" fillId="0" borderId="32" numFmtId="0" xfId="0" applyFont="1" applyBorder="1" applyAlignment="1">
      <alignment horizontal="left" indent="1" vertical="center" wrapText="1"/>
    </xf>
    <xf fontId="22" fillId="0" borderId="33" numFmtId="0" xfId="0" applyFont="1" applyBorder="1" applyAlignment="1">
      <alignment horizontal="left" indent="1" vertical="center" wrapText="1"/>
    </xf>
    <xf fontId="74" fillId="0" borderId="0" numFmtId="0" xfId="0" applyFont="1" applyAlignment="1">
      <alignment vertical="center"/>
    </xf>
    <xf fontId="22" fillId="0" borderId="34" numFmtId="0" xfId="0" applyFont="1" applyBorder="1" applyAlignment="1">
      <alignment horizontal="left" indent="1" vertical="center"/>
    </xf>
    <xf fontId="22" fillId="0" borderId="30" numFmtId="0" xfId="0" applyFont="1" applyBorder="1" applyAlignment="1">
      <alignment horizontal="left" indent="1" vertical="center"/>
    </xf>
    <xf fontId="22" fillId="0" borderId="35" numFmtId="0" xfId="0" applyFont="1" applyBorder="1" applyAlignment="1">
      <alignment horizontal="left" indent="1" vertical="center"/>
    </xf>
    <xf fontId="75" fillId="0" borderId="0" numFmtId="0" xfId="0" applyFont="1" applyAlignment="1">
      <alignment vertical="center"/>
    </xf>
    <xf fontId="76" fillId="0" borderId="0" numFmtId="0" xfId="0" applyFont="1" applyAlignment="1">
      <alignment vertical="center"/>
    </xf>
    <xf fontId="77" fillId="0" borderId="0" numFmtId="0" xfId="0" applyFont="1" applyAlignment="1">
      <alignment vertical="center"/>
    </xf>
    <xf fontId="0" fillId="0" borderId="0" numFmtId="0" xfId="0" applyAlignment="1">
      <alignment horizontal="left" indent="2" vertical="center" wrapText="1"/>
    </xf>
    <xf fontId="0" fillId="0" borderId="0" numFmtId="0" xfId="0" applyAlignment="1">
      <alignment horizontal="left" indent="2" vertical="center"/>
    </xf>
    <xf fontId="6" fillId="0" borderId="0" numFmtId="0" xfId="0" applyFont="1" applyAlignment="1">
      <alignment vertical="center"/>
    </xf>
    <xf fontId="22" fillId="43" borderId="0" numFmtId="0" xfId="0" applyFont="1" applyFill="1" applyAlignment="1">
      <alignment horizontal="center" vertical="center" wrapText="1"/>
    </xf>
    <xf fontId="78" fillId="0" borderId="33" numFmtId="0" xfId="0" applyFont="1" applyBorder="1" applyAlignment="1">
      <alignment horizontal="center" vertical="center" wrapText="1"/>
    </xf>
    <xf fontId="78" fillId="0" borderId="26" numFmtId="0" xfId="0" applyFont="1" applyBorder="1" applyAlignment="1">
      <alignment horizontal="center" vertical="center" wrapText="1"/>
    </xf>
    <xf fontId="78" fillId="0" borderId="23" numFmtId="0" xfId="0" applyFont="1" applyBorder="1" applyAlignment="1">
      <alignment horizontal="center" vertical="center" wrapText="1"/>
    </xf>
    <xf fontId="79" fillId="0" borderId="0" numFmtId="0" xfId="0" applyFont="1" applyAlignment="1">
      <alignment horizontal="center" vertical="center" wrapText="1"/>
    </xf>
    <xf fontId="22" fillId="0" borderId="36" numFmtId="0" xfId="0" applyFont="1" applyBorder="1" applyAlignment="1">
      <alignment horizontal="center" vertical="center" wrapText="1"/>
    </xf>
    <xf fontId="22" fillId="0" borderId="37" numFmtId="0" xfId="0" applyFont="1" applyBorder="1" applyAlignment="1">
      <alignment horizontal="center" vertical="center" wrapText="1"/>
    </xf>
    <xf fontId="43" fillId="0" borderId="28" numFmtId="0" xfId="0" applyFont="1" applyBorder="1" applyAlignment="1">
      <alignment vertical="center"/>
    </xf>
    <xf fontId="67" fillId="0" borderId="0" numFmtId="49" xfId="0" applyNumberFormat="1" applyFont="1" applyAlignment="1">
      <alignment horizontal="center" vertical="center" wrapText="1"/>
    </xf>
    <xf fontId="67" fillId="0" borderId="23" numFmtId="49" xfId="0" applyNumberFormat="1" applyFont="1" applyBorder="1" applyAlignment="1">
      <alignment horizontal="center" vertical="center" wrapText="1"/>
    </xf>
    <xf fontId="67" fillId="0" borderId="38" numFmtId="49" xfId="0" applyNumberFormat="1" applyFont="1" applyBorder="1" applyAlignment="1">
      <alignment horizontal="center" vertical="center" wrapText="1"/>
    </xf>
    <xf fontId="67" fillId="0" borderId="39" numFmtId="49" xfId="0" applyNumberFormat="1" applyFont="1" applyBorder="1" applyAlignment="1">
      <alignment horizontal="center" vertical="center" wrapText="1"/>
    </xf>
    <xf fontId="67" fillId="0" borderId="21" numFmtId="49" xfId="0" applyNumberFormat="1" applyFont="1" applyBorder="1" applyAlignment="1">
      <alignment horizontal="center" vertical="center" wrapText="1"/>
    </xf>
    <xf fontId="67" fillId="0" borderId="20" numFmtId="49" xfId="0" applyNumberFormat="1" applyFont="1" applyBorder="1" applyAlignment="1">
      <alignment horizontal="center" vertical="center" wrapText="1"/>
    </xf>
    <xf fontId="45" fillId="0" borderId="0" numFmtId="0" xfId="0" applyFont="1" applyAlignment="1">
      <alignment horizontal="center" vertical="center"/>
    </xf>
    <xf fontId="22" fillId="42" borderId="21" numFmtId="0" xfId="0" applyFont="1" applyFill="1" applyBorder="1" applyAlignment="1">
      <alignment horizontal="center" vertical="center" wrapText="1"/>
    </xf>
    <xf fontId="22" fillId="42" borderId="25" numFmtId="49" xfId="0" applyNumberFormat="1" applyFont="1" applyFill="1" applyBorder="1" applyAlignment="1">
      <alignment horizontal="center" vertical="center" wrapText="1"/>
    </xf>
    <xf fontId="22" fillId="42" borderId="40" numFmtId="49" xfId="0" applyNumberFormat="1" applyFont="1" applyFill="1" applyBorder="1" applyAlignment="1">
      <alignment horizontal="center" vertical="center" wrapText="1"/>
    </xf>
    <xf fontId="0" fillId="42" borderId="25" numFmtId="49" xfId="0" applyNumberFormat="1" applyFill="1" applyBorder="1" applyAlignment="1">
      <alignment horizontal="left" vertical="center"/>
    </xf>
    <xf fontId="0" fillId="42" borderId="20" numFmtId="0" xfId="0" applyFill="1" applyBorder="1" applyAlignment="1">
      <alignment vertical="center"/>
    </xf>
    <xf fontId="22" fillId="0" borderId="23" numFmtId="49" xfId="0" applyNumberFormat="1" applyFont="1" applyBorder="1" applyAlignment="1">
      <alignment horizontal="center" vertical="center" wrapText="1"/>
    </xf>
    <xf fontId="22" fillId="41" borderId="32" numFmtId="0" xfId="0" applyFont="1" applyFill="1" applyBorder="1" applyAlignment="1">
      <alignment horizontal="left" indent="2" vertical="center" wrapText="1"/>
    </xf>
    <xf fontId="22" fillId="41" borderId="30" numFmtId="49" xfId="0" applyNumberFormat="1" applyFont="1" applyFill="1" applyBorder="1" applyAlignment="1">
      <alignment horizontal="center" vertical="center" wrapText="1"/>
    </xf>
    <xf fontId="80" fillId="0" borderId="41" numFmtId="14" xfId="0" applyNumberFormat="1" applyFont="1" applyBorder="1" applyAlignment="1">
      <alignment horizontal="center" vertical="center" wrapText="1"/>
    </xf>
    <xf fontId="22" fillId="0" borderId="41" numFmtId="0" xfId="0" applyFont="1" applyBorder="1" applyAlignment="1">
      <alignment horizontal="center" vertical="center" wrapText="1"/>
    </xf>
    <xf fontId="22" fillId="41" borderId="32" numFmtId="0" xfId="0" applyFont="1" applyFill="1" applyBorder="1" applyAlignment="1">
      <alignment horizontal="left" indent="1" vertical="center" wrapText="1"/>
    </xf>
    <xf fontId="22" fillId="41" borderId="23" numFmtId="49" xfId="0" applyNumberFormat="1" applyFont="1" applyFill="1" applyBorder="1" applyAlignment="1">
      <alignment horizontal="center" vertical="center" wrapText="1"/>
    </xf>
    <xf fontId="22" fillId="0" borderId="32" numFmtId="49" xfId="0" applyNumberFormat="1" applyFont="1" applyBorder="1" applyAlignment="1">
      <alignment horizontal="center" vertical="center" wrapText="1"/>
    </xf>
    <xf fontId="78" fillId="0" borderId="23" numFmtId="49" xfId="0" applyNumberFormat="1" applyFont="1" applyBorder="1" applyAlignment="1">
      <alignment horizontal="left" indent="1" vertical="center" wrapText="1"/>
    </xf>
    <xf fontId="22" fillId="41" borderId="42" numFmtId="0" xfId="0" applyFont="1" applyFill="1" applyBorder="1" applyAlignment="1">
      <alignment horizontal="left" indent="2" vertical="center" wrapText="1"/>
    </xf>
    <xf fontId="22" fillId="41" borderId="30" numFmtId="0" xfId="0" applyFont="1" applyFill="1" applyBorder="1" applyAlignment="1">
      <alignment horizontal="left" indent="1" vertical="center" wrapText="1"/>
    </xf>
    <xf fontId="70" fillId="42" borderId="20" numFmtId="49" xfId="0" applyNumberFormat="1" applyFont="1" applyFill="1" applyBorder="1" applyAlignment="1">
      <alignment horizontal="left" indent="1" vertical="center"/>
    </xf>
    <xf fontId="22" fillId="41" borderId="30" numFmtId="0" xfId="0" applyFont="1" applyFill="1" applyBorder="1" applyAlignment="1">
      <alignment horizontal="left" indent="2" vertical="center" wrapText="1"/>
    </xf>
    <xf fontId="51" fillId="42" borderId="43" numFmtId="49" xfId="0" applyNumberFormat="1" applyFont="1" applyFill="1" applyBorder="1" applyAlignment="1">
      <alignment horizontal="right" vertical="center" wrapText="1"/>
    </xf>
    <xf fontId="51" fillId="42" borderId="44" numFmtId="49" xfId="0" applyNumberFormat="1" applyFont="1" applyFill="1" applyBorder="1" applyAlignment="1">
      <alignment horizontal="right" vertical="center" wrapText="1"/>
    </xf>
    <xf fontId="51" fillId="42" borderId="20" numFmtId="49" xfId="0" applyNumberFormat="1" applyFont="1" applyFill="1" applyBorder="1" applyAlignment="1">
      <alignment horizontal="right" vertical="center" wrapText="1"/>
    </xf>
    <xf fontId="78" fillId="43" borderId="0" numFmtId="0" xfId="0" applyFont="1" applyFill="1" applyAlignment="1">
      <alignment vertical="top"/>
    </xf>
    <xf fontId="70" fillId="42" borderId="25" numFmtId="49" xfId="0" applyNumberFormat="1" applyFont="1" applyFill="1" applyBorder="1" applyAlignment="1">
      <alignment horizontal="left" indent="2" vertical="center"/>
    </xf>
    <xf fontId="22" fillId="0" borderId="27" numFmtId="0" xfId="0" applyFont="1" applyBorder="1" applyAlignment="1">
      <alignment horizontal="left" indent="1" vertical="top" wrapText="1"/>
    </xf>
    <xf fontId="22" fillId="0" borderId="32" numFmtId="0" xfId="0" applyFont="1" applyBorder="1" applyAlignment="1">
      <alignment horizontal="left" indent="1" vertical="top" wrapText="1"/>
    </xf>
    <xf fontId="22" fillId="0" borderId="33" numFmtId="0" xfId="0" applyFont="1" applyBorder="1" applyAlignment="1">
      <alignment horizontal="left" indent="1" vertical="top" wrapText="1"/>
    </xf>
    <xf fontId="81" fillId="0" borderId="0" numFmtId="0" xfId="0" applyFont="1" applyAlignment="1">
      <alignment vertical="center" wrapText="1"/>
    </xf>
    <xf fontId="36" fillId="0" borderId="0" numFmtId="0" xfId="0" applyFont="1" applyAlignment="1">
      <alignment vertical="center" wrapText="1"/>
    </xf>
    <xf fontId="22" fillId="0" borderId="45" numFmtId="0" xfId="0" applyFont="1" applyBorder="1" applyAlignment="1">
      <alignment horizontal="left" indent="1" vertical="center"/>
    </xf>
    <xf fontId="82" fillId="0" borderId="0" numFmtId="0" xfId="0" applyFont="1" applyAlignment="1">
      <alignment vertical="center"/>
    </xf>
    <xf fontId="63" fillId="0" borderId="29" numFmtId="0" xfId="0" applyFont="1" applyBorder="1" applyAlignment="1">
      <alignment horizontal="left" indent="1" vertical="center" wrapText="1"/>
    </xf>
    <xf fontId="63" fillId="0" borderId="42" numFmtId="0" xfId="0" applyFont="1" applyBorder="1" applyAlignment="1">
      <alignment horizontal="left" indent="1" vertical="center" wrapText="1"/>
    </xf>
    <xf fontId="63" fillId="0" borderId="28" numFmtId="0" xfId="0" applyFont="1" applyBorder="1" applyAlignment="1">
      <alignment horizontal="left" indent="1" vertical="center" wrapText="1"/>
    </xf>
    <xf fontId="0" fillId="0" borderId="23" numFmtId="0" xfId="0" applyBorder="1" applyAlignment="1">
      <alignment horizontal="center" vertical="center" wrapText="1"/>
    </xf>
    <xf fontId="45" fillId="40" borderId="0" numFmtId="49" xfId="0" applyNumberFormat="1" applyFont="1" applyFill="1" applyAlignment="1">
      <alignment horizontal="center" vertical="center" wrapText="1"/>
    </xf>
    <xf fontId="45" fillId="40" borderId="45" numFmtId="49" xfId="0" applyNumberFormat="1" applyFont="1" applyFill="1" applyBorder="1" applyAlignment="1">
      <alignment horizontal="center" vertical="center" wrapText="1"/>
    </xf>
    <xf fontId="45" fillId="0" borderId="23" numFmtId="0" xfId="0" applyFont="1" applyBorder="1" applyAlignment="1">
      <alignment horizontal="center" vertical="center"/>
    </xf>
    <xf fontId="0" fillId="0" borderId="23" numFmtId="0" xfId="0" applyBorder="1" applyAlignment="1">
      <alignment horizontal="center" vertical="center"/>
    </xf>
    <xf fontId="0" fillId="0" borderId="23" numFmtId="49" xfId="0" applyNumberFormat="1" applyBorder="1" applyAlignment="1">
      <alignment horizontal="center" vertical="center"/>
    </xf>
    <xf fontId="0" fillId="0" borderId="23" numFmtId="49" xfId="0" applyNumberFormat="1" applyBorder="1" applyAlignment="1">
      <alignment horizontal="left" vertical="center"/>
    </xf>
    <xf fontId="0" fillId="0" borderId="0" numFmtId="49" xfId="0" applyNumberFormat="1" applyAlignment="1">
      <alignment vertical="center"/>
    </xf>
    <xf fontId="0" fillId="0" borderId="23" numFmtId="0" xfId="0" applyBorder="1" applyAlignment="1">
      <alignment horizontal="center" vertical="top"/>
    </xf>
    <xf fontId="22" fillId="0" borderId="23" numFmtId="0" xfId="0" applyFont="1" applyBorder="1" applyAlignment="1">
      <alignment horizontal="left" vertical="top" wrapText="1"/>
    </xf>
    <xf fontId="22" fillId="41" borderId="32" numFmtId="0" xfId="0" applyFont="1" applyFill="1" applyBorder="1" applyAlignment="1">
      <alignment horizontal="center" vertical="top" wrapText="1"/>
    </xf>
    <xf fontId="0" fillId="0" borderId="33" numFmtId="0" xfId="0" applyBorder="1" applyAlignment="1">
      <alignment horizontal="center" vertical="center"/>
    </xf>
    <xf fontId="0" fillId="0" borderId="26" numFmtId="0" xfId="0" applyBorder="1" applyAlignment="1">
      <alignment horizontal="center" vertical="center"/>
    </xf>
    <xf fontId="22" fillId="0" borderId="26" numFmtId="49" xfId="0" applyNumberFormat="1" applyFont="1" applyBorder="1" applyAlignment="1">
      <alignment horizontal="left" vertical="center" wrapText="1"/>
    </xf>
    <xf fontId="22" fillId="0" borderId="26" numFmtId="49" xfId="0" applyNumberFormat="1" applyFont="1" applyBorder="1" applyAlignment="1">
      <alignment horizontal="center" vertical="center" wrapText="1"/>
    </xf>
    <xf fontId="0" fillId="0" borderId="26" numFmtId="0" xfId="0" applyBorder="1" applyAlignment="1">
      <alignment horizontal="left" vertical="center" wrapText="1"/>
    </xf>
    <xf fontId="0" fillId="0" borderId="26" numFmtId="49" xfId="0" applyNumberFormat="1" applyBorder="1" applyAlignment="1">
      <alignment horizontal="left" vertical="center" wrapText="1"/>
    </xf>
    <xf fontId="22" fillId="0" borderId="27" numFmtId="49" xfId="0" applyNumberFormat="1" applyFont="1" applyBorder="1" applyAlignment="1">
      <alignment horizontal="left" vertical="center" wrapText="1"/>
    </xf>
    <xf fontId="22" fillId="0" borderId="0" numFmtId="0" xfId="0" applyFont="1" applyAlignment="1">
      <alignment horizontal="left" indent="1" vertical="center"/>
    </xf>
    <xf fontId="22" fillId="41" borderId="42" numFmtId="0" xfId="0" applyFont="1" applyFill="1" applyBorder="1" applyAlignment="1">
      <alignment horizontal="center" vertical="top" wrapText="1"/>
    </xf>
    <xf fontId="0" fillId="0" borderId="28" numFmtId="0" xfId="0" applyBorder="1" applyAlignment="1">
      <alignment horizontal="center" vertical="center"/>
    </xf>
    <xf fontId="0" fillId="0" borderId="0" numFmtId="0" xfId="0" applyAlignment="1">
      <alignment horizontal="center" vertical="center"/>
    </xf>
    <xf fontId="22" fillId="0" borderId="0" numFmtId="49" xfId="0" applyNumberFormat="1" applyFont="1" applyAlignment="1">
      <alignment horizontal="left" vertical="center" wrapText="1"/>
    </xf>
    <xf fontId="0" fillId="0" borderId="0" numFmtId="0" xfId="0" applyAlignment="1">
      <alignment horizontal="left" vertical="center" wrapText="1"/>
    </xf>
    <xf fontId="0" fillId="0" borderId="0" numFmtId="49" xfId="0" applyNumberFormat="1" applyAlignment="1">
      <alignment horizontal="left" vertical="center" wrapText="1"/>
    </xf>
    <xf fontId="70" fillId="0" borderId="0" numFmtId="0" xfId="0" applyFont="1" applyAlignment="1">
      <alignment horizontal="left" vertical="center"/>
    </xf>
    <xf fontId="70" fillId="0" borderId="29" numFmtId="0" xfId="0" applyFont="1" applyBorder="1" applyAlignment="1">
      <alignment horizontal="left" vertical="center"/>
    </xf>
    <xf fontId="0" fillId="0" borderId="0" numFmtId="49" xfId="0" applyNumberFormat="1" applyAlignment="1">
      <alignment horizontal="left" vertical="top"/>
    </xf>
    <xf fontId="0" fillId="0" borderId="23" numFmtId="49" xfId="0" applyNumberFormat="1" applyBorder="1" applyAlignment="1">
      <alignment vertical="top"/>
    </xf>
    <xf fontId="0" fillId="0" borderId="23" numFmtId="49" xfId="0" applyNumberFormat="1" applyBorder="1" applyAlignment="1">
      <alignment horizontal="left" vertical="top"/>
    </xf>
    <xf fontId="22" fillId="41" borderId="30" numFmtId="0" xfId="0" applyFont="1" applyFill="1" applyBorder="1" applyAlignment="1">
      <alignment horizontal="center" vertical="top" wrapText="1"/>
    </xf>
    <xf fontId="70" fillId="0" borderId="35" numFmtId="0" xfId="0" applyFont="1" applyBorder="1" applyAlignment="1">
      <alignment horizontal="left" vertical="center"/>
    </xf>
    <xf fontId="70" fillId="0" borderId="45" numFmtId="0" xfId="0" applyFont="1" applyBorder="1" applyAlignment="1">
      <alignment horizontal="left" vertical="center"/>
    </xf>
    <xf fontId="0" fillId="0" borderId="45" numFmtId="0" xfId="0" applyBorder="1" applyAlignment="1">
      <alignment vertical="center"/>
    </xf>
    <xf fontId="70" fillId="0" borderId="34" numFmtId="0" xfId="0" applyFont="1" applyBorder="1" applyAlignment="1">
      <alignment horizontal="left" vertical="center"/>
    </xf>
    <xf fontId="22" fillId="39" borderId="23" numFmtId="0" xfId="0" applyFont="1" applyFill="1" applyBorder="1" applyAlignment="1">
      <alignment horizontal="left" vertical="top" wrapText="1"/>
      <protection locked="0"/>
    </xf>
    <xf fontId="22" fillId="0" borderId="0" numFmtId="49" xfId="0" applyNumberFormat="1" applyFont="1" applyAlignment="1">
      <alignment horizontal="left" indent="1" vertical="center"/>
    </xf>
    <xf fontId="0" fillId="39" borderId="23" numFmtId="0" xfId="0" applyFill="1" applyBorder="1" applyAlignment="1">
      <alignment horizontal="left" vertical="top"/>
      <protection locked="0"/>
    </xf>
    <xf fontId="0" fillId="0" borderId="32" numFmtId="0" xfId="0" applyBorder="1" applyAlignment="1">
      <alignment horizontal="center" vertical="top"/>
    </xf>
    <xf fontId="22" fillId="0" borderId="32" numFmtId="0" xfId="0" applyFont="1" applyBorder="1" applyAlignment="1">
      <alignment horizontal="left" vertical="top" wrapText="1"/>
    </xf>
    <xf fontId="0" fillId="0" borderId="42" numFmtId="0" xfId="0" applyBorder="1" applyAlignment="1">
      <alignment horizontal="center" vertical="top"/>
    </xf>
    <xf fontId="22" fillId="0" borderId="42" numFmtId="0" xfId="0" applyFont="1" applyBorder="1" applyAlignment="1">
      <alignment horizontal="left" vertical="top" wrapText="1"/>
    </xf>
    <xf fontId="0" fillId="0" borderId="30" numFmtId="0" xfId="0" applyBorder="1" applyAlignment="1">
      <alignment horizontal="center" vertical="top"/>
    </xf>
    <xf fontId="22" fillId="0" borderId="30" numFmtId="0" xfId="0" applyFont="1" applyBorder="1" applyAlignment="1">
      <alignment horizontal="left" vertical="top" wrapText="1"/>
    </xf>
    <xf fontId="0" fillId="0" borderId="0" numFmtId="0" xfId="0" applyAlignment="1">
      <alignment horizontal="left" vertical="top" wrapText="1"/>
    </xf>
    <xf fontId="0" fillId="0" borderId="0" numFmtId="0" xfId="0" applyAlignment="1" quotePrefix="1">
      <alignment horizontal="left" indent="1" vertical="top" wrapText="1"/>
    </xf>
    <xf fontId="0" fillId="0" borderId="0" numFmtId="0" xfId="0" applyAlignment="1">
      <alignment horizontal="left" indent="1" vertical="top" wrapText="1"/>
    </xf>
    <xf fontId="0" fillId="0" borderId="0" numFmtId="0" xfId="0" applyAlignment="1">
      <alignment vertical="top" wrapText="1"/>
    </xf>
    <xf fontId="41" fillId="0" borderId="0" numFmtId="49" xfId="0" applyNumberFormat="1" applyFont="1" applyAlignment="1">
      <alignment vertical="top"/>
    </xf>
    <xf fontId="45" fillId="0" borderId="0" numFmtId="49" xfId="0" applyNumberFormat="1" applyFont="1" applyAlignment="1">
      <alignment horizontal="center" vertical="center"/>
    </xf>
    <xf fontId="43" fillId="0" borderId="0" numFmtId="49" xfId="0" applyNumberFormat="1" applyFont="1" applyAlignment="1">
      <alignment horizontal="center" vertical="center"/>
    </xf>
    <xf fontId="82" fillId="0" borderId="0" numFmtId="49" xfId="0" applyNumberFormat="1" applyFont="1" applyAlignment="1">
      <alignment vertical="top"/>
    </xf>
    <xf fontId="22" fillId="0" borderId="26" numFmtId="0" xfId="0" applyFont="1" applyBorder="1" applyAlignment="1">
      <alignment horizontal="left" indent="1" vertical="center" wrapText="1"/>
    </xf>
    <xf fontId="36" fillId="0" borderId="0" numFmtId="0" xfId="0" applyFont="1" applyAlignment="1">
      <alignment horizontal="left" indent="1" vertical="center" wrapText="1"/>
    </xf>
    <xf fontId="66" fillId="0" borderId="0" numFmtId="0" xfId="0" applyFont="1" applyAlignment="1">
      <alignment vertical="center"/>
    </xf>
    <xf fontId="83" fillId="0" borderId="0" numFmtId="0" xfId="0" applyFont="1" applyAlignment="1">
      <alignment vertical="center" wrapText="1"/>
    </xf>
    <xf fontId="84" fillId="0" borderId="0" numFmtId="0" xfId="0" applyFont="1" applyAlignment="1">
      <alignment vertical="center" wrapText="1"/>
    </xf>
    <xf fontId="22" fillId="0" borderId="45" numFmtId="0" xfId="0" applyFont="1" applyBorder="1" applyAlignment="1">
      <alignment horizontal="left" indent="1" vertical="center" wrapText="1"/>
    </xf>
    <xf fontId="22" fillId="0" borderId="33" numFmtId="0" xfId="0" applyFont="1" applyBorder="1" applyAlignment="1">
      <alignment horizontal="center" vertical="center" wrapText="1"/>
    </xf>
    <xf fontId="22" fillId="0" borderId="27" numFmtId="0" xfId="0" applyFont="1" applyBorder="1" applyAlignment="1">
      <alignment horizontal="center" vertical="center" wrapText="1"/>
    </xf>
    <xf fontId="22" fillId="0" borderId="42" numFmtId="0" xfId="0" applyFont="1" applyBorder="1" applyAlignment="1">
      <alignment horizontal="center" vertical="center" wrapText="1"/>
    </xf>
    <xf fontId="22" fillId="0" borderId="32" numFmtId="0" xfId="0" applyFont="1" applyBorder="1" applyAlignment="1">
      <alignment horizontal="center" vertical="center" wrapText="1"/>
    </xf>
    <xf fontId="22" fillId="0" borderId="28" numFmtId="0" xfId="0" applyFont="1" applyBorder="1" applyAlignment="1">
      <alignment horizontal="center" vertical="center" wrapText="1"/>
    </xf>
    <xf fontId="22" fillId="0" borderId="29" numFmtId="0" xfId="0" applyFont="1" applyBorder="1" applyAlignment="1">
      <alignment horizontal="center" vertical="center" wrapText="1"/>
    </xf>
    <xf fontId="22" fillId="0" borderId="35" numFmtId="0" xfId="0" applyFont="1" applyBorder="1" applyAlignment="1">
      <alignment horizontal="center" vertical="center" wrapText="1"/>
    </xf>
    <xf fontId="22" fillId="0" borderId="34" numFmtId="0" xfId="0" applyFont="1" applyBorder="1" applyAlignment="1">
      <alignment horizontal="center" vertical="center" wrapText="1"/>
    </xf>
    <xf fontId="22" fillId="0" borderId="23" numFmtId="49" xfId="0" applyNumberFormat="1" applyFont="1" applyBorder="1" applyAlignment="1">
      <alignment horizontal="center" vertical="center"/>
    </xf>
    <xf fontId="22" fillId="0" borderId="23" numFmtId="0" xfId="0" applyFont="1" applyBorder="1" applyAlignment="1">
      <alignment horizontal="left" vertical="center" wrapText="1"/>
    </xf>
    <xf fontId="22" fillId="41" borderId="32" numFmtId="49" xfId="0" applyNumberFormat="1" applyFont="1" applyFill="1" applyBorder="1" applyAlignment="1">
      <alignment horizontal="center" vertical="center" wrapText="1"/>
    </xf>
    <xf fontId="22" fillId="0" borderId="33" numFmtId="49" xfId="0" applyNumberFormat="1" applyFont="1" applyBorder="1" applyAlignment="1">
      <alignment vertical="center" wrapText="1"/>
    </xf>
    <xf fontId="22" fillId="0" borderId="26" numFmtId="0" xfId="0" applyFont="1" applyBorder="1" applyAlignment="1">
      <alignment horizontal="center" vertical="center"/>
    </xf>
    <xf fontId="22" fillId="0" borderId="26" numFmtId="49" xfId="0" applyNumberFormat="1" applyFont="1" applyBorder="1" applyAlignment="1">
      <alignment vertical="center" wrapText="1"/>
    </xf>
    <xf fontId="61" fillId="0" borderId="26" numFmtId="49" xfId="0" applyNumberFormat="1" applyFont="1" applyBorder="1" applyAlignment="1">
      <alignment vertical="center" wrapText="1"/>
    </xf>
    <xf fontId="22" fillId="0" borderId="26" numFmtId="0" xfId="0" applyFont="1" applyBorder="1" applyAlignment="1">
      <alignment horizontal="left" vertical="center" wrapText="1"/>
    </xf>
    <xf fontId="22" fillId="41" borderId="42" numFmtId="49" xfId="0" applyNumberFormat="1" applyFont="1" applyFill="1" applyBorder="1" applyAlignment="1">
      <alignment horizontal="center" vertical="center" wrapText="1"/>
    </xf>
    <xf fontId="22" fillId="0" borderId="28" numFmtId="49" xfId="0" applyNumberFormat="1" applyFont="1" applyBorder="1" applyAlignment="1">
      <alignment vertical="center" wrapText="1"/>
    </xf>
    <xf fontId="22" fillId="0" borderId="0" numFmtId="0" xfId="0" applyFont="1" applyAlignment="1">
      <alignment horizontal="center" vertical="center"/>
    </xf>
    <xf fontId="61" fillId="0" borderId="0" numFmtId="49" xfId="0" applyNumberFormat="1" applyFont="1" applyAlignment="1">
      <alignment vertical="center" wrapText="1"/>
    </xf>
    <xf fontId="61" fillId="0" borderId="0" numFmtId="49" xfId="0" applyNumberFormat="1" applyFont="1" applyAlignment="1">
      <alignment horizontal="center" vertical="center" wrapText="1"/>
    </xf>
    <xf fontId="70" fillId="0" borderId="0" numFmtId="0" xfId="0" applyFont="1" applyAlignment="1">
      <alignment vertical="center"/>
    </xf>
    <xf fontId="70" fillId="0" borderId="28" numFmtId="0" xfId="0" applyFont="1" applyBorder="1" applyAlignment="1">
      <alignment horizontal="left" vertical="center"/>
    </xf>
    <xf fontId="22" fillId="0" borderId="32" numFmtId="49" xfId="0" applyNumberFormat="1" applyFont="1" applyBorder="1" applyAlignment="1">
      <alignment horizontal="center" vertical="center"/>
    </xf>
    <xf fontId="22" fillId="0" borderId="32" numFmtId="0" xfId="0" applyFont="1" applyBorder="1" applyAlignment="1">
      <alignment horizontal="left" vertical="center" wrapText="1"/>
    </xf>
    <xf fontId="22" fillId="0" borderId="33" numFmtId="0" xfId="0" applyFont="1" applyBorder="1" applyAlignment="1">
      <alignment horizontal="left" vertical="center" wrapText="1"/>
    </xf>
    <xf fontId="82" fillId="0" borderId="35" numFmtId="49" xfId="0" applyNumberFormat="1" applyFont="1" applyBorder="1" applyAlignment="1">
      <alignment vertical="top"/>
    </xf>
    <xf fontId="82" fillId="0" borderId="45" numFmtId="49" xfId="0" applyNumberFormat="1" applyFont="1" applyBorder="1" applyAlignment="1">
      <alignment vertical="top"/>
    </xf>
    <xf fontId="22" fillId="0" borderId="21" numFmtId="0" xfId="0" applyFont="1" applyBorder="1" applyAlignment="1">
      <alignment horizontal="left" vertical="center" wrapText="1"/>
    </xf>
    <xf fontId="22" fillId="40" borderId="0" numFmtId="0" xfId="0" applyFont="1" applyFill="1"/>
    <xf fontId="45" fillId="40" borderId="0" numFmtId="0" xfId="0" applyFont="1" applyFill="1"/>
    <xf fontId="0" fillId="40" borderId="0" numFmtId="0" xfId="0" applyFill="1"/>
    <xf fontId="0" fillId="40" borderId="0" numFmtId="0" xfId="0" applyFill="1" applyAlignment="1">
      <alignment horizontal="center"/>
    </xf>
    <xf fontId="57" fillId="40" borderId="0" numFmtId="0" xfId="0" applyFont="1" applyFill="1"/>
    <xf fontId="57" fillId="40" borderId="0" numFmtId="0" xfId="0" applyFont="1" applyFill="1" applyAlignment="1">
      <alignment horizontal="center"/>
    </xf>
    <xf fontId="85" fillId="0" borderId="0" numFmtId="0" xfId="0" applyFont="1" applyAlignment="1">
      <alignment vertical="center"/>
    </xf>
    <xf fontId="86" fillId="0" borderId="0" numFmtId="0" xfId="0" applyFont="1" applyAlignment="1">
      <alignment vertical="center"/>
    </xf>
    <xf fontId="87" fillId="40" borderId="0" numFmtId="0" xfId="0" applyFont="1" applyFill="1" applyAlignment="1">
      <alignment horizontal="right" vertical="center"/>
    </xf>
    <xf fontId="45" fillId="40" borderId="0" numFmtId="0" xfId="0" applyFont="1" applyFill="1" applyAlignment="1">
      <alignment vertical="center" wrapText="1"/>
    </xf>
    <xf fontId="54" fillId="40" borderId="0" numFmtId="0" xfId="0" applyFont="1" applyFill="1" applyAlignment="1">
      <alignment horizontal="left" vertical="center" wrapText="1"/>
    </xf>
    <xf fontId="0" fillId="40" borderId="23" numFmtId="49" xfId="0" applyNumberFormat="1" applyFill="1" applyBorder="1" applyAlignment="1">
      <alignment horizontal="center" vertical="center" wrapText="1"/>
    </xf>
    <xf fontId="22" fillId="40" borderId="23" numFmtId="49" xfId="0" applyNumberFormat="1" applyFont="1" applyFill="1" applyBorder="1" applyAlignment="1">
      <alignment horizontal="center" vertical="center" wrapText="1"/>
    </xf>
    <xf fontId="0" fillId="40" borderId="23" numFmtId="0" xfId="0" applyFill="1" applyBorder="1" applyAlignment="1">
      <alignment horizontal="center" vertical="center" wrapText="1"/>
    </xf>
    <xf fontId="22" fillId="40" borderId="23" numFmtId="0" xfId="0" applyFont="1" applyFill="1" applyBorder="1" applyAlignment="1">
      <alignment horizontal="center" vertical="center" wrapText="1"/>
    </xf>
    <xf fontId="67" fillId="40" borderId="0" numFmtId="0" xfId="0" applyFont="1" applyFill="1" applyAlignment="1">
      <alignment horizontal="center" vertical="center"/>
    </xf>
    <xf fontId="45" fillId="0" borderId="23" numFmtId="49" xfId="0" applyNumberFormat="1" applyFont="1" applyBorder="1" applyAlignment="1">
      <alignment horizontal="center" vertical="center"/>
    </xf>
    <xf fontId="45" fillId="0" borderId="23" numFmtId="0" xfId="0" applyFont="1" applyBorder="1" applyAlignment="1">
      <alignment vertical="center" wrapText="1"/>
    </xf>
    <xf fontId="45" fillId="0" borderId="23" numFmtId="0" xfId="0" applyFont="1" applyBorder="1" applyAlignment="1">
      <alignment horizontal="left" vertical="center" wrapText="1"/>
    </xf>
    <xf fontId="88" fillId="40" borderId="0" numFmtId="0" xfId="0" applyFont="1" applyFill="1"/>
    <xf fontId="0" fillId="40" borderId="23" numFmtId="49" xfId="0" applyNumberFormat="1" applyFill="1" applyBorder="1" applyAlignment="1">
      <alignment horizontal="center" vertical="center"/>
    </xf>
    <xf fontId="0" fillId="40" borderId="23" numFmtId="0" xfId="0" applyFill="1" applyBorder="1" applyAlignment="1">
      <alignment vertical="center" wrapText="1"/>
    </xf>
    <xf fontId="22" fillId="40" borderId="23" numFmtId="0" xfId="0" applyFont="1" applyFill="1" applyBorder="1" applyAlignment="1">
      <alignment vertical="center" wrapText="1"/>
    </xf>
    <xf fontId="0" fillId="40" borderId="23" numFmtId="0" xfId="0" applyFill="1" applyBorder="1" applyAlignment="1">
      <alignment horizontal="left" indent="1" vertical="center" wrapText="1"/>
    </xf>
    <xf fontId="0" fillId="39" borderId="23" numFmtId="49" xfId="0" applyNumberFormat="1" applyFill="1" applyBorder="1" applyAlignment="1">
      <alignment horizontal="left" vertical="center" wrapText="1"/>
      <protection locked="0"/>
    </xf>
    <xf fontId="45" fillId="0" borderId="23" numFmtId="0" xfId="0" applyFont="1" applyBorder="1" applyAlignment="1">
      <alignment horizontal="left" indent="1" vertical="center" wrapText="1"/>
    </xf>
    <xf fontId="22" fillId="40" borderId="0" numFmtId="49" xfId="0" applyNumberFormat="1" applyFont="1" applyFill="1" applyAlignment="1">
      <alignment horizontal="center" vertical="center" wrapText="1"/>
    </xf>
    <xf fontId="22" fillId="40" borderId="29" numFmtId="0" xfId="0" applyFont="1" applyFill="1" applyBorder="1" applyAlignment="1">
      <alignment horizontal="center" vertical="center" wrapText="1"/>
    </xf>
    <xf fontId="85" fillId="0" borderId="0" numFmtId="0" xfId="0" applyFont="1" applyAlignment="1">
      <alignment vertical="center" wrapText="1"/>
    </xf>
    <xf fontId="0" fillId="40" borderId="23" numFmtId="0" xfId="0" applyFill="1" applyBorder="1" applyAlignment="1">
      <alignment horizontal="center" vertical="center"/>
    </xf>
    <xf fontId="0" fillId="40" borderId="23" numFmtId="0" xfId="0" applyFill="1" applyBorder="1" applyAlignment="1">
      <alignment horizontal="left" indent="2" vertical="center" wrapText="1"/>
    </xf>
    <xf fontId="0" fillId="0" borderId="23" numFmtId="49" xfId="0" applyNumberFormat="1" applyBorder="1" applyAlignment="1">
      <alignment horizontal="left" vertical="center" wrapText="1"/>
    </xf>
    <xf fontId="22" fillId="40" borderId="0" numFmtId="49" xfId="0" applyNumberFormat="1" applyFont="1" applyFill="1" applyAlignment="1">
      <alignment vertical="center" wrapText="1"/>
    </xf>
    <xf fontId="22" fillId="40" borderId="29" numFmtId="0" xfId="0" applyFont="1" applyFill="1" applyBorder="1" applyAlignment="1">
      <alignment vertical="center" wrapText="1"/>
    </xf>
    <xf fontId="22" fillId="42" borderId="21" numFmtId="0" xfId="0" applyFont="1" applyFill="1" applyBorder="1" applyAlignment="1">
      <alignment horizontal="center"/>
    </xf>
    <xf fontId="87" fillId="42" borderId="25" numFmtId="0" xfId="0" applyFont="1" applyFill="1" applyBorder="1" applyAlignment="1">
      <alignment horizontal="left" vertical="center"/>
    </xf>
    <xf fontId="87" fillId="42" borderId="20" numFmtId="0" xfId="0" applyFont="1" applyFill="1" applyBorder="1" applyAlignment="1">
      <alignment horizontal="left" vertical="center"/>
    </xf>
    <xf fontId="45" fillId="40" borderId="23" numFmtId="49" xfId="0" applyNumberFormat="1" applyFont="1" applyFill="1" applyBorder="1" applyAlignment="1">
      <alignment horizontal="center" vertical="center"/>
    </xf>
    <xf fontId="45" fillId="40" borderId="23" numFmtId="0" xfId="0" applyFont="1" applyFill="1" applyBorder="1" applyAlignment="1">
      <alignment vertical="center" wrapText="1"/>
    </xf>
    <xf fontId="45" fillId="40" borderId="23" numFmtId="0" xfId="0" applyFont="1" applyFill="1" applyBorder="1" applyAlignment="1">
      <alignment horizontal="left" indent="1" vertical="center" wrapText="1"/>
    </xf>
    <xf fontId="45" fillId="40" borderId="23" numFmtId="0" xfId="0" applyFont="1" applyFill="1" applyBorder="1" applyAlignment="1">
      <alignment horizontal="left" indent="2" vertical="center" wrapText="1"/>
    </xf>
    <xf fontId="45" fillId="0" borderId="23" numFmtId="49" xfId="0" applyNumberFormat="1" applyFont="1" applyBorder="1" applyAlignment="1">
      <alignment horizontal="left" vertical="center" wrapText="1"/>
    </xf>
    <xf fontId="0" fillId="40" borderId="23" numFmtId="0" xfId="0" applyFill="1" applyBorder="1" applyAlignment="1">
      <alignment horizontal="left" vertical="center" wrapText="1"/>
    </xf>
    <xf fontId="0" fillId="36" borderId="23" numFmtId="49" xfId="0" applyNumberFormat="1" applyFill="1" applyBorder="1" applyAlignment="1">
      <alignment horizontal="left" vertical="center" wrapText="1"/>
      <protection locked="0"/>
    </xf>
    <xf fontId="0" fillId="40" borderId="32" numFmtId="0" xfId="0" applyFill="1" applyBorder="1" applyAlignment="1">
      <alignment horizontal="left" vertical="center" wrapText="1"/>
    </xf>
    <xf fontId="22" fillId="40" borderId="32" numFmtId="0" xfId="0" applyFont="1" applyFill="1" applyBorder="1" applyAlignment="1">
      <alignment horizontal="left" vertical="top" wrapText="1"/>
    </xf>
    <xf fontId="0" fillId="0" borderId="23" numFmtId="49" xfId="0" applyNumberFormat="1" applyBorder="1" applyAlignment="1">
      <alignment horizontal="left" indent="1" vertical="center" wrapText="1"/>
    </xf>
    <xf fontId="22" fillId="40" borderId="42" numFmtId="0" xfId="0" applyFont="1" applyFill="1" applyBorder="1" applyAlignment="1">
      <alignment horizontal="left" vertical="top" wrapText="1"/>
    </xf>
    <xf fontId="61" fillId="40" borderId="0" numFmtId="0" xfId="0" applyFont="1" applyFill="1" applyAlignment="1">
      <alignment horizontal="center" vertical="center" wrapText="1"/>
    </xf>
    <xf fontId="0" fillId="39" borderId="23" numFmtId="49" xfId="0" applyNumberFormat="1" applyFill="1" applyBorder="1" applyAlignment="1">
      <alignment horizontal="left" indent="1" vertical="center" wrapText="1"/>
      <protection locked="0"/>
    </xf>
    <xf fontId="22" fillId="39" borderId="21" numFmtId="49" xfId="0" applyNumberFormat="1" applyFont="1" applyFill="1" applyBorder="1" applyAlignment="1">
      <alignment horizontal="left" vertical="center" wrapText="1"/>
      <protection locked="0"/>
    </xf>
    <xf fontId="22" fillId="40" borderId="30" numFmtId="0" xfId="0" applyFont="1" applyFill="1" applyBorder="1" applyAlignment="1">
      <alignment horizontal="left" vertical="top" wrapText="1"/>
    </xf>
    <xf fontId="89" fillId="40" borderId="0" numFmtId="0" xfId="0" applyFont="1" applyFill="1"/>
    <xf fontId="22" fillId="39" borderId="23" numFmtId="49" xfId="0" applyNumberFormat="1" applyFont="1" applyFill="1" applyBorder="1" applyAlignment="1" quotePrefix="1">
      <alignment horizontal="left" vertical="center" wrapText="1"/>
      <protection locked="0"/>
    </xf>
    <xf fontId="22" fillId="36" borderId="23" numFmtId="49" xfId="0" applyNumberFormat="1" applyFont="1" applyFill="1" applyBorder="1" applyAlignment="1">
      <alignment horizontal="left" vertical="center" wrapText="1"/>
      <protection locked="0"/>
    </xf>
    <xf fontId="22" fillId="41" borderId="23" numFmtId="49" xfId="0" applyNumberFormat="1" applyFont="1" applyFill="1" applyBorder="1" applyAlignment="1">
      <alignment horizontal="left" vertical="center" wrapText="1"/>
    </xf>
    <xf fontId="0" fillId="40" borderId="21" numFmtId="0" xfId="0" applyFill="1" applyBorder="1" applyAlignment="1">
      <alignment horizontal="left" indent="1" vertical="center" wrapText="1"/>
    </xf>
    <xf fontId="22" fillId="41" borderId="21" numFmtId="49" xfId="0" applyNumberFormat="1" applyFont="1" applyFill="1" applyBorder="1" applyAlignment="1">
      <alignment horizontal="left" vertical="center" wrapText="1"/>
    </xf>
    <xf fontId="0" fillId="40" borderId="23" numFmtId="0" xfId="0" applyFill="1" applyBorder="1" applyAlignment="1">
      <alignment vertical="top" wrapText="1"/>
    </xf>
    <xf fontId="0" fillId="40" borderId="21" numFmtId="0" xfId="0" applyFill="1" applyBorder="1" applyAlignment="1">
      <alignment horizontal="left" vertical="center" wrapText="1"/>
    </xf>
    <xf fontId="0" fillId="40" borderId="30" numFmtId="0" xfId="0" applyFill="1" applyBorder="1" applyAlignment="1">
      <alignment vertical="center" wrapText="1"/>
    </xf>
    <xf fontId="90" fillId="40" borderId="0" numFmtId="0" xfId="0" applyFont="1" applyFill="1"/>
    <xf fontId="22" fillId="0" borderId="0" numFmtId="0" xfId="0" applyFont="1" applyAlignment="1">
      <alignment vertical="top" wrapText="1"/>
    </xf>
    <xf fontId="71" fillId="0" borderId="0" numFmtId="0" xfId="0" applyFont="1" applyAlignment="1">
      <alignment horizontal="right" vertical="top" wrapText="1"/>
    </xf>
    <xf fontId="71" fillId="0" borderId="0" numFmtId="0" xfId="0" applyFont="1" applyAlignment="1">
      <alignment horizontal="left" indent="1" vertical="top" wrapText="1"/>
    </xf>
    <xf fontId="78" fillId="40" borderId="0" numFmtId="0" xfId="0" applyFont="1" applyFill="1" applyAlignment="1">
      <alignment horizontal="center"/>
    </xf>
    <xf fontId="78" fillId="40" borderId="0" numFmtId="0" xfId="0" applyFont="1" applyFill="1"/>
    <xf fontId="91" fillId="40" borderId="0" numFmtId="0" xfId="0" applyFont="1" applyFill="1" applyAlignment="1">
      <alignment horizontal="right" vertical="center"/>
    </xf>
    <xf fontId="92" fillId="40" borderId="0" numFmtId="0" xfId="0" applyFont="1" applyFill="1" applyAlignment="1">
      <alignment vertical="center"/>
    </xf>
    <xf fontId="91" fillId="40" borderId="0" numFmtId="0" xfId="0" applyFont="1" applyFill="1" applyAlignment="1">
      <alignment horizontal="right" vertical="top"/>
    </xf>
    <xf fontId="92" fillId="40" borderId="0" numFmtId="0" xfId="0" applyFont="1" applyFill="1" applyAlignment="1">
      <alignment vertical="center" wrapText="1"/>
    </xf>
    <xf fontId="49" fillId="40" borderId="0" numFmtId="0" xfId="0" applyFont="1" applyFill="1" applyAlignment="1">
      <alignment horizontal="center" vertical="center" wrapText="1"/>
    </xf>
    <xf fontId="49" fillId="40" borderId="0" numFmtId="0" xfId="0" applyFont="1" applyFill="1" applyAlignment="1">
      <alignment horizontal="right" vertical="center" wrapText="1"/>
    </xf>
    <xf fontId="36" fillId="0" borderId="0" numFmtId="0" xfId="0" applyFont="1" applyAlignment="1">
      <alignment horizontal="left" indent="3" vertical="center" wrapText="1"/>
    </xf>
    <xf fontId="81" fillId="0" borderId="0" numFmtId="0" xfId="0" applyFont="1" applyAlignment="1">
      <alignment horizontal="center" vertical="center" wrapText="1"/>
    </xf>
    <xf fontId="22" fillId="0" borderId="34" numFmtId="0" xfId="0" applyFont="1" applyBorder="1" applyAlignment="1">
      <alignment horizontal="left" indent="1" vertical="center" wrapText="1"/>
    </xf>
    <xf fontId="22" fillId="0" borderId="30" numFmtId="0" xfId="0" applyFont="1" applyBorder="1" applyAlignment="1">
      <alignment horizontal="left" indent="1" vertical="center" wrapText="1"/>
    </xf>
    <xf fontId="22" fillId="0" borderId="35" numFmtId="0" xfId="0" applyFont="1" applyBorder="1" applyAlignment="1">
      <alignment horizontal="left" indent="1" vertical="center" wrapText="1"/>
    </xf>
    <xf fontId="47" fillId="0" borderId="0" numFmtId="0" xfId="0" applyFont="1" applyAlignment="1">
      <alignment vertical="center" wrapText="1"/>
    </xf>
    <xf fontId="93" fillId="40" borderId="0" numFmtId="0" xfId="0" applyFont="1" applyFill="1" applyAlignment="1">
      <alignment horizontal="center" vertical="center" wrapText="1"/>
    </xf>
    <xf fontId="46" fillId="0" borderId="0" numFmtId="0" xfId="0" applyFont="1" applyAlignment="1">
      <alignment horizontal="left" indent="1" vertical="center" wrapText="1"/>
    </xf>
    <xf fontId="22" fillId="0" borderId="0" numFmtId="0" xfId="0" applyFont="1" applyAlignment="1">
      <alignment horizontal="right" vertical="center"/>
    </xf>
    <xf fontId="0" fillId="0" borderId="21" numFmtId="0" xfId="0" applyBorder="1" applyAlignment="1">
      <alignment horizontal="center" vertical="center" wrapText="1"/>
    </xf>
    <xf fontId="0" fillId="0" borderId="25" numFmtId="0" xfId="0" applyBorder="1" applyAlignment="1">
      <alignment horizontal="center" vertical="center" wrapText="1"/>
    </xf>
    <xf fontId="0" fillId="0" borderId="20" numFmtId="0" xfId="0" applyBorder="1" applyAlignment="1">
      <alignment horizontal="center" vertical="center" wrapText="1"/>
    </xf>
    <xf fontId="0" fillId="0" borderId="32" numFmtId="0" xfId="0" applyBorder="1" applyAlignment="1">
      <alignment horizontal="center" vertical="center" wrapText="1"/>
    </xf>
    <xf fontId="0" fillId="0" borderId="33" numFmtId="0" xfId="0" applyBorder="1" applyAlignment="1">
      <alignment horizontal="center" vertical="center" wrapText="1"/>
    </xf>
    <xf fontId="0" fillId="0" borderId="27" numFmtId="0" xfId="0" applyBorder="1" applyAlignment="1">
      <alignment horizontal="center" vertical="center" wrapText="1"/>
    </xf>
    <xf fontId="0" fillId="0" borderId="30" numFmtId="0" xfId="0" applyBorder="1" applyAlignment="1">
      <alignment horizontal="center" vertical="center" wrapText="1"/>
    </xf>
    <xf fontId="0" fillId="0" borderId="35" numFmtId="0" xfId="0" applyBorder="1" applyAlignment="1">
      <alignment horizontal="center" vertical="center" wrapText="1"/>
    </xf>
    <xf fontId="0" fillId="0" borderId="34" numFmtId="0" xfId="0" applyBorder="1" applyAlignment="1">
      <alignment horizontal="center" vertical="center" wrapText="1"/>
    </xf>
    <xf fontId="67" fillId="40" borderId="0" numFmtId="0" xfId="0" applyFont="1" applyFill="1" applyAlignment="1">
      <alignment horizontal="center" vertical="center" wrapText="1"/>
    </xf>
    <xf fontId="67" fillId="40" borderId="0" numFmtId="49" xfId="0" applyNumberFormat="1" applyFont="1" applyFill="1" applyAlignment="1">
      <alignment horizontal="center" vertical="center" wrapText="1"/>
    </xf>
    <xf fontId="94" fillId="40" borderId="0" numFmtId="0" xfId="0" applyFont="1" applyFill="1" applyAlignment="1">
      <alignment horizontal="center" vertical="center" wrapText="1"/>
    </xf>
    <xf fontId="63" fillId="0" borderId="32" numFmtId="49" xfId="0" applyNumberFormat="1" applyFont="1" applyBorder="1" applyAlignment="1">
      <alignment horizontal="left" vertical="center" wrapText="1"/>
    </xf>
    <xf fontId="63" fillId="0" borderId="23" numFmtId="49" xfId="0" applyNumberFormat="1" applyFont="1" applyBorder="1" applyAlignment="1">
      <alignment horizontal="left" vertical="center" wrapText="1"/>
    </xf>
    <xf fontId="0" fillId="0" borderId="23" numFmtId="49" xfId="0" applyNumberFormat="1" applyBorder="1" applyAlignment="1">
      <alignment vertical="top" wrapText="1"/>
    </xf>
    <xf fontId="0" fillId="0" borderId="23" numFmtId="49" xfId="0" applyNumberFormat="1" applyBorder="1" applyAlignment="1">
      <alignment horizontal="center" vertical="center" wrapText="1"/>
    </xf>
    <xf fontId="22" fillId="41" borderId="21" numFmtId="0" xfId="0" applyFont="1" applyFill="1" applyBorder="1" applyAlignment="1">
      <alignment horizontal="left" vertical="center" wrapText="1"/>
    </xf>
    <xf fontId="67" fillId="40" borderId="23" numFmtId="49" xfId="0" applyNumberFormat="1" applyFont="1" applyFill="1" applyBorder="1" applyAlignment="1">
      <alignment horizontal="center" vertical="center" wrapText="1"/>
    </xf>
    <xf fontId="0" fillId="39" borderId="23" numFmtId="4" xfId="0" applyNumberFormat="1" applyFill="1" applyBorder="1" applyAlignment="1">
      <alignment horizontal="right" vertical="center" wrapText="1"/>
      <protection locked="0"/>
    </xf>
    <xf fontId="0" fillId="39" borderId="23" numFmtId="3" xfId="0" applyNumberFormat="1" applyFill="1" applyBorder="1" applyAlignment="1">
      <alignment horizontal="right" vertical="center" wrapText="1"/>
      <protection locked="0"/>
    </xf>
    <xf fontId="0" fillId="39" borderId="20" numFmtId="4" xfId="0" applyNumberFormat="1" applyFill="1" applyBorder="1" applyAlignment="1">
      <alignment horizontal="right" vertical="center" wrapText="1"/>
      <protection locked="0"/>
    </xf>
    <xf fontId="0" fillId="36" borderId="23" numFmtId="0" xfId="0" applyFill="1" applyBorder="1" applyAlignment="1">
      <alignment horizontal="right" vertical="center" wrapText="1"/>
      <protection locked="0"/>
    </xf>
    <xf fontId="0" fillId="0" borderId="20" numFmtId="3" xfId="0" applyNumberFormat="1" applyBorder="1" applyAlignment="1">
      <alignment horizontal="right" vertical="center" wrapText="1"/>
    </xf>
    <xf fontId="0" fillId="0" borderId="32" numFmtId="0" xfId="0" applyBorder="1" applyAlignment="1">
      <alignment horizontal="left" vertical="top" wrapText="1"/>
    </xf>
    <xf fontId="51" fillId="42" borderId="21" numFmtId="49" xfId="0" applyNumberFormat="1" applyFont="1" applyFill="1" applyBorder="1" applyAlignment="1">
      <alignment horizontal="center" vertical="center"/>
    </xf>
    <xf fontId="70" fillId="42" borderId="25" numFmtId="0" xfId="0" applyFont="1" applyFill="1" applyBorder="1" applyAlignment="1">
      <alignment vertical="center"/>
    </xf>
    <xf fontId="70" fillId="42" borderId="25" numFmtId="49" xfId="0" applyNumberFormat="1" applyFont="1" applyFill="1" applyBorder="1" applyAlignment="1">
      <alignment vertical="center"/>
    </xf>
    <xf fontId="87" fillId="42" borderId="25" numFmtId="49" xfId="0" applyNumberFormat="1" applyFont="1" applyFill="1" applyBorder="1" applyAlignment="1">
      <alignment vertical="center"/>
    </xf>
    <xf fontId="87" fillId="42" borderId="20" numFmtId="49" xfId="0" applyNumberFormat="1" applyFont="1" applyFill="1" applyBorder="1" applyAlignment="1">
      <alignment vertical="center"/>
    </xf>
    <xf fontId="0" fillId="0" borderId="30" numFmtId="0" xfId="0" applyBorder="1" applyAlignment="1">
      <alignment horizontal="left" vertical="top" wrapText="1"/>
    </xf>
    <xf fontId="0" fillId="0" borderId="33" numFmtId="49" xfId="0" applyNumberFormat="1" applyBorder="1" applyAlignment="1">
      <alignment horizontal="center" vertical="center" wrapText="1"/>
    </xf>
    <xf fontId="22" fillId="41" borderId="26" numFmtId="0" xfId="0" applyFont="1" applyFill="1" applyBorder="1" applyAlignment="1">
      <alignment horizontal="left" vertical="center" wrapText="1"/>
    </xf>
    <xf fontId="61" fillId="40" borderId="23" numFmtId="0" xfId="0" applyFont="1" applyFill="1" applyBorder="1" applyAlignment="1">
      <alignment horizontal="center" vertical="center" wrapText="1"/>
    </xf>
    <xf fontId="22" fillId="39" borderId="23" numFmtId="49" xfId="0" applyNumberFormat="1" applyFont="1" applyFill="1" applyBorder="1" applyAlignment="1">
      <alignment horizontal="left" vertical="center" wrapText="1"/>
      <protection locked="0"/>
    </xf>
    <xf fontId="22" fillId="39" borderId="23" numFmtId="3" xfId="0" applyNumberFormat="1" applyFont="1" applyFill="1" applyBorder="1" applyAlignment="1">
      <alignment horizontal="right" vertical="center" wrapText="1"/>
      <protection locked="0"/>
    </xf>
    <xf fontId="0" fillId="0" borderId="35" numFmtId="49" xfId="0" applyNumberFormat="1" applyBorder="1" applyAlignment="1">
      <alignment horizontal="center" vertical="center" wrapText="1"/>
    </xf>
    <xf fontId="22" fillId="41" borderId="45" numFmtId="0" xfId="0" applyFont="1" applyFill="1" applyBorder="1" applyAlignment="1">
      <alignment horizontal="left" vertical="center" wrapText="1"/>
    </xf>
    <xf fontId="22" fillId="0" borderId="26" numFmtId="0" xfId="0" applyFont="1" applyBorder="1" applyAlignment="1">
      <alignment horizontal="left" indent="1" vertical="top" wrapText="1"/>
    </xf>
    <xf fontId="46" fillId="40" borderId="0" numFmtId="0" xfId="0" applyFont="1" applyFill="1" applyAlignment="1">
      <alignment horizontal="right" vertical="center"/>
    </xf>
    <xf fontId="46" fillId="40" borderId="0" numFmtId="0" xfId="0" applyFont="1" applyFill="1" applyAlignment="1">
      <alignment horizontal="right" vertical="center" wrapText="1"/>
    </xf>
    <xf fontId="36" fillId="0" borderId="0" numFmtId="0" xfId="0" applyFont="1" applyAlignment="1">
      <alignment horizontal="center" vertical="center" wrapText="1"/>
    </xf>
    <xf fontId="46" fillId="0" borderId="0" numFmtId="4" xfId="0" applyNumberFormat="1" applyFont="1" applyAlignment="1">
      <alignment horizontal="right" vertical="center" wrapText="1"/>
    </xf>
    <xf fontId="67" fillId="40" borderId="25" numFmtId="49" xfId="0" applyNumberFormat="1" applyFont="1" applyFill="1" applyBorder="1" applyAlignment="1">
      <alignment horizontal="center" vertical="center" wrapText="1"/>
    </xf>
    <xf fontId="22" fillId="0" borderId="23" numFmtId="49" xfId="0" applyNumberFormat="1" applyFont="1" applyBorder="1" applyAlignment="1">
      <alignment horizontal="left" vertical="center" wrapText="1"/>
    </xf>
    <xf fontId="61" fillId="40" borderId="29" numFmtId="0" xfId="0" applyFont="1" applyFill="1" applyBorder="1" applyAlignment="1">
      <alignment vertical="top" wrapText="1"/>
    </xf>
    <xf fontId="22" fillId="42" borderId="25" numFmtId="14" xfId="0" applyNumberFormat="1" applyFont="1" applyFill="1" applyBorder="1" applyAlignment="1">
      <alignment horizontal="center" vertical="center" wrapText="1"/>
    </xf>
    <xf fontId="80" fillId="42" borderId="25" numFmtId="14" xfId="0" applyNumberFormat="1" applyFont="1" applyFill="1" applyBorder="1" applyAlignment="1">
      <alignment horizontal="center" vertical="center" wrapText="1"/>
    </xf>
    <xf fontId="55" fillId="42" borderId="20" numFmtId="49" xfId="0" applyNumberFormat="1" applyFont="1" applyFill="1" applyBorder="1" applyAlignment="1">
      <alignment horizontal="left" vertical="center" wrapText="1"/>
    </xf>
    <xf fontId="0" fillId="0" borderId="42" numFmtId="0" xfId="0" applyBorder="1" applyAlignment="1">
      <alignment horizontal="left" vertical="top" wrapText="1"/>
    </xf>
    <xf fontId="45" fillId="0" borderId="0" numFmtId="0" xfId="0" applyFont="1" applyAlignment="1">
      <alignment horizontal="left" vertical="center" wrapText="1"/>
    </xf>
    <xf fontId="45" fillId="0" borderId="0" numFmtId="49" xfId="0" applyNumberFormat="1" applyFont="1" applyAlignment="1">
      <alignment horizontal="left" vertical="center" wrapText="1"/>
    </xf>
    <xf fontId="61" fillId="40" borderId="0" numFmtId="0" xfId="0" applyFont="1" applyFill="1" applyAlignment="1">
      <alignment vertical="top" wrapText="1"/>
    </xf>
    <xf fontId="45" fillId="40" borderId="30" numFmtId="0" xfId="0" applyFont="1" applyFill="1" applyBorder="1" applyAlignment="1">
      <alignment horizontal="center" vertical="center" wrapText="1"/>
    </xf>
    <xf fontId="22" fillId="41" borderId="30" numFmtId="14" xfId="0" applyNumberFormat="1" applyFont="1" applyFill="1" applyBorder="1" applyAlignment="1">
      <alignment horizontal="left" vertical="center" wrapText="1"/>
    </xf>
    <xf fontId="22" fillId="41" borderId="23" numFmtId="14" xfId="0" applyNumberFormat="1" applyFont="1" applyFill="1" applyBorder="1" applyAlignment="1">
      <alignment horizontal="center" vertical="center" wrapText="1"/>
    </xf>
    <xf fontId="55" fillId="39" borderId="23" numFmtId="49" xfId="0" applyNumberFormat="1" applyFont="1" applyFill="1" applyBorder="1" applyAlignment="1">
      <alignment horizontal="left" vertical="center" wrapText="1"/>
      <protection locked="0"/>
    </xf>
    <xf fontId="51" fillId="42" borderId="25" numFmtId="49" xfId="0" applyNumberFormat="1" applyFont="1" applyFill="1" applyBorder="1" applyAlignment="1">
      <alignment horizontal="center" vertical="center"/>
    </xf>
    <xf fontId="87" fillId="42" borderId="25" numFmtId="49" xfId="0" applyNumberFormat="1" applyFont="1" applyFill="1" applyBorder="1" applyAlignment="1">
      <alignment horizontal="left" indent="1" vertical="center"/>
    </xf>
    <xf fontId="87" fillId="42" borderId="20" numFmtId="49" xfId="0" applyNumberFormat="1" applyFont="1" applyFill="1" applyBorder="1" applyAlignment="1">
      <alignment horizontal="left" indent="1" vertical="center"/>
    </xf>
    <xf fontId="93" fillId="0" borderId="0" numFmtId="0" xfId="0" applyFont="1" applyAlignment="1">
      <alignment horizontal="center" vertical="center" wrapText="1"/>
    </xf>
    <xf fontId="71" fillId="0" borderId="0" numFmtId="0" xfId="0" applyFont="1" applyAlignment="1">
      <alignment vertical="top" wrapText="1"/>
    </xf>
    <xf fontId="22" fillId="0" borderId="0" numFmtId="0" xfId="0" applyFont="1" applyAlignment="1">
      <alignment horizontal="right" vertical="top" wrapText="1"/>
    </xf>
    <xf fontId="71" fillId="0" borderId="0" numFmtId="0" xfId="0" applyFont="1" applyAlignment="1">
      <alignment vertical="top"/>
    </xf>
    <xf fontId="95" fillId="0" borderId="0" numFmtId="0" xfId="0" applyFont="1" applyAlignment="1">
      <alignment vertical="center" wrapText="1"/>
    </xf>
    <xf fontId="43" fillId="0" borderId="0" numFmtId="0" xfId="0" applyFont="1" applyAlignment="1">
      <alignment horizontal="left" indent="1" vertical="center"/>
    </xf>
    <xf fontId="43" fillId="0" borderId="23" numFmtId="0" xfId="0" applyFont="1" applyBorder="1" applyAlignment="1">
      <alignment horizontal="center" vertical="center"/>
    </xf>
    <xf fontId="43" fillId="0" borderId="0" numFmtId="0" xfId="0" applyFont="1" applyAlignment="1">
      <alignment horizontal="center" vertical="center"/>
    </xf>
    <xf fontId="43" fillId="0" borderId="0" numFmtId="0" xfId="0" applyFont="1" applyAlignment="1">
      <alignment horizontal="left" vertical="center" wrapText="1"/>
    </xf>
    <xf fontId="22" fillId="0" borderId="29" numFmtId="49" xfId="0" applyNumberFormat="1" applyFont="1" applyBorder="1" applyAlignment="1">
      <alignment vertical="top"/>
    </xf>
    <xf fontId="22" fillId="40" borderId="23" numFmtId="0" xfId="0" applyFont="1" applyFill="1" applyBorder="1" applyAlignment="1">
      <alignment horizontal="left" vertical="center" wrapText="1"/>
    </xf>
    <xf fontId="22" fillId="0" borderId="23" numFmtId="0" xfId="0" applyFont="1" applyBorder="1" applyAlignment="1">
      <alignment vertical="center" wrapText="1"/>
    </xf>
    <xf fontId="22" fillId="0" borderId="23" numFmtId="0" xfId="0" applyFont="1" applyBorder="1" applyAlignment="1">
      <alignment horizontal="left" indent="6" vertical="center" wrapText="1"/>
    </xf>
    <xf fontId="22" fillId="38" borderId="21" numFmtId="0" xfId="0" applyFont="1" applyFill="1" applyBorder="1" applyAlignment="1">
      <alignment horizontal="left" vertical="center" wrapText="1"/>
    </xf>
    <xf fontId="22" fillId="38" borderId="25" numFmtId="0" xfId="0" applyFont="1" applyFill="1" applyBorder="1" applyAlignment="1">
      <alignment horizontal="left" vertical="center" wrapText="1"/>
    </xf>
    <xf fontId="22" fillId="38" borderId="20" numFmtId="0" xfId="0" applyFont="1" applyFill="1" applyBorder="1" applyAlignment="1">
      <alignment horizontal="left" vertical="center" wrapText="1"/>
    </xf>
    <xf fontId="71" fillId="0" borderId="23" numFmtId="0" xfId="0" applyFont="1" applyBorder="1" applyAlignment="1">
      <alignment vertical="top" wrapText="1"/>
    </xf>
    <xf fontId="43" fillId="0" borderId="21" numFmtId="0" xfId="0" applyFont="1" applyBorder="1" applyAlignment="1">
      <alignment horizontal="center" vertical="center"/>
    </xf>
    <xf fontId="66" fillId="40" borderId="0" numFmtId="0" xfId="0" applyFont="1" applyFill="1" applyAlignment="1">
      <alignment horizontal="center" vertical="center" wrapText="1"/>
    </xf>
    <xf fontId="22" fillId="0" borderId="29" numFmtId="0" xfId="0" applyFont="1" applyBorder="1" applyAlignment="1">
      <alignment vertical="center" wrapText="1"/>
    </xf>
    <xf fontId="22" fillId="40" borderId="23" numFmtId="0" xfId="0" applyFont="1" applyFill="1" applyBorder="1" applyAlignment="1">
      <alignment horizontal="left" indent="1" vertical="center" wrapText="1"/>
    </xf>
    <xf fontId="61" fillId="0" borderId="0" numFmtId="0" xfId="0" applyFont="1" applyAlignment="1">
      <alignment vertical="center" wrapText="1"/>
    </xf>
    <xf fontId="22" fillId="40" borderId="23" numFmtId="0" xfId="0" applyFont="1" applyFill="1" applyBorder="1" applyAlignment="1">
      <alignment horizontal="left" indent="2" vertical="center" wrapText="1"/>
    </xf>
    <xf fontId="22" fillId="40" borderId="23" numFmtId="0" xfId="0" applyFont="1" applyFill="1" applyBorder="1" applyAlignment="1">
      <alignment horizontal="left" indent="3" vertical="center" wrapText="1"/>
    </xf>
    <xf fontId="43" fillId="0" borderId="23" numFmtId="0" xfId="0" applyFont="1" applyBorder="1" applyAlignment="1">
      <alignment horizontal="center" vertical="center" wrapText="1"/>
    </xf>
    <xf fontId="45" fillId="0" borderId="29" numFmtId="0" xfId="0" applyFont="1" applyBorder="1" applyAlignment="1">
      <alignment horizontal="center" vertical="center" wrapText="1"/>
    </xf>
    <xf fontId="22" fillId="40" borderId="23" numFmtId="0" xfId="0" applyFont="1" applyFill="1" applyBorder="1" applyAlignment="1">
      <alignment horizontal="left" indent="4" vertical="center" wrapText="1"/>
    </xf>
    <xf fontId="22" fillId="41" borderId="25" numFmtId="0" xfId="0" applyFont="1" applyFill="1" applyBorder="1" applyAlignment="1">
      <alignment horizontal="left" vertical="center" wrapText="1"/>
    </xf>
    <xf fontId="22" fillId="41" borderId="20" numFmtId="0" xfId="0" applyFont="1" applyFill="1" applyBorder="1" applyAlignment="1">
      <alignment horizontal="left" vertical="center" wrapText="1"/>
    </xf>
    <xf fontId="43" fillId="0" borderId="21" numFmtId="0" xfId="0" applyFont="1" applyBorder="1" applyAlignment="1">
      <alignment horizontal="center" vertical="center" wrapText="1"/>
    </xf>
    <xf fontId="45" fillId="0" borderId="29" numFmtId="0" xfId="0" applyFont="1" applyBorder="1" applyAlignment="1">
      <alignment vertical="center" wrapText="1"/>
    </xf>
    <xf fontId="22" fillId="40" borderId="23" numFmtId="0" xfId="0" applyFont="1" applyFill="1" applyBorder="1" applyAlignment="1">
      <alignment horizontal="left" indent="5" vertical="center" wrapText="1"/>
    </xf>
    <xf fontId="22" fillId="41" borderId="23" numFmtId="0" xfId="0" applyFont="1" applyFill="1" applyBorder="1" applyAlignment="1">
      <alignment horizontal="left" indent="6" vertical="center" wrapText="1"/>
    </xf>
    <xf fontId="22" fillId="36" borderId="23" numFmtId="4" xfId="0" applyNumberFormat="1" applyFont="1" applyFill="1" applyBorder="1" applyAlignment="1">
      <alignment horizontal="right" vertical="center" wrapText="1"/>
      <protection locked="0"/>
    </xf>
    <xf fontId="22" fillId="0" borderId="23" numFmtId="4" xfId="0" applyNumberFormat="1" applyFont="1" applyBorder="1" applyAlignment="1">
      <alignment horizontal="right" vertical="center" wrapText="1"/>
    </xf>
    <xf fontId="22" fillId="36" borderId="23" numFmtId="166" xfId="0" applyNumberFormat="1" applyFont="1" applyFill="1" applyBorder="1" applyAlignment="1">
      <alignment horizontal="right" vertical="center" wrapText="1"/>
      <protection locked="0"/>
    </xf>
    <xf fontId="0" fillId="39" borderId="23" numFmtId="168" xfId="0" applyNumberFormat="1" applyFill="1" applyBorder="1" applyAlignment="1">
      <alignment horizontal="center" vertical="center" wrapText="1"/>
      <protection locked="0"/>
    </xf>
    <xf fontId="71" fillId="0" borderId="32" numFmtId="0" xfId="0" applyFont="1" applyBorder="1" applyAlignment="1">
      <alignment horizontal="left" vertical="top" wrapText="1"/>
    </xf>
    <xf fontId="45" fillId="0" borderId="23" numFmtId="4" xfId="0" applyNumberFormat="1" applyFont="1" applyBorder="1" applyAlignment="1">
      <alignment horizontal="center" vertical="center" wrapText="1"/>
    </xf>
    <xf fontId="0" fillId="39" borderId="23" numFmtId="49" xfId="0" applyNumberFormat="1" applyFill="1" applyBorder="1" applyAlignment="1">
      <alignment horizontal="center" vertical="center" wrapText="1"/>
      <protection locked="0"/>
    </xf>
    <xf fontId="71" fillId="0" borderId="42" numFmtId="0" xfId="0" applyFont="1" applyBorder="1" applyAlignment="1">
      <alignment horizontal="left" vertical="top" wrapText="1"/>
    </xf>
    <xf fontId="87" fillId="42" borderId="21" numFmtId="49" xfId="0" applyNumberFormat="1" applyFont="1" applyFill="1" applyBorder="1" applyAlignment="1">
      <alignment horizontal="left" vertical="center"/>
    </xf>
    <xf fontId="70" fillId="42" borderId="25" numFmtId="49" xfId="0" applyNumberFormat="1" applyFont="1" applyFill="1" applyBorder="1" applyAlignment="1">
      <alignment horizontal="left" indent="6" vertical="center"/>
    </xf>
    <xf fontId="22" fillId="42" borderId="20" numFmtId="49" xfId="0" applyNumberFormat="1" applyFont="1" applyFill="1" applyBorder="1" applyAlignment="1">
      <alignment horizontal="center" vertical="center" wrapText="1"/>
    </xf>
    <xf fontId="71" fillId="0" borderId="30" numFmtId="0" xfId="0" applyFont="1" applyBorder="1" applyAlignment="1">
      <alignment horizontal="left" vertical="top" wrapText="1"/>
    </xf>
    <xf fontId="70" fillId="42" borderId="25" numFmtId="49" xfId="0" applyNumberFormat="1" applyFont="1" applyFill="1" applyBorder="1" applyAlignment="1">
      <alignment horizontal="left" indent="5" vertical="center"/>
    </xf>
    <xf fontId="0" fillId="42" borderId="25" numFmtId="49" xfId="0" applyNumberFormat="1" applyFill="1" applyBorder="1" applyAlignment="1">
      <alignment horizontal="center" vertical="center" wrapText="1"/>
    </xf>
    <xf fontId="0" fillId="42" borderId="20" numFmtId="49" xfId="0" applyNumberFormat="1" applyFill="1" applyBorder="1" applyAlignment="1">
      <alignment horizontal="center" vertical="center" wrapText="1"/>
    </xf>
    <xf fontId="95" fillId="0" borderId="0" numFmtId="49" xfId="0" applyNumberFormat="1" applyFont="1" applyAlignment="1">
      <alignment vertical="top"/>
    </xf>
    <xf fontId="70" fillId="42" borderId="25" numFmtId="49" xfId="0" applyNumberFormat="1" applyFont="1" applyFill="1" applyBorder="1" applyAlignment="1">
      <alignment horizontal="left" indent="4" vertical="center"/>
    </xf>
    <xf fontId="96" fillId="0" borderId="0" numFmtId="49" xfId="0" applyNumberFormat="1" applyFont="1" applyAlignment="1">
      <alignment vertical="top"/>
    </xf>
    <xf fontId="97" fillId="0" borderId="26" numFmtId="49" xfId="0" applyNumberFormat="1" applyFont="1" applyBorder="1" applyAlignment="1">
      <alignment horizontal="left" vertical="center"/>
    </xf>
    <xf fontId="45" fillId="0" borderId="26" numFmtId="49" xfId="0" applyNumberFormat="1" applyFont="1" applyBorder="1" applyAlignment="1">
      <alignment horizontal="left" indent="3" vertical="center"/>
    </xf>
    <xf fontId="45" fillId="0" borderId="26" numFmtId="49" xfId="0" applyNumberFormat="1" applyFont="1" applyBorder="1" applyAlignment="1">
      <alignment horizontal="center" vertical="center" wrapText="1"/>
    </xf>
    <xf fontId="45" fillId="0" borderId="0" numFmtId="49" xfId="0" applyNumberFormat="1" applyFont="1" applyAlignment="1">
      <alignment horizontal="left" vertical="center"/>
    </xf>
    <xf fontId="97" fillId="0" borderId="0" numFmtId="49" xfId="0" applyNumberFormat="1" applyFont="1" applyAlignment="1">
      <alignment horizontal="left" vertical="center"/>
    </xf>
    <xf fontId="45" fillId="0" borderId="0" numFmtId="49" xfId="0" applyNumberFormat="1" applyFont="1" applyAlignment="1">
      <alignment horizontal="left" indent="2" vertical="center"/>
    </xf>
    <xf fontId="45" fillId="0" borderId="0" numFmtId="49" xfId="0" applyNumberFormat="1" applyFont="1" applyAlignment="1">
      <alignment horizontal="center" vertical="center" wrapText="1"/>
    </xf>
    <xf fontId="45" fillId="0" borderId="0" numFmtId="49" xfId="0" applyNumberFormat="1" applyFont="1" applyAlignment="1">
      <alignment horizontal="left" indent="1" vertical="center"/>
    </xf>
    <xf fontId="43" fillId="0" borderId="23" numFmtId="4" xfId="0" applyNumberFormat="1" applyFont="1" applyBorder="1" applyAlignment="1">
      <alignment horizontal="right" vertical="center" wrapText="1"/>
    </xf>
    <xf fontId="43" fillId="0" borderId="23" numFmtId="166" xfId="0" applyNumberFormat="1" applyFont="1" applyBorder="1" applyAlignment="1">
      <alignment horizontal="right" vertical="center" wrapText="1"/>
    </xf>
    <xf fontId="43" fillId="0" borderId="23" numFmtId="168" xfId="0" applyNumberFormat="1" applyFont="1" applyBorder="1" applyAlignment="1">
      <alignment horizontal="center" vertical="center" wrapText="1"/>
    </xf>
    <xf fontId="43" fillId="0" borderId="23" numFmtId="49" xfId="0" applyNumberFormat="1" applyFont="1" applyBorder="1" applyAlignment="1">
      <alignment horizontal="center" vertical="center" wrapText="1"/>
    </xf>
    <xf fontId="43" fillId="0" borderId="23" numFmtId="49" xfId="0" applyNumberFormat="1" applyFont="1" applyBorder="1" applyAlignment="1">
      <alignment vertical="center" wrapText="1"/>
    </xf>
    <xf fontId="98" fillId="0" borderId="0" numFmtId="0" xfId="0" applyFont="1" applyAlignment="1">
      <alignment vertical="center" wrapText="1"/>
    </xf>
    <xf fontId="95" fillId="40" borderId="0" numFmtId="0" xfId="0" applyFont="1" applyFill="1" applyAlignment="1">
      <alignment vertical="center" wrapText="1"/>
    </xf>
    <xf fontId="22" fillId="40" borderId="0" numFmtId="0" xfId="0" applyFont="1" applyFill="1" applyAlignment="1">
      <alignment horizontal="left" vertical="center" wrapText="1"/>
    </xf>
    <xf fontId="51" fillId="40" borderId="0" numFmtId="0" xfId="0" applyFont="1" applyFill="1" applyAlignment="1">
      <alignment horizontal="center" vertical="center" wrapText="1"/>
    </xf>
    <xf fontId="0" fillId="40" borderId="23" numFmtId="0" xfId="0" applyFill="1" applyBorder="1" applyAlignment="1">
      <alignment horizontal="right" indent="1" vertical="center" wrapText="1"/>
    </xf>
    <xf fontId="0" fillId="0" borderId="25" numFmtId="0" xfId="0" applyBorder="1" applyAlignment="1">
      <alignment vertical="center"/>
    </xf>
    <xf fontId="22" fillId="38" borderId="23" numFmtId="0" xfId="0" applyFont="1" applyFill="1" applyBorder="1" applyAlignment="1">
      <alignment horizontal="left" indent="1" vertical="center" wrapText="1"/>
    </xf>
    <xf fontId="99" fillId="0" borderId="0" numFmtId="0" xfId="0" applyFont="1" applyAlignment="1">
      <alignment vertical="center"/>
    </xf>
    <xf fontId="22" fillId="38" borderId="23" numFmtId="168" xfId="0" applyNumberFormat="1" applyFont="1" applyFill="1" applyBorder="1" applyAlignment="1">
      <alignment horizontal="left" indent="1" vertical="center" wrapText="1"/>
    </xf>
    <xf fontId="22" fillId="40" borderId="45" numFmtId="0" xfId="0" applyFont="1" applyFill="1" applyBorder="1" applyAlignment="1">
      <alignment vertical="center" wrapText="1"/>
    </xf>
    <xf fontId="61" fillId="0" borderId="45" numFmtId="0" xfId="0" applyFont="1" applyBorder="1" applyAlignment="1">
      <alignment horizontal="center" vertical="center" wrapText="1"/>
    </xf>
    <xf fontId="22" fillId="0" borderId="32" numFmtId="0" xfId="0" applyFont="1" applyBorder="1" applyAlignment="1">
      <alignment vertical="center" wrapText="1"/>
    </xf>
    <xf fontId="0" fillId="40" borderId="21" numFmtId="0" xfId="0" applyFill="1" applyBorder="1" applyAlignment="1">
      <alignment horizontal="center" vertical="center" wrapText="1"/>
    </xf>
    <xf fontId="0" fillId="40" borderId="25" numFmtId="0" xfId="0" applyFill="1" applyBorder="1" applyAlignment="1">
      <alignment horizontal="center" vertical="center" wrapText="1"/>
    </xf>
    <xf fontId="0" fillId="40" borderId="20" numFmtId="0" xfId="0" applyFill="1" applyBorder="1" applyAlignment="1">
      <alignment horizontal="center" vertical="center" wrapText="1"/>
    </xf>
    <xf fontId="22" fillId="40" borderId="32" numFmtId="0" xfId="0" applyFont="1" applyFill="1" applyBorder="1" applyAlignment="1">
      <alignment horizontal="center" vertical="center" wrapText="1"/>
    </xf>
    <xf fontId="70" fillId="42" borderId="32" numFmtId="49" xfId="0" applyNumberFormat="1" applyFont="1" applyFill="1" applyBorder="1" applyAlignment="1">
      <alignment horizontal="center" textRotation="90" vertical="center" wrapText="1"/>
    </xf>
    <xf fontId="22" fillId="0" borderId="42" numFmtId="0" xfId="0" applyFont="1" applyBorder="1" applyAlignment="1">
      <alignment vertical="center" wrapText="1"/>
    </xf>
    <xf fontId="43" fillId="0" borderId="32" numFmtId="0" xfId="0" applyFont="1" applyBorder="1" applyAlignment="1">
      <alignment horizontal="center" vertical="center" wrapText="1"/>
    </xf>
    <xf fontId="22" fillId="40" borderId="42" numFmtId="0" xfId="0" applyFont="1" applyFill="1" applyBorder="1" applyAlignment="1">
      <alignment horizontal="center" vertical="center" wrapText="1"/>
    </xf>
    <xf fontId="70" fillId="42" borderId="42" numFmtId="49" xfId="0" applyNumberFormat="1" applyFont="1" applyFill="1" applyBorder="1" applyAlignment="1">
      <alignment horizontal="center" textRotation="90" vertical="center" wrapText="1"/>
    </xf>
    <xf fontId="22" fillId="0" borderId="30" numFmtId="0" xfId="0" applyFont="1" applyBorder="1" applyAlignment="1">
      <alignment vertical="center" wrapText="1"/>
    </xf>
    <xf fontId="43" fillId="0" borderId="30" numFmtId="0" xfId="0" applyFont="1" applyBorder="1" applyAlignment="1">
      <alignment horizontal="center" vertical="center" wrapText="1"/>
    </xf>
    <xf fontId="22" fillId="40" borderId="30" numFmtId="0" xfId="0" applyFont="1" applyFill="1" applyBorder="1" applyAlignment="1">
      <alignment horizontal="center" vertical="center" wrapText="1"/>
    </xf>
    <xf fontId="70" fillId="42" borderId="30" numFmtId="49" xfId="0" applyNumberFormat="1" applyFont="1" applyFill="1" applyBorder="1" applyAlignment="1">
      <alignment horizontal="center" textRotation="90" vertical="center" wrapText="1"/>
    </xf>
    <xf fontId="63" fillId="0" borderId="0" numFmtId="49" xfId="0" applyNumberFormat="1" applyFont="1" applyAlignment="1">
      <alignment vertical="center" wrapText="1"/>
    </xf>
    <xf fontId="100" fillId="40" borderId="0" numFmtId="0" xfId="0" applyFont="1" applyFill="1" applyAlignment="1">
      <alignment vertical="center" wrapText="1"/>
    </xf>
    <xf fontId="96" fillId="40" borderId="0" numFmtId="0" xfId="0" applyFont="1" applyFill="1" applyAlignment="1">
      <alignment vertical="center" wrapText="1"/>
    </xf>
    <xf fontId="94" fillId="40" borderId="26" numFmtId="49" xfId="0" applyNumberFormat="1" applyFont="1" applyFill="1" applyBorder="1" applyAlignment="1">
      <alignment horizontal="left" vertical="center" wrapText="1"/>
    </xf>
    <xf fontId="94" fillId="40" borderId="26" numFmtId="49" xfId="0" applyNumberFormat="1" applyFont="1" applyFill="1" applyBorder="1" applyAlignment="1">
      <alignment horizontal="center" vertical="center" wrapText="1"/>
    </xf>
    <xf fontId="45" fillId="40" borderId="26" numFmtId="0" xfId="0" applyFont="1" applyFill="1" applyBorder="1" applyAlignment="1">
      <alignment horizontal="center" vertical="center" wrapText="1"/>
    </xf>
    <xf fontId="94" fillId="40" borderId="26" numFmtId="0" xfId="0" applyFont="1" applyFill="1" applyBorder="1" applyAlignment="1">
      <alignment horizontal="center" vertical="center" wrapText="1"/>
    </xf>
    <xf fontId="0" fillId="39" borderId="32" numFmtId="168" xfId="0" applyNumberFormat="1" applyFill="1" applyBorder="1" applyAlignment="1">
      <alignment horizontal="center" vertical="center" wrapText="1"/>
      <protection locked="0"/>
    </xf>
    <xf fontId="22" fillId="0" borderId="32" numFmtId="4" xfId="0" applyNumberFormat="1" applyFont="1" applyBorder="1" applyAlignment="1">
      <alignment horizontal="right" vertical="center" wrapText="1"/>
    </xf>
    <xf fontId="0" fillId="39" borderId="30" numFmtId="49" xfId="0" applyNumberFormat="1" applyFill="1" applyBorder="1" applyAlignment="1">
      <alignment horizontal="center" vertical="center" wrapText="1"/>
      <protection locked="0"/>
    </xf>
    <xf fontId="22" fillId="0" borderId="30" numFmtId="4" xfId="0" applyNumberFormat="1" applyFont="1" applyBorder="1" applyAlignment="1">
      <alignment horizontal="right" vertical="center" wrapText="1"/>
    </xf>
    <xf fontId="22" fillId="0" borderId="0" numFmtId="0" xfId="0" applyFont="1" applyAlignment="1">
      <alignment horizontal="left" vertical="top" wrapText="1"/>
    </xf>
    <xf fontId="22" fillId="0" borderId="23" numFmtId="0" xfId="0" applyFont="1" applyBorder="1" applyAlignment="1">
      <alignment horizontal="center" vertical="center"/>
    </xf>
    <xf fontId="22" fillId="0" borderId="21" numFmtId="0" xfId="0" applyFont="1" applyBorder="1" applyAlignment="1">
      <alignment horizontal="center" vertical="center"/>
    </xf>
    <xf fontId="63" fillId="0" borderId="0" numFmtId="0" xfId="0" applyFont="1" applyAlignment="1">
      <alignment horizontal="left" indent="1" vertical="center"/>
    </xf>
    <xf fontId="63" fillId="0" borderId="0" numFmtId="0" xfId="0" applyFont="1" applyAlignment="1">
      <alignment horizontal="center" vertical="center"/>
    </xf>
    <xf fontId="63" fillId="0" borderId="0" numFmtId="0" xfId="0" applyFont="1" applyAlignment="1">
      <alignment horizontal="left" vertical="center" wrapText="1"/>
    </xf>
    <xf fontId="63" fillId="0" borderId="0" numFmtId="49" xfId="0" applyNumberFormat="1" applyFont="1" applyAlignment="1">
      <alignment horizontal="left" vertical="center"/>
    </xf>
    <xf fontId="22" fillId="0" borderId="23" numFmtId="49" xfId="0" applyNumberFormat="1" applyFont="1" applyBorder="1" applyAlignment="1">
      <alignment vertical="center" wrapText="1"/>
    </xf>
    <xf fontId="22" fillId="0" borderId="0" numFmtId="49" xfId="0" applyNumberFormat="1" applyFont="1" applyAlignment="1">
      <alignment horizontal="left" vertical="center"/>
    </xf>
    <xf fontId="22" fillId="0" borderId="23" numFmtId="166" xfId="0" applyNumberFormat="1" applyFont="1" applyBorder="1" applyAlignment="1">
      <alignment horizontal="right" vertical="center" wrapText="1"/>
    </xf>
    <xf fontId="0" fillId="40" borderId="26" numFmtId="0" xfId="0" applyFill="1" applyBorder="1" applyAlignment="1">
      <alignment horizontal="center" vertical="center" wrapText="1"/>
    </xf>
    <xf fontId="45" fillId="0" borderId="32" numFmtId="0" xfId="0" applyFont="1" applyBorder="1" applyAlignment="1">
      <alignment horizontal="center" vertical="center" wrapText="1"/>
    </xf>
    <xf fontId="45" fillId="0" borderId="23" numFmtId="0" xfId="0" applyFont="1" applyBorder="1" applyAlignment="1">
      <alignment horizontal="left" indent="4" vertical="center" wrapText="1"/>
    </xf>
    <xf fontId="45" fillId="0" borderId="23" numFmtId="0" xfId="0" applyFont="1" applyBorder="1" applyAlignment="1">
      <alignment horizontal="left" indent="6" vertical="center" wrapText="1"/>
    </xf>
    <xf fontId="45" fillId="0" borderId="21" numFmtId="0" xfId="0" applyFont="1" applyBorder="1" applyAlignment="1">
      <alignment horizontal="left" vertical="center" wrapText="1"/>
    </xf>
    <xf fontId="45" fillId="0" borderId="25" numFmtId="0" xfId="0" applyFont="1" applyBorder="1" applyAlignment="1">
      <alignment horizontal="left" vertical="center" wrapText="1"/>
    </xf>
    <xf fontId="45" fillId="0" borderId="20" numFmtId="0" xfId="0" applyFont="1" applyBorder="1" applyAlignment="1">
      <alignment horizontal="left" vertical="center" wrapText="1"/>
    </xf>
    <xf fontId="45" fillId="0" borderId="23" numFmtId="0" xfId="0" applyFont="1" applyBorder="1" applyAlignment="1">
      <alignment vertical="top" wrapText="1"/>
    </xf>
    <xf fontId="97" fillId="0" borderId="21" numFmtId="49" xfId="0" applyNumberFormat="1" applyFont="1" applyBorder="1" applyAlignment="1">
      <alignment horizontal="left" vertical="center"/>
    </xf>
    <xf fontId="45" fillId="0" borderId="25" numFmtId="49" xfId="0" applyNumberFormat="1" applyFont="1" applyBorder="1" applyAlignment="1">
      <alignment horizontal="left" indent="4" vertical="center"/>
    </xf>
    <xf fontId="45" fillId="0" borderId="25" numFmtId="49" xfId="0" applyNumberFormat="1" applyFont="1" applyBorder="1" applyAlignment="1">
      <alignment horizontal="center" vertical="center" wrapText="1"/>
    </xf>
    <xf fontId="45" fillId="0" borderId="20" numFmtId="49" xfId="0" applyNumberFormat="1" applyFont="1" applyBorder="1" applyAlignment="1">
      <alignment horizontal="center" vertical="center" wrapText="1"/>
    </xf>
    <xf fontId="45" fillId="0" borderId="0" numFmtId="49" xfId="0" applyNumberFormat="1" applyFont="1" applyAlignment="1">
      <alignment vertical="center" wrapText="1"/>
    </xf>
    <xf fontId="43" fillId="0" borderId="0" numFmtId="0" xfId="0" applyFont="1" applyAlignment="1">
      <alignment vertical="top" wrapText="1"/>
    </xf>
    <xf fontId="22" fillId="40" borderId="32" numFmtId="0" xfId="0" applyFont="1" applyFill="1" applyBorder="1" applyAlignment="1">
      <alignment horizontal="left" vertical="center" wrapText="1"/>
    </xf>
    <xf fontId="22" fillId="40" borderId="32" numFmtId="0" xfId="0" applyFont="1" applyFill="1" applyBorder="1" applyAlignment="1">
      <alignment horizontal="left" indent="2" vertical="center" wrapText="1"/>
    </xf>
    <xf fontId="22" fillId="0" borderId="32" numFmtId="0" xfId="0" applyFont="1" applyBorder="1" applyAlignment="1">
      <alignment horizontal="left" indent="6" vertical="center" wrapText="1"/>
    </xf>
    <xf fontId="22" fillId="38" borderId="33" numFmtId="0" xfId="0" applyFont="1" applyFill="1" applyBorder="1" applyAlignment="1">
      <alignment horizontal="left" vertical="center" wrapText="1"/>
    </xf>
    <xf fontId="22" fillId="38" borderId="26" numFmtId="0" xfId="0" applyFont="1" applyFill="1" applyBorder="1" applyAlignment="1">
      <alignment horizontal="left" vertical="center" wrapText="1"/>
    </xf>
    <xf fontId="22" fillId="38" borderId="27" numFmtId="0" xfId="0" applyFont="1" applyFill="1" applyBorder="1" applyAlignment="1">
      <alignment horizontal="left" vertical="center" wrapText="1"/>
    </xf>
    <xf fontId="22" fillId="38" borderId="23" numFmtId="0" xfId="0" applyFont="1" applyFill="1" applyBorder="1" applyAlignment="1">
      <alignment horizontal="left" vertical="center" wrapText="1"/>
    </xf>
    <xf fontId="71" fillId="0" borderId="20" numFmtId="0" xfId="0" applyFont="1" applyBorder="1" applyAlignment="1">
      <alignment vertical="top" wrapText="1"/>
    </xf>
    <xf fontId="45" fillId="0" borderId="20" numFmtId="0" xfId="0" applyFont="1" applyBorder="1" applyAlignment="1">
      <alignment vertical="top" wrapText="1"/>
    </xf>
    <xf fontId="22" fillId="41" borderId="23" numFmtId="0" xfId="0" applyFont="1" applyFill="1" applyBorder="1" applyAlignment="1">
      <alignment horizontal="left" vertical="center" wrapText="1"/>
    </xf>
    <xf fontId="22" fillId="40" borderId="30" numFmtId="0" xfId="0" applyFont="1" applyFill="1" applyBorder="1" applyAlignment="1">
      <alignment horizontal="left" vertical="center" wrapText="1"/>
    </xf>
    <xf fontId="22" fillId="41" borderId="30" numFmtId="0" xfId="0" applyFont="1" applyFill="1" applyBorder="1" applyAlignment="1">
      <alignment horizontal="left" indent="6" vertical="center" wrapText="1"/>
    </xf>
    <xf fontId="22" fillId="0" borderId="30" numFmtId="0" xfId="0" applyFont="1" applyBorder="1" applyAlignment="1">
      <alignment horizontal="left" indent="6" vertical="center" wrapText="1"/>
    </xf>
    <xf fontId="22" fillId="36" borderId="30" numFmtId="4" xfId="0" applyNumberFormat="1" applyFont="1" applyFill="1" applyBorder="1" applyAlignment="1">
      <alignment horizontal="right" vertical="center" wrapText="1"/>
      <protection locked="0"/>
    </xf>
    <xf fontId="22" fillId="36" borderId="30" numFmtId="166" xfId="0" applyNumberFormat="1" applyFont="1" applyFill="1" applyBorder="1" applyAlignment="1">
      <alignment horizontal="right" vertical="center" wrapText="1"/>
      <protection locked="0"/>
    </xf>
    <xf fontId="0" fillId="39" borderId="30" numFmtId="168" xfId="0" applyNumberFormat="1" applyFill="1" applyBorder="1" applyAlignment="1">
      <alignment horizontal="center" vertical="center" wrapText="1"/>
      <protection locked="0"/>
    </xf>
    <xf fontId="22" fillId="41" borderId="27" numFmtId="0" xfId="0" applyFont="1" applyFill="1" applyBorder="1" applyAlignment="1">
      <alignment horizontal="left" vertical="center" wrapText="1"/>
    </xf>
    <xf fontId="22" fillId="36" borderId="21" numFmtId="166" xfId="0" applyNumberFormat="1" applyFont="1" applyFill="1" applyBorder="1" applyAlignment="1">
      <alignment horizontal="right" vertical="center" wrapText="1"/>
      <protection locked="0"/>
    </xf>
    <xf fontId="22" fillId="36" borderId="20" numFmtId="4" xfId="0" applyNumberFormat="1" applyFont="1" applyFill="1" applyBorder="1" applyAlignment="1">
      <alignment horizontal="right" vertical="center" wrapText="1"/>
      <protection locked="0"/>
    </xf>
    <xf fontId="71" fillId="0" borderId="32" numFmtId="0" xfId="0" applyFont="1" applyBorder="1" applyAlignment="1">
      <alignment vertical="top" wrapText="1"/>
    </xf>
    <xf fontId="22" fillId="36" borderId="23" numFmtId="0" xfId="0" applyFont="1" applyFill="1" applyBorder="1" applyAlignment="1">
      <alignment horizontal="left" indent="7" vertical="center" wrapText="1"/>
      <protection locked="0"/>
    </xf>
    <xf fontId="45" fillId="0" borderId="21" numFmtId="4" xfId="0" applyNumberFormat="1" applyFont="1" applyBorder="1" applyAlignment="1">
      <alignment horizontal="center" vertical="center" wrapText="1"/>
    </xf>
    <xf fontId="22" fillId="0" borderId="20" numFmtId="4" xfId="0" applyNumberFormat="1" applyFont="1" applyBorder="1" applyAlignment="1">
      <alignment horizontal="right" vertical="center" wrapText="1"/>
    </xf>
    <xf fontId="22" fillId="42" borderId="25" numFmtId="0" xfId="0" applyFont="1" applyFill="1" applyBorder="1" applyAlignment="1">
      <alignment horizontal="left" indent="6" vertical="center" wrapText="1"/>
    </xf>
    <xf fontId="22" fillId="42" borderId="25" numFmtId="4" xfId="0" applyNumberFormat="1" applyFont="1" applyFill="1" applyBorder="1" applyAlignment="1">
      <alignment horizontal="right" vertical="center" wrapText="1"/>
    </xf>
    <xf fontId="45" fillId="42" borderId="25" numFmtId="4" xfId="0" applyNumberFormat="1" applyFont="1" applyFill="1" applyBorder="1" applyAlignment="1">
      <alignment horizontal="center" vertical="center" wrapText="1"/>
    </xf>
    <xf fontId="22" fillId="42" borderId="20" numFmtId="4" xfId="0" applyNumberFormat="1" applyFont="1" applyFill="1" applyBorder="1" applyAlignment="1">
      <alignment horizontal="right" vertical="center" wrapText="1"/>
    </xf>
    <xf fontId="22" fillId="42" borderId="45" numFmtId="49" xfId="0" applyNumberFormat="1" applyFont="1" applyFill="1" applyBorder="1" applyAlignment="1">
      <alignment horizontal="center" vertical="center" wrapText="1"/>
    </xf>
    <xf fontId="22" fillId="0" borderId="26" numFmtId="0" xfId="0" applyFont="1" applyBorder="1" applyAlignment="1">
      <alignment horizontal="center" vertical="center" wrapText="1"/>
    </xf>
    <xf fontId="22" fillId="0" borderId="45" numFmtId="0" xfId="0" applyFont="1" applyBorder="1" applyAlignment="1">
      <alignment horizontal="center" vertical="center" wrapText="1"/>
    </xf>
    <xf fontId="0" fillId="0" borderId="42" numFmtId="0" xfId="0" applyBorder="1" applyAlignment="1">
      <alignment horizontal="center" vertical="center" wrapText="1"/>
    </xf>
    <xf fontId="64" fillId="40" borderId="0" numFmtId="0" xfId="0" applyFont="1" applyFill="1" applyAlignment="1">
      <alignment horizontal="center" vertical="center" wrapText="1"/>
    </xf>
    <xf fontId="45" fillId="0" borderId="23" numFmtId="0" xfId="0" applyFont="1" applyBorder="1" applyAlignment="1">
      <alignment horizontal="left" indent="5" vertical="center" wrapText="1"/>
    </xf>
    <xf fontId="45" fillId="0" borderId="29" numFmtId="0" xfId="0" applyFont="1" applyBorder="1" applyAlignment="1">
      <alignment horizontal="center" vertical="top" wrapText="1"/>
    </xf>
    <xf fontId="22" fillId="39" borderId="32" numFmtId="49" xfId="0" applyNumberFormat="1" applyFont="1" applyFill="1" applyBorder="1" applyAlignment="1">
      <alignment horizontal="left" indent="6" vertical="center" wrapText="1"/>
      <protection locked="0"/>
    </xf>
    <xf fontId="61" fillId="0" borderId="23" numFmtId="0" xfId="0" applyFont="1" applyBorder="1" applyAlignment="1">
      <alignment horizontal="center" vertical="center" wrapText="1"/>
    </xf>
    <xf fontId="22" fillId="0" borderId="23" numFmtId="0" xfId="0" applyFont="1" applyBorder="1" applyAlignment="1">
      <alignment horizontal="left" indent="4" vertical="center" wrapText="1"/>
    </xf>
    <xf fontId="22" fillId="40" borderId="42" numFmtId="0" xfId="0" applyFont="1" applyFill="1" applyBorder="1" applyAlignment="1">
      <alignment horizontal="left" vertical="center" wrapText="1"/>
    </xf>
    <xf fontId="22" fillId="39" borderId="42" numFmtId="49" xfId="0" applyNumberFormat="1" applyFont="1" applyFill="1" applyBorder="1" applyAlignment="1">
      <alignment horizontal="left" indent="6" vertical="center" wrapText="1"/>
      <protection locked="0"/>
    </xf>
    <xf fontId="22" fillId="42" borderId="20" numFmtId="166" xfId="0" applyNumberFormat="1" applyFont="1" applyFill="1" applyBorder="1" applyAlignment="1">
      <alignment horizontal="right" vertical="center" wrapText="1"/>
    </xf>
    <xf fontId="70" fillId="42" borderId="21" numFmtId="49" xfId="0" applyNumberFormat="1" applyFont="1" applyFill="1" applyBorder="1" applyAlignment="1">
      <alignment horizontal="left" vertical="center"/>
    </xf>
    <xf fontId="22" fillId="42" borderId="25" numFmtId="166" xfId="0" applyNumberFormat="1" applyFont="1" applyFill="1" applyBorder="1" applyAlignment="1">
      <alignment horizontal="right" vertical="center" wrapText="1"/>
    </xf>
    <xf fontId="22" fillId="0" borderId="42" numFmtId="4" xfId="0" applyNumberFormat="1" applyFont="1" applyBorder="1" applyAlignment="1">
      <alignment horizontal="right" vertical="center" wrapText="1"/>
    </xf>
    <xf fontId="70" fillId="42" borderId="21" numFmtId="49" xfId="0" applyNumberFormat="1" applyFont="1" applyFill="1" applyBorder="1" applyAlignment="1">
      <alignment horizontal="left" indent="1" vertical="center"/>
    </xf>
    <xf fontId="22" fillId="39" borderId="30" numFmtId="49" xfId="0" applyNumberFormat="1" applyFont="1" applyFill="1" applyBorder="1" applyAlignment="1">
      <alignment horizontal="left" indent="6" vertical="center" wrapText="1"/>
      <protection locked="0"/>
    </xf>
    <xf fontId="45" fillId="42" borderId="20" numFmtId="4" xfId="0" applyNumberFormat="1" applyFont="1" applyFill="1" applyBorder="1" applyAlignment="1">
      <alignment horizontal="center" vertical="center" wrapText="1"/>
    </xf>
    <xf fontId="70" fillId="42" borderId="21" numFmtId="49" xfId="0" applyNumberFormat="1" applyFont="1" applyFill="1" applyBorder="1" applyAlignment="1">
      <alignment vertical="center" wrapText="1"/>
    </xf>
    <xf fontId="70" fillId="42" borderId="25" numFmtId="49" xfId="0" applyNumberFormat="1" applyFont="1" applyFill="1" applyBorder="1" applyAlignment="1">
      <alignment vertical="center" wrapText="1"/>
    </xf>
    <xf fontId="45" fillId="0" borderId="29" numFmtId="49" xfId="0" applyNumberFormat="1" applyFont="1" applyBorder="1" applyAlignment="1">
      <alignment vertical="top"/>
    </xf>
    <xf fontId="101" fillId="0" borderId="0" numFmtId="0" xfId="0" applyFont="1" applyAlignment="1">
      <alignment horizontal="center" vertical="center" wrapText="1"/>
    </xf>
    <xf fontId="45" fillId="0" borderId="0" numFmtId="49" xfId="0" applyNumberFormat="1" applyFont="1" applyAlignment="1">
      <alignment horizontal="left" indent="1" vertical="center" wrapText="1"/>
    </xf>
    <xf fontId="45" fillId="0" borderId="0" numFmtId="0" xfId="0" applyFont="1" applyAlignment="1">
      <alignment horizontal="left" indent="4" vertical="center" wrapText="1"/>
    </xf>
    <xf fontId="45" fillId="0" borderId="29" numFmtId="0" xfId="0" applyFont="1" applyBorder="1" applyAlignment="1">
      <alignment horizontal="left" indent="1" vertical="center" wrapText="1"/>
    </xf>
    <xf fontId="45" fillId="0" borderId="23" numFmtId="4" xfId="0" applyNumberFormat="1" applyFont="1" applyBorder="1" applyAlignment="1">
      <alignment horizontal="right" vertical="center" wrapText="1"/>
    </xf>
    <xf fontId="45" fillId="0" borderId="23" numFmtId="166" xfId="0" applyNumberFormat="1" applyFont="1" applyBorder="1" applyAlignment="1">
      <alignment horizontal="right" vertical="center" wrapText="1"/>
    </xf>
    <xf fontId="45" fillId="0" borderId="23" numFmtId="168" xfId="0" applyNumberFormat="1" applyFont="1" applyBorder="1" applyAlignment="1">
      <alignment horizontal="center" vertical="center" wrapText="1"/>
    </xf>
    <xf fontId="45" fillId="0" borderId="23" numFmtId="49" xfId="0" applyNumberFormat="1" applyFont="1" applyBorder="1" applyAlignment="1">
      <alignment horizontal="center" vertical="center" wrapText="1"/>
    </xf>
    <xf fontId="43" fillId="0" borderId="0" numFmtId="0" xfId="0" applyFont="1" applyAlignment="1">
      <alignment horizontal="left" vertical="center"/>
    </xf>
    <xf fontId="43" fillId="0" borderId="0" numFmtId="49" xfId="0" applyNumberFormat="1" applyFont="1" applyAlignment="1">
      <alignment horizontal="left" vertical="center"/>
    </xf>
    <xf fontId="98" fillId="0" borderId="0" numFmtId="0" xfId="0" applyFont="1" applyAlignment="1">
      <alignment horizontal="left" vertical="center"/>
    </xf>
    <xf fontId="45" fillId="0" borderId="0" numFmtId="0" xfId="0" applyFont="1" applyAlignment="1">
      <alignment horizontal="left" vertical="center"/>
    </xf>
    <xf fontId="98" fillId="40" borderId="0" numFmtId="0" xfId="0" applyFont="1" applyFill="1" applyAlignment="1">
      <alignment vertical="center" wrapText="1"/>
    </xf>
    <xf fontId="22" fillId="40" borderId="33" numFmtId="0" xfId="0" applyFont="1" applyFill="1" applyBorder="1" applyAlignment="1">
      <alignment horizontal="center" vertical="center" wrapText="1"/>
    </xf>
    <xf fontId="0" fillId="40" borderId="33" numFmtId="0" xfId="0" applyFill="1" applyBorder="1" applyAlignment="1">
      <alignment horizontal="center" vertical="center" wrapText="1"/>
    </xf>
    <xf fontId="0" fillId="40" borderId="27" numFmtId="0" xfId="0" applyFill="1" applyBorder="1" applyAlignment="1">
      <alignment horizontal="center" vertical="center" wrapText="1"/>
    </xf>
    <xf fontId="22" fillId="40" borderId="28" numFmtId="0" xfId="0" applyFont="1" applyFill="1" applyBorder="1" applyAlignment="1">
      <alignment horizontal="center" vertical="center" wrapText="1"/>
    </xf>
    <xf fontId="0" fillId="40" borderId="28" numFmtId="0" xfId="0" applyFill="1" applyBorder="1" applyAlignment="1">
      <alignment horizontal="center" vertical="center" wrapText="1"/>
    </xf>
    <xf fontId="0" fillId="40" borderId="0" numFmtId="0" xfId="0" applyFill="1" applyAlignment="1">
      <alignment horizontal="center" vertical="center" wrapText="1"/>
    </xf>
    <xf fontId="0" fillId="40" borderId="29" numFmtId="0" xfId="0" applyFill="1" applyBorder="1" applyAlignment="1">
      <alignment horizontal="center" vertical="center" wrapText="1"/>
    </xf>
    <xf fontId="22" fillId="38" borderId="23" numFmtId="0" xfId="0" applyFont="1" applyFill="1" applyBorder="1" applyAlignment="1">
      <alignment horizontal="center" vertical="center" wrapText="1"/>
    </xf>
    <xf fontId="22" fillId="39" borderId="23" numFmtId="0" xfId="0" applyFont="1" applyFill="1" applyBorder="1" applyAlignment="1">
      <alignment horizontal="center" vertical="center" wrapText="1"/>
      <protection locked="0"/>
    </xf>
    <xf fontId="22" fillId="40" borderId="35" numFmtId="0" xfId="0" applyFont="1" applyFill="1" applyBorder="1" applyAlignment="1">
      <alignment horizontal="center" vertical="center" wrapText="1"/>
    </xf>
    <xf fontId="0" fillId="40" borderId="35" numFmtId="0" xfId="0" applyFill="1" applyBorder="1" applyAlignment="1">
      <alignment horizontal="center" vertical="center" wrapText="1"/>
    </xf>
    <xf fontId="0" fillId="40" borderId="45" numFmtId="0" xfId="0" applyFill="1" applyBorder="1" applyAlignment="1">
      <alignment horizontal="center" vertical="center" wrapText="1"/>
    </xf>
    <xf fontId="0" fillId="40" borderId="34" numFmtId="0" xfId="0" applyFill="1" applyBorder="1" applyAlignment="1">
      <alignment horizontal="center" vertical="center" wrapText="1"/>
    </xf>
    <xf fontId="22" fillId="0" borderId="23" numFmtId="0" xfId="0" applyFont="1" applyBorder="1" applyAlignment="1">
      <alignment horizontal="left" indent="1" vertical="center" wrapText="1"/>
    </xf>
    <xf fontId="22" fillId="42" borderId="21" numFmtId="49" xfId="0" applyNumberFormat="1" applyFont="1" applyFill="1" applyBorder="1" applyAlignment="1">
      <alignment horizontal="center" vertical="center" wrapText="1"/>
    </xf>
    <xf fontId="63" fillId="0" borderId="29" numFmtId="49" xfId="0" applyNumberFormat="1" applyFont="1" applyBorder="1" applyAlignment="1">
      <alignment vertical="top"/>
    </xf>
    <xf fontId="22" fillId="36" borderId="21" numFmtId="0" xfId="0" applyFont="1" applyFill="1" applyBorder="1" applyAlignment="1">
      <alignment horizontal="left" vertical="center" wrapText="1"/>
      <protection locked="0"/>
    </xf>
    <xf fontId="22" fillId="36" borderId="25" numFmtId="0" xfId="0" applyFont="1" applyFill="1" applyBorder="1" applyAlignment="1">
      <alignment horizontal="left" vertical="center" wrapText="1"/>
      <protection locked="0"/>
    </xf>
    <xf fontId="22" fillId="36" borderId="20" numFmtId="0" xfId="0" applyFont="1" applyFill="1" applyBorder="1" applyAlignment="1">
      <alignment horizontal="left" vertical="center" wrapText="1"/>
      <protection locked="0"/>
    </xf>
    <xf fontId="22" fillId="36" borderId="21" numFmtId="49" xfId="0" applyNumberFormat="1" applyFont="1" applyFill="1" applyBorder="1" applyAlignment="1">
      <alignment horizontal="left" vertical="center" wrapText="1"/>
      <protection locked="0"/>
    </xf>
    <xf fontId="22" fillId="36" borderId="25" numFmtId="49" xfId="0" applyNumberFormat="1" applyFont="1" applyFill="1" applyBorder="1" applyAlignment="1">
      <alignment horizontal="left" vertical="center" wrapText="1"/>
      <protection locked="0"/>
    </xf>
    <xf fontId="22" fillId="36" borderId="20" numFmtId="49" xfId="0" applyNumberFormat="1" applyFont="1" applyFill="1" applyBorder="1" applyAlignment="1">
      <alignment horizontal="left" vertical="center" wrapText="1"/>
      <protection locked="0"/>
    </xf>
    <xf fontId="22" fillId="36" borderId="23" numFmtId="49" xfId="0" applyNumberFormat="1" applyFont="1" applyFill="1" applyBorder="1" applyAlignment="1">
      <alignment horizontal="left" indent="6" vertical="center" wrapText="1"/>
      <protection locked="0"/>
    </xf>
    <xf fontId="22" fillId="0" borderId="33" numFmtId="4" xfId="0" applyNumberFormat="1" applyFont="1" applyBorder="1" applyAlignment="1">
      <alignment horizontal="right" vertical="center" wrapText="1"/>
    </xf>
    <xf fontId="71" fillId="0" borderId="23" numFmtId="0" xfId="0" applyFont="1" applyBorder="1" applyAlignment="1">
      <alignment horizontal="left" vertical="top" wrapText="1"/>
    </xf>
    <xf fontId="22" fillId="0" borderId="35" numFmtId="4" xfId="0" applyNumberFormat="1" applyFont="1" applyBorder="1" applyAlignment="1">
      <alignment horizontal="right" vertical="center" wrapText="1"/>
    </xf>
    <xf fontId="0" fillId="42" borderId="34" numFmtId="49" xfId="0" applyNumberFormat="1" applyFill="1" applyBorder="1" applyAlignment="1">
      <alignment horizontal="center" vertical="center" wrapText="1"/>
    </xf>
    <xf fontId="70" fillId="42" borderId="25" numFmtId="49" xfId="0" applyNumberFormat="1" applyFont="1" applyFill="1" applyBorder="1" applyAlignment="1">
      <alignment horizontal="left" indent="3" vertical="center"/>
    </xf>
    <xf fontId="102" fillId="0" borderId="0" numFmtId="0" xfId="0" applyFont="1" applyAlignment="1">
      <alignment vertical="center" wrapText="1"/>
    </xf>
    <xf fontId="22" fillId="36" borderId="32" numFmtId="49" xfId="0" applyNumberFormat="1" applyFont="1" applyFill="1" applyBorder="1" applyAlignment="1">
      <alignment horizontal="left" indent="6" vertical="center" wrapText="1"/>
      <protection locked="0"/>
    </xf>
    <xf fontId="22" fillId="39" borderId="23" numFmtId="4" xfId="0" applyNumberFormat="1" applyFont="1" applyFill="1" applyBorder="1" applyAlignment="1">
      <alignment horizontal="left" indent="1" vertical="center" wrapText="1"/>
      <protection locked="0"/>
    </xf>
    <xf fontId="22" fillId="0" borderId="0" numFmtId="0" xfId="0" applyFont="1" applyAlignment="1">
      <alignment horizontal="left" vertical="center"/>
    </xf>
    <xf fontId="22" fillId="39" borderId="20" numFmtId="0" xfId="0" applyFont="1" applyFill="1" applyBorder="1" applyAlignment="1">
      <alignment horizontal="center" vertical="center" wrapText="1"/>
      <protection locked="0"/>
    </xf>
    <xf fontId="22" fillId="40" borderId="34" numFmtId="0" xfId="0" applyFont="1" applyFill="1" applyBorder="1" applyAlignment="1">
      <alignment horizontal="center" vertical="center" wrapText="1"/>
    </xf>
    <xf fontId="101" fillId="0" borderId="0" numFmtId="0" xfId="0" applyFont="1" applyAlignment="1">
      <alignment vertical="center" wrapText="1"/>
    </xf>
    <xf fontId="101" fillId="40" borderId="0" numFmtId="0" xfId="0" applyFont="1" applyFill="1" applyAlignment="1">
      <alignment horizontal="center" vertical="center" wrapText="1"/>
    </xf>
    <xf fontId="45" fillId="40" borderId="23" numFmtId="0" xfId="0" applyFont="1" applyFill="1" applyBorder="1" applyAlignment="1">
      <alignment horizontal="left" indent="3" vertical="center" wrapText="1"/>
    </xf>
    <xf fontId="22" fillId="39" borderId="23" numFmtId="4" xfId="0" applyNumberFormat="1" applyFont="1" applyFill="1" applyBorder="1" applyAlignment="1">
      <alignment horizontal="center" vertical="center" wrapText="1"/>
      <protection locked="0"/>
    </xf>
    <xf fontId="22" fillId="41" borderId="27" numFmtId="49" xfId="0" applyNumberFormat="1" applyFont="1" applyFill="1" applyBorder="1" applyAlignment="1">
      <alignment horizontal="center" vertical="center" wrapText="1"/>
    </xf>
    <xf fontId="22" fillId="36" borderId="42" numFmtId="49" xfId="0" applyNumberFormat="1" applyFont="1" applyFill="1" applyBorder="1" applyAlignment="1">
      <alignment horizontal="left" indent="6" vertical="center" wrapText="1"/>
      <protection locked="0"/>
    </xf>
    <xf fontId="22" fillId="41" borderId="34" numFmtId="49" xfId="0" applyNumberFormat="1" applyFont="1" applyFill="1" applyBorder="1" applyAlignment="1">
      <alignment horizontal="center" vertical="center" wrapText="1"/>
    </xf>
    <xf fontId="70" fillId="42" borderId="45" numFmtId="49" xfId="0" applyNumberFormat="1" applyFont="1" applyFill="1" applyBorder="1" applyAlignment="1">
      <alignment horizontal="left" vertical="center"/>
    </xf>
    <xf fontId="22" fillId="36" borderId="30" numFmtId="49" xfId="0" applyNumberFormat="1" applyFont="1" applyFill="1" applyBorder="1" applyAlignment="1">
      <alignment horizontal="left" indent="6" vertical="center" wrapText="1"/>
      <protection locked="0"/>
    </xf>
    <xf fontId="45" fillId="0" borderId="26" numFmtId="0" xfId="0" applyFont="1" applyBorder="1" applyAlignment="1">
      <alignment horizontal="left" vertical="center" wrapText="1"/>
    </xf>
    <xf fontId="22" fillId="40" borderId="23" numFmtId="49" xfId="73" applyNumberFormat="1" applyFont="1" applyFill="1" applyBorder="1" applyAlignment="1">
      <alignment horizontal="center" vertical="center" wrapText="1"/>
    </xf>
    <xf fontId="40" fillId="0" borderId="0" numFmtId="49" xfId="0" applyNumberFormat="1" applyFont="1" applyAlignment="1">
      <alignment horizontal="center" vertical="center" wrapText="1"/>
    </xf>
    <xf fontId="68" fillId="0" borderId="0" numFmtId="0" xfId="0" applyFont="1" applyAlignment="1">
      <alignment vertical="center" wrapText="1"/>
    </xf>
    <xf fontId="22" fillId="0" borderId="46" numFmtId="0" xfId="0" applyFont="1" applyBorder="1" applyAlignment="1">
      <alignment horizontal="center" vertical="center" wrapText="1"/>
    </xf>
    <xf fontId="22" fillId="39" borderId="23" numFmtId="0" xfId="0" applyFont="1" applyFill="1" applyBorder="1" applyAlignment="1">
      <alignment horizontal="left" indent="2" vertical="center" wrapText="1"/>
      <protection locked="0"/>
    </xf>
    <xf fontId="103" fillId="0" borderId="0" numFmtId="0" xfId="0" applyFont="1" applyAlignment="1">
      <alignment vertical="center" wrapText="1"/>
    </xf>
    <xf fontId="45" fillId="0" borderId="46" numFmtId="0" xfId="0" applyFont="1" applyBorder="1" applyAlignment="1">
      <alignment horizontal="center" vertical="center" wrapText="1"/>
    </xf>
    <xf fontId="45" fillId="0" borderId="23" numFmtId="0" xfId="0" applyFont="1" applyBorder="1" applyAlignment="1">
      <alignment horizontal="left" indent="2" vertical="center" wrapText="1"/>
    </xf>
    <xf fontId="22" fillId="0" borderId="23" numFmtId="0" xfId="0" applyFont="1" applyBorder="1" applyAlignment="1">
      <alignment horizontal="left" indent="3" vertical="center" wrapText="1"/>
    </xf>
    <xf fontId="22" fillId="39" borderId="23" numFmtId="49" xfId="0" applyNumberFormat="1" applyFont="1" applyFill="1" applyBorder="1" applyAlignment="1">
      <alignment horizontal="center" vertical="center" wrapText="1"/>
      <protection locked="0"/>
    </xf>
    <xf fontId="22" fillId="36" borderId="23" numFmtId="0" xfId="0" applyFont="1" applyFill="1" applyBorder="1" applyAlignment="1">
      <alignment horizontal="left" vertical="center" wrapText="1"/>
      <protection locked="0"/>
    </xf>
    <xf fontId="22" fillId="0" borderId="0" numFmtId="49" xfId="0" applyNumberFormat="1" applyFont="1" applyAlignment="1">
      <alignment horizontal="center" vertical="top" wrapText="1"/>
    </xf>
    <xf fontId="22" fillId="0" borderId="20" numFmtId="0" xfId="0" applyFont="1" applyBorder="1" applyAlignment="1">
      <alignment vertical="top" wrapText="1"/>
    </xf>
    <xf fontId="22" fillId="36" borderId="23" numFmtId="167" xfId="0" applyNumberFormat="1" applyFont="1" applyFill="1" applyBorder="1" applyAlignment="1">
      <alignment horizontal="right" vertical="center" wrapText="1"/>
      <protection locked="0"/>
    </xf>
    <xf fontId="22" fillId="0" borderId="27" numFmtId="0" xfId="0" applyFont="1" applyBorder="1" applyAlignment="1">
      <alignment vertical="center" wrapText="1"/>
    </xf>
    <xf fontId="22" fillId="0" borderId="0" numFmtId="0" xfId="0" applyFont="1" applyAlignment="1">
      <alignment horizontal="left" indent="3" vertical="center" wrapText="1"/>
    </xf>
    <xf fontId="97" fillId="40" borderId="0" numFmtId="0" xfId="0" applyFont="1" applyFill="1" applyAlignment="1">
      <alignment horizontal="right" vertical="center"/>
    </xf>
    <xf fontId="22" fillId="0" borderId="21" numFmtId="0" xfId="0" applyFont="1" applyBorder="1" applyAlignment="1">
      <alignment vertical="center" wrapText="1"/>
    </xf>
    <xf fontId="22" fillId="0" borderId="25" numFmtId="0" xfId="0" applyFont="1" applyBorder="1" applyAlignment="1">
      <alignment horizontal="right" indent="1" vertical="center" wrapText="1"/>
    </xf>
    <xf fontId="22" fillId="0" borderId="20" numFmtId="0" xfId="0" applyFont="1" applyBorder="1" applyAlignment="1">
      <alignment horizontal="right" indent="1" vertical="center" wrapText="1"/>
    </xf>
    <xf fontId="22" fillId="38" borderId="21" numFmtId="0" xfId="0" applyFont="1" applyFill="1" applyBorder="1" applyAlignment="1">
      <alignment horizontal="left" vertical="top" wrapText="1"/>
    </xf>
    <xf fontId="22" fillId="0" borderId="21" numFmtId="0" xfId="0" applyFont="1" applyBorder="1" applyAlignment="1">
      <alignment horizontal="right" vertical="center" wrapText="1"/>
    </xf>
    <xf fontId="22" fillId="0" borderId="25" numFmtId="0" xfId="0" applyFont="1" applyBorder="1" applyAlignment="1">
      <alignment horizontal="right" vertical="center" wrapText="1"/>
    </xf>
    <xf fontId="22" fillId="39" borderId="23" numFmtId="4" xfId="0" applyNumberFormat="1" applyFont="1" applyFill="1" applyBorder="1" applyAlignment="1">
      <alignment horizontal="right" vertical="center" wrapText="1"/>
      <protection locked="0"/>
    </xf>
    <xf fontId="22" fillId="38" borderId="23" numFmtId="4" xfId="0" applyNumberFormat="1" applyFont="1" applyFill="1" applyBorder="1" applyAlignment="1">
      <alignment horizontal="right" vertical="center" wrapText="1"/>
    </xf>
    <xf fontId="40" fillId="35" borderId="0" numFmtId="49" xfId="0" applyNumberFormat="1" applyFont="1" applyFill="1" applyAlignment="1">
      <alignment horizontal="center" textRotation="90" vertical="center" wrapText="1"/>
    </xf>
    <xf fontId="63" fillId="0" borderId="0" numFmtId="0" xfId="0" applyFont="1" applyAlignment="1">
      <alignment horizontal="center" vertical="center" wrapText="1"/>
    </xf>
    <xf fontId="63" fillId="0" borderId="0" numFmtId="49" xfId="0" applyNumberFormat="1" applyFont="1" applyAlignment="1">
      <alignment horizontal="center" vertical="center" wrapText="1"/>
    </xf>
    <xf fontId="63" fillId="0" borderId="46" numFmtId="49" xfId="0" applyNumberFormat="1" applyFont="1" applyBorder="1" applyAlignment="1">
      <alignment horizontal="center" vertical="center" wrapText="1"/>
    </xf>
    <xf fontId="63" fillId="0" borderId="23" numFmtId="0" xfId="0" applyFont="1" applyBorder="1" applyAlignment="1">
      <alignment horizontal="left" indent="2" vertical="center" wrapText="1"/>
    </xf>
    <xf fontId="63" fillId="0" borderId="23" numFmtId="0" xfId="0" applyFont="1" applyBorder="1" applyAlignment="1">
      <alignment horizontal="center" vertical="center" wrapText="1"/>
    </xf>
    <xf fontId="63" fillId="0" borderId="23" numFmtId="0" xfId="0" applyFont="1" applyBorder="1" applyAlignment="1">
      <alignment vertical="center" wrapText="1"/>
    </xf>
    <xf fontId="104" fillId="0" borderId="0" numFmtId="0" xfId="0" applyFont="1" applyAlignment="1">
      <alignment vertical="center" wrapText="1"/>
    </xf>
    <xf fontId="63" fillId="0" borderId="46" numFmtId="0" xfId="0" applyFont="1" applyBorder="1" applyAlignment="1">
      <alignment horizontal="center" vertical="center" wrapText="1"/>
    </xf>
    <xf fontId="63" fillId="0" borderId="23" numFmtId="0" xfId="0" applyFont="1" applyBorder="1" applyAlignment="1">
      <alignment horizontal="left" indent="3" vertical="center" wrapText="1"/>
    </xf>
    <xf fontId="63" fillId="0" borderId="23" numFmtId="4" xfId="0" applyNumberFormat="1" applyFont="1" applyBorder="1" applyAlignment="1">
      <alignment horizontal="right" vertical="center" wrapText="1"/>
    </xf>
    <xf fontId="22" fillId="42" borderId="21" numFmtId="49" xfId="0" applyNumberFormat="1" applyFont="1" applyFill="1" applyBorder="1" applyAlignment="1">
      <alignment vertical="center" wrapText="1"/>
    </xf>
    <xf fontId="22" fillId="42" borderId="25" numFmtId="0" xfId="0" applyFont="1" applyFill="1" applyBorder="1" applyAlignment="1">
      <alignment vertical="center" wrapText="1"/>
    </xf>
    <xf fontId="43" fillId="42" borderId="20" numFmtId="0" xfId="0" applyFont="1" applyFill="1" applyBorder="1" applyAlignment="1">
      <alignment vertical="center" wrapText="1"/>
    </xf>
    <xf fontId="22" fillId="0" borderId="23" numFmtId="0" xfId="0" applyFont="1" applyBorder="1" applyAlignment="1">
      <alignment horizontal="left" indent="2" vertical="center" wrapText="1"/>
    </xf>
    <xf fontId="22" fillId="0" borderId="0" numFmtId="14" xfId="0" applyNumberFormat="1" applyFont="1" applyAlignment="1">
      <alignment horizontal="center" vertical="center" wrapText="1"/>
    </xf>
    <xf fontId="40" fillId="35" borderId="0" numFmtId="49" xfId="0" applyNumberFormat="1" applyFont="1" applyFill="1" applyAlignment="1">
      <alignment horizontal="center" vertical="center" wrapText="1"/>
    </xf>
    <xf fontId="51" fillId="0" borderId="0" numFmtId="49" xfId="0" applyNumberFormat="1" applyFont="1" applyAlignment="1">
      <alignment horizontal="center" vertical="center"/>
    </xf>
    <xf fontId="22" fillId="39" borderId="23" numFmtId="167" xfId="0" applyNumberFormat="1" applyFont="1" applyFill="1" applyBorder="1" applyAlignment="1">
      <alignment horizontal="right" vertical="center" wrapText="1"/>
      <protection locked="0"/>
    </xf>
    <xf fontId="40" fillId="0" borderId="0" numFmtId="49" xfId="0" applyNumberFormat="1" applyFont="1" applyAlignment="1">
      <alignment horizontal="left" vertical="center" wrapText="1"/>
    </xf>
    <xf fontId="68" fillId="0" borderId="0" numFmtId="0" xfId="0" applyFont="1" applyAlignment="1">
      <alignment horizontal="left" vertical="center" wrapText="1"/>
    </xf>
    <xf fontId="22" fillId="38" borderId="32" numFmtId="4" xfId="0" applyNumberFormat="1" applyFont="1" applyFill="1" applyBorder="1" applyAlignment="1">
      <alignment horizontal="right" vertical="center" wrapText="1"/>
    </xf>
    <xf fontId="45" fillId="0" borderId="23" numFmtId="0" xfId="0" applyFont="1" applyBorder="1" applyAlignment="1">
      <alignment horizontal="left" indent="3" vertical="center" wrapText="1"/>
    </xf>
    <xf fontId="45" fillId="0" borderId="23" numFmtId="49" xfId="0" applyNumberFormat="1" applyFont="1" applyBorder="1" applyAlignment="1">
      <alignment vertical="center" wrapText="1"/>
    </xf>
    <xf fontId="45" fillId="0" borderId="32" numFmtId="0" xfId="0" applyFont="1" applyBorder="1" applyAlignment="1">
      <alignment vertical="top" wrapText="1"/>
    </xf>
    <xf fontId="22" fillId="0" borderId="21" numFmtId="0" xfId="0" applyFont="1" applyBorder="1" applyAlignment="1">
      <alignment horizontal="left" indent="2" vertical="center" wrapText="1"/>
    </xf>
    <xf fontId="22" fillId="39" borderId="20" numFmtId="4" xfId="0" applyNumberFormat="1" applyFont="1" applyFill="1" applyBorder="1" applyAlignment="1">
      <alignment horizontal="right" vertical="center" wrapText="1"/>
      <protection locked="0"/>
    </xf>
    <xf fontId="22" fillId="0" borderId="21" numFmtId="0" xfId="0" applyFont="1" applyBorder="1" applyAlignment="1">
      <alignment horizontal="left" indent="1" vertical="center" wrapText="1"/>
    </xf>
    <xf fontId="55" fillId="36" borderId="20" numFmtId="49" xfId="0" applyNumberFormat="1" applyFont="1" applyFill="1" applyBorder="1" applyAlignment="1">
      <alignment horizontal="left" vertical="center" wrapText="1"/>
      <protection locked="0"/>
    </xf>
    <xf fontId="55" fillId="36" borderId="23" numFmtId="49" xfId="0" applyNumberFormat="1" applyFont="1" applyFill="1" applyBorder="1" applyAlignment="1">
      <alignment horizontal="left" vertical="center" wrapText="1"/>
      <protection locked="0"/>
    </xf>
    <xf fontId="22" fillId="39" borderId="20" numFmtId="167" xfId="0" applyNumberFormat="1" applyFont="1" applyFill="1" applyBorder="1" applyAlignment="1">
      <alignment horizontal="right" vertical="center" wrapText="1"/>
      <protection locked="0"/>
    </xf>
    <xf fontId="22" fillId="38" borderId="20" numFmtId="167" xfId="0" applyNumberFormat="1" applyFont="1" applyFill="1" applyBorder="1" applyAlignment="1">
      <alignment horizontal="right" vertical="center" wrapText="1"/>
    </xf>
    <xf fontId="22" fillId="38" borderId="23" numFmtId="167" xfId="0" applyNumberFormat="1" applyFont="1" applyFill="1" applyBorder="1" applyAlignment="1">
      <alignment horizontal="right" vertical="center" wrapText="1"/>
    </xf>
    <xf fontId="22" fillId="39" borderId="34" numFmtId="4" xfId="0" applyNumberFormat="1" applyFont="1" applyFill="1" applyBorder="1" applyAlignment="1">
      <alignment horizontal="right" vertical="center" wrapText="1"/>
      <protection locked="0"/>
    </xf>
    <xf fontId="22" fillId="39" borderId="30" numFmtId="4" xfId="0" applyNumberFormat="1" applyFont="1" applyFill="1" applyBorder="1" applyAlignment="1">
      <alignment horizontal="right" vertical="center" wrapText="1"/>
      <protection locked="0"/>
    </xf>
    <xf fontId="45" fillId="0" borderId="42" numFmtId="0" xfId="0" applyFont="1" applyBorder="1" applyAlignment="1">
      <alignment horizontal="left" indent="1" vertical="center" wrapText="1"/>
    </xf>
    <xf fontId="45" fillId="0" borderId="42" numFmtId="0" xfId="0" applyFont="1" applyBorder="1" applyAlignment="1">
      <alignment horizontal="center" vertical="center" wrapText="1"/>
    </xf>
    <xf fontId="45" fillId="0" borderId="32" numFmtId="0" xfId="0" applyFont="1" applyBorder="1" applyAlignment="1">
      <alignment vertical="center" wrapText="1"/>
    </xf>
    <xf fontId="22" fillId="42" borderId="33" numFmtId="49" xfId="0" applyNumberFormat="1" applyFont="1" applyFill="1" applyBorder="1" applyAlignment="1">
      <alignment vertical="center" wrapText="1"/>
    </xf>
    <xf fontId="70" fillId="42" borderId="26" numFmtId="49" xfId="0" applyNumberFormat="1" applyFont="1" applyFill="1" applyBorder="1" applyAlignment="1">
      <alignment horizontal="left" indent="1" vertical="center"/>
    </xf>
    <xf fontId="22" fillId="0" borderId="30" numFmtId="0" xfId="0" applyFont="1" applyBorder="1" applyAlignment="1">
      <alignment vertical="top" wrapText="1"/>
    </xf>
    <xf fontId="22" fillId="39" borderId="32" numFmtId="167" xfId="0" applyNumberFormat="1" applyFont="1" applyFill="1" applyBorder="1" applyAlignment="1">
      <alignment horizontal="right" vertical="center" wrapText="1"/>
      <protection locked="0"/>
    </xf>
    <xf fontId="45" fillId="0" borderId="30" numFmtId="0" xfId="0" applyFont="1" applyBorder="1" applyAlignment="1">
      <alignment horizontal="left" indent="1" vertical="center" wrapText="1"/>
    </xf>
    <xf fontId="45" fillId="0" borderId="32" numFmtId="0" xfId="0" applyFont="1" applyBorder="1" applyAlignment="1">
      <alignment horizontal="left" indent="1" vertical="center" wrapText="1"/>
    </xf>
    <xf fontId="40" fillId="0" borderId="0" numFmtId="0" xfId="0" applyFont="1" applyAlignment="1">
      <alignment vertical="center" wrapText="1"/>
    </xf>
    <xf fontId="41" fillId="0" borderId="0" numFmtId="49" xfId="0" applyNumberFormat="1" applyFont="1" applyAlignment="1">
      <alignment horizontal="center" vertical="center" wrapText="1"/>
    </xf>
    <xf fontId="22" fillId="0" borderId="26" numFmtId="0" xfId="0" applyFont="1" applyBorder="1" applyAlignment="1">
      <alignment vertical="center" wrapText="1"/>
    </xf>
    <xf fontId="22" fillId="0" borderId="45" numFmtId="0" xfId="0" applyFont="1" applyBorder="1" applyAlignment="1">
      <alignment vertical="center" wrapText="1"/>
    </xf>
    <xf fontId="51" fillId="0" borderId="0" numFmtId="0" xfId="0" applyFont="1" applyAlignment="1">
      <alignment horizontal="center" vertical="center" wrapText="1"/>
    </xf>
    <xf fontId="44" fillId="0" borderId="0" numFmtId="49" xfId="0" applyNumberFormat="1" applyFont="1" applyAlignment="1">
      <alignment horizontal="center" vertical="center" wrapText="1"/>
    </xf>
    <xf fontId="105" fillId="0" borderId="0" numFmtId="0" xfId="0" applyFont="1" applyAlignment="1">
      <alignment horizontal="center" vertical="center" wrapText="1"/>
    </xf>
    <xf fontId="106" fillId="40" borderId="0" numFmtId="0" xfId="0" applyFont="1" applyFill="1" applyAlignment="1">
      <alignment horizontal="right" vertical="center"/>
    </xf>
    <xf fontId="107" fillId="0" borderId="0" numFmtId="0" xfId="0" applyFont="1" applyAlignment="1">
      <alignment vertical="center" wrapText="1"/>
    </xf>
    <xf fontId="51" fillId="0" borderId="0" numFmtId="9" xfId="0" applyNumberFormat="1" applyFont="1" applyAlignment="1">
      <alignment horizontal="center" vertical="center" wrapText="1"/>
    </xf>
    <xf fontId="0" fillId="0" borderId="0" numFmtId="0" xfId="0" applyAlignment="1">
      <alignment vertical="top"/>
    </xf>
    <xf fontId="45" fillId="0" borderId="32" numFmtId="49" xfId="0" applyNumberFormat="1" applyFont="1" applyBorder="1" applyAlignment="1">
      <alignment horizontal="center" vertical="center" wrapText="1"/>
    </xf>
    <xf fontId="0" fillId="0" borderId="21" numFmtId="0" xfId="0" applyBorder="1" applyAlignment="1">
      <alignment horizontal="right" indent="1" vertical="center" wrapText="1"/>
    </xf>
    <xf fontId="0" fillId="0" borderId="25" numFmtId="0" xfId="0" applyBorder="1" applyAlignment="1">
      <alignment horizontal="right" indent="1" vertical="center" wrapText="1"/>
    </xf>
    <xf fontId="0" fillId="0" borderId="20" numFmtId="0" xfId="0" applyBorder="1" applyAlignment="1">
      <alignment horizontal="right" indent="1" vertical="center" wrapText="1"/>
    </xf>
    <xf fontId="22" fillId="0" borderId="20" numFmtId="0" xfId="0" applyFont="1" applyBorder="1" applyAlignment="1">
      <alignment horizontal="left" indent="1" vertical="center" wrapText="1"/>
    </xf>
    <xf fontId="45" fillId="0" borderId="28" numFmtId="49" xfId="0" applyNumberFormat="1" applyFont="1" applyBorder="1" applyAlignment="1">
      <alignment vertical="top"/>
    </xf>
    <xf fontId="43" fillId="0" borderId="0" numFmtId="0" xfId="0" applyFont="1" applyAlignment="1">
      <alignment horizontal="center" vertical="top"/>
    </xf>
    <xf fontId="43" fillId="0" borderId="0" numFmtId="0" xfId="0" applyFont="1" applyAlignment="1">
      <alignment vertical="top"/>
    </xf>
    <xf fontId="69" fillId="0" borderId="0" numFmtId="0" xfId="0" applyFont="1" applyAlignment="1">
      <alignment vertical="top"/>
    </xf>
    <xf fontId="108" fillId="0" borderId="0" numFmtId="0" xfId="0" applyFont="1" applyAlignment="1">
      <alignment vertical="top"/>
    </xf>
    <xf fontId="45" fillId="0" borderId="42" numFmtId="49" xfId="0" applyNumberFormat="1" applyFont="1" applyBorder="1" applyAlignment="1">
      <alignment horizontal="center" vertical="center" wrapText="1"/>
    </xf>
    <xf fontId="22" fillId="0" borderId="30" numFmtId="0" xfId="0" applyFont="1" applyBorder="1" applyAlignment="1">
      <alignment horizontal="left" vertical="center" wrapText="1"/>
    </xf>
    <xf fontId="22" fillId="0" borderId="30" numFmtId="2" xfId="0" applyNumberFormat="1" applyFont="1" applyBorder="1" applyAlignment="1">
      <alignment horizontal="center" vertical="center" wrapText="1"/>
    </xf>
    <xf fontId="45" fillId="0" borderId="28" numFmtId="0" xfId="0" applyFont="1" applyBorder="1" applyAlignment="1">
      <alignment vertical="center" wrapText="1"/>
    </xf>
    <xf fontId="45" fillId="0" borderId="30" numFmtId="49" xfId="0" applyNumberFormat="1" applyFont="1" applyBorder="1" applyAlignment="1">
      <alignment horizontal="center" vertical="center" wrapText="1"/>
    </xf>
    <xf fontId="70" fillId="0" borderId="26" numFmtId="49" xfId="0" applyNumberFormat="1" applyFont="1" applyBorder="1" applyAlignment="1">
      <alignment horizontal="right" vertical="center"/>
    </xf>
    <xf fontId="71" fillId="0" borderId="0" numFmtId="0" xfId="0" applyFont="1" applyAlignment="1">
      <alignment horizontal="left" vertical="top" wrapText="1"/>
    </xf>
    <xf fontId="43" fillId="44" borderId="23" numFmtId="0" xfId="0" applyFont="1" applyFill="1" applyBorder="1" applyAlignment="1">
      <alignment horizontal="left" vertical="center" wrapText="1"/>
    </xf>
    <xf fontId="22" fillId="45" borderId="23" numFmtId="0" xfId="74" applyFont="1" applyFill="1" applyBorder="1" applyAlignment="1">
      <alignment vertical="center"/>
    </xf>
    <xf fontId="0" fillId="7" borderId="23" numFmtId="49" xfId="0" applyNumberFormat="1" applyFill="1" applyBorder="1" applyAlignment="1">
      <alignment horizontal="center" vertical="center" wrapText="1"/>
    </xf>
    <xf fontId="109" fillId="0" borderId="32" numFmtId="49" xfId="0" applyNumberFormat="1" applyFont="1" applyBorder="1" applyAlignment="1">
      <alignment horizontal="center" vertical="center" wrapText="1"/>
    </xf>
    <xf fontId="109" fillId="0" borderId="23" numFmtId="49" xfId="0" applyNumberFormat="1" applyFont="1" applyBorder="1" applyAlignment="1">
      <alignment horizontal="center" vertical="center" wrapText="1"/>
    </xf>
    <xf fontId="45" fillId="0" borderId="21" numFmtId="0" xfId="0" applyFont="1" applyBorder="1" applyAlignment="1">
      <alignment vertical="center" wrapText="1"/>
    </xf>
    <xf fontId="22" fillId="0" borderId="26" numFmtId="0" xfId="0" applyFont="1" applyBorder="1" applyAlignment="1">
      <alignment horizontal="right" indent="1" vertical="center" wrapText="1"/>
    </xf>
    <xf fontId="40" fillId="0" borderId="0" numFmtId="0" xfId="0" applyFont="1" applyAlignment="1">
      <alignment horizontal="center" vertical="center" wrapText="1"/>
    </xf>
    <xf fontId="22" fillId="0" borderId="46" numFmtId="49" xfId="0" applyNumberFormat="1" applyFont="1" applyBorder="1" applyAlignment="1">
      <alignment horizontal="center" vertical="center" wrapText="1"/>
    </xf>
    <xf fontId="55" fillId="36" borderId="21" numFmtId="49" xfId="0" applyNumberFormat="1" applyFont="1" applyFill="1" applyBorder="1" applyAlignment="1">
      <alignment horizontal="left" vertical="center" wrapText="1"/>
      <protection locked="0"/>
    </xf>
    <xf fontId="22" fillId="0" borderId="47" numFmtId="49" xfId="0" applyNumberFormat="1" applyFont="1" applyBorder="1" applyAlignment="1">
      <alignment horizontal="center" vertical="center" wrapText="1"/>
    </xf>
    <xf fontId="22" fillId="39" borderId="33" numFmtId="4" xfId="0" applyNumberFormat="1" applyFont="1" applyFill="1" applyBorder="1" applyAlignment="1">
      <alignment horizontal="right" vertical="center" wrapText="1"/>
      <protection locked="0"/>
    </xf>
    <xf fontId="22" fillId="39" borderId="32" numFmtId="4" xfId="0" applyNumberFormat="1" applyFont="1" applyFill="1" applyBorder="1" applyAlignment="1">
      <alignment horizontal="right" vertical="center" wrapText="1"/>
      <protection locked="0"/>
    </xf>
    <xf fontId="43" fillId="42" borderId="25" numFmtId="0" xfId="0" applyFont="1" applyFill="1" applyBorder="1" applyAlignment="1">
      <alignment vertical="center" wrapText="1"/>
    </xf>
    <xf fontId="22" fillId="0" borderId="48" numFmtId="49" xfId="0" applyNumberFormat="1" applyFont="1" applyBorder="1" applyAlignment="1">
      <alignment horizontal="center" vertical="center" wrapText="1"/>
    </xf>
    <xf fontId="22" fillId="39" borderId="21" numFmtId="4" xfId="0" applyNumberFormat="1" applyFont="1" applyFill="1" applyBorder="1" applyAlignment="1">
      <alignment horizontal="right" vertical="center" wrapText="1"/>
      <protection locked="0"/>
    </xf>
    <xf fontId="22" fillId="0" borderId="49" numFmtId="49" xfId="0" applyNumberFormat="1" applyFont="1" applyBorder="1" applyAlignment="1">
      <alignment horizontal="center" vertical="center" wrapText="1"/>
    </xf>
    <xf fontId="22" fillId="39" borderId="21" numFmtId="3" xfId="0" applyNumberFormat="1" applyFont="1" applyFill="1" applyBorder="1" applyAlignment="1">
      <alignment horizontal="right" vertical="center" wrapText="1"/>
      <protection locked="0"/>
    </xf>
    <xf fontId="55" fillId="39" borderId="21" numFmtId="49" xfId="0" applyNumberFormat="1" applyFont="1" applyFill="1" applyBorder="1" applyAlignment="1">
      <alignment horizontal="left" vertical="center" wrapText="1"/>
      <protection locked="0"/>
    </xf>
    <xf fontId="22" fillId="0" borderId="0" numFmtId="0" xfId="0" applyFont="1" applyAlignment="1">
      <alignment horizontal="left" indent="2" vertical="center" wrapText="1"/>
    </xf>
    <xf fontId="110" fillId="0" borderId="0" numFmtId="49" xfId="0" applyNumberFormat="1" applyFont="1" applyAlignment="1">
      <alignment horizontal="center" vertical="center" wrapText="1"/>
    </xf>
    <xf fontId="22" fillId="0" borderId="23" numFmtId="0" xfId="0" applyFont="1" applyBorder="1" applyAlignment="1">
      <alignment vertical="top" wrapText="1"/>
    </xf>
    <xf fontId="22" fillId="40" borderId="0" numFmtId="0" xfId="0" applyFont="1" applyFill="1" applyAlignment="1">
      <alignment horizontal="right" vertical="center" wrapText="1"/>
    </xf>
    <xf fontId="22" fillId="40" borderId="0" numFmtId="0" xfId="0" applyFont="1" applyFill="1" applyAlignment="1">
      <alignment horizontal="right" vertical="center"/>
    </xf>
    <xf fontId="22" fillId="40" borderId="21" numFmtId="0" xfId="0" applyFont="1" applyFill="1" applyBorder="1" applyAlignment="1">
      <alignment horizontal="center" vertical="center" wrapText="1"/>
    </xf>
    <xf fontId="22" fillId="40" borderId="25" numFmtId="0" xfId="0" applyFont="1" applyFill="1" applyBorder="1" applyAlignment="1">
      <alignment horizontal="center" vertical="center" wrapText="1"/>
    </xf>
    <xf fontId="22" fillId="40" borderId="27" numFmtId="0" xfId="0" applyFont="1" applyFill="1" applyBorder="1" applyAlignment="1">
      <alignment horizontal="center" vertical="center" wrapText="1"/>
    </xf>
    <xf fontId="22" fillId="40" borderId="23" numFmtId="0" xfId="0" applyFont="1" applyFill="1" applyBorder="1" applyAlignment="1">
      <alignment horizontal="center" vertical="center"/>
    </xf>
    <xf fontId="0" fillId="0" borderId="23" numFmtId="0" xfId="0" applyBorder="1" applyAlignment="1">
      <alignment horizontal="left" vertical="top" wrapText="1"/>
    </xf>
    <xf fontId="0" fillId="0" borderId="23" numFmtId="0" xfId="0" applyBorder="1" applyAlignment="1">
      <alignment horizontal="left" vertical="center" wrapText="1"/>
    </xf>
    <xf fontId="22" fillId="42" borderId="21" numFmtId="0" xfId="0" applyFont="1" applyFill="1" applyBorder="1" applyAlignment="1">
      <alignment vertical="center" wrapText="1"/>
    </xf>
    <xf fontId="111" fillId="42" borderId="20" numFmtId="49" xfId="0" applyNumberFormat="1" applyFont="1" applyFill="1" applyBorder="1" applyAlignment="1">
      <alignment horizontal="center" vertical="top"/>
    </xf>
    <xf fontId="70" fillId="0" borderId="26" numFmtId="49" xfId="0" applyNumberFormat="1" applyFont="1" applyBorder="1" applyAlignment="1">
      <alignment horizontal="left" vertical="center"/>
    </xf>
    <xf fontId="70" fillId="0" borderId="26" numFmtId="49" xfId="0" applyNumberFormat="1" applyFont="1" applyBorder="1" applyAlignment="1">
      <alignment horizontal="left" indent="2" vertical="center"/>
    </xf>
    <xf fontId="111" fillId="0" borderId="26" numFmtId="49" xfId="0" applyNumberFormat="1" applyFont="1" applyBorder="1" applyAlignment="1">
      <alignment horizontal="center" vertical="top"/>
    </xf>
    <xf fontId="45" fillId="0" borderId="25" numFmtId="0" xfId="0" applyFont="1" applyBorder="1" applyAlignment="1">
      <alignment horizontal="right" indent="1" vertical="center" wrapText="1"/>
    </xf>
    <xf fontId="45" fillId="0" borderId="20" numFmtId="0" xfId="0" applyFont="1" applyBorder="1" applyAlignment="1">
      <alignment horizontal="right" indent="1" vertical="center" wrapText="1"/>
    </xf>
    <xf fontId="45" fillId="0" borderId="21" numFmtId="0" xfId="0" applyFont="1" applyBorder="1" applyAlignment="1">
      <alignment horizontal="left" vertical="top" wrapText="1"/>
    </xf>
    <xf fontId="70" fillId="42" borderId="26" numFmtId="49" xfId="0" applyNumberFormat="1" applyFont="1" applyFill="1" applyBorder="1" applyAlignment="1">
      <alignment horizontal="left" indent="2" vertical="center"/>
    </xf>
    <xf fontId="0" fillId="0" borderId="23" numFmtId="49" xfId="0" applyNumberFormat="1" applyBorder="1" applyAlignment="1">
      <alignment horizontal="left" indent="2" vertical="center" wrapText="1"/>
    </xf>
    <xf fontId="0" fillId="0" borderId="23" numFmtId="49" xfId="0" applyNumberFormat="1" applyBorder="1" applyAlignment="1">
      <alignment vertical="center" wrapText="1"/>
    </xf>
    <xf fontId="45" fillId="0" borderId="45" numFmtId="0" xfId="0" applyFont="1" applyBorder="1" applyAlignment="1">
      <alignment vertical="center" wrapText="1"/>
    </xf>
    <xf fontId="22" fillId="38" borderId="20" numFmtId="0" xfId="0" applyFont="1" applyFill="1" applyBorder="1" applyAlignment="1">
      <alignment horizontal="left" vertical="top" wrapText="1"/>
    </xf>
    <xf fontId="22" fillId="46" borderId="0" numFmtId="49" xfId="0" applyNumberFormat="1" applyFont="1" applyFill="1" applyAlignment="1">
      <alignment horizontal="center" textRotation="90" vertical="center" wrapText="1"/>
    </xf>
    <xf fontId="107" fillId="0" borderId="28" numFmtId="0" xfId="0" applyFont="1" applyBorder="1" applyAlignment="1">
      <alignment vertical="center" wrapText="1"/>
    </xf>
    <xf fontId="22" fillId="36" borderId="21" numFmtId="3" xfId="0" applyNumberFormat="1" applyFont="1" applyFill="1" applyBorder="1" applyAlignment="1">
      <alignment horizontal="right" vertical="center" wrapText="1"/>
      <protection locked="0"/>
    </xf>
    <xf fontId="22" fillId="36" borderId="21" numFmtId="4" xfId="0" applyNumberFormat="1" applyFont="1" applyFill="1" applyBorder="1" applyAlignment="1">
      <alignment horizontal="right" vertical="center" wrapText="1"/>
      <protection locked="0"/>
    </xf>
    <xf fontId="22" fillId="0" borderId="0" numFmtId="0" xfId="0" applyFont="1" applyAlignment="1">
      <alignment vertical="top"/>
    </xf>
    <xf fontId="55" fillId="0" borderId="23" numFmtId="49" xfId="0" applyNumberFormat="1" applyFont="1" applyBorder="1" applyAlignment="1">
      <alignment horizontal="left" vertical="center" wrapText="1"/>
    </xf>
    <xf fontId="22" fillId="0" borderId="50" numFmtId="49" xfId="0" applyNumberFormat="1" applyFont="1" applyBorder="1" applyAlignment="1">
      <alignment horizontal="center" vertical="center" wrapText="1"/>
    </xf>
    <xf fontId="22" fillId="0" borderId="50" numFmtId="0" xfId="0" applyFont="1" applyBorder="1" applyAlignment="1">
      <alignment horizontal="left" vertical="center" wrapText="1"/>
    </xf>
    <xf fontId="22" fillId="0" borderId="51" numFmtId="4" xfId="0" applyNumberFormat="1" applyFont="1" applyBorder="1" applyAlignment="1">
      <alignment horizontal="center" vertical="center" wrapText="1"/>
    </xf>
    <xf fontId="55" fillId="0" borderId="35" numFmtId="49" xfId="0" applyNumberFormat="1" applyFont="1" applyBorder="1" applyAlignment="1">
      <alignment horizontal="left" vertical="center" wrapText="1"/>
    </xf>
    <xf fontId="22" fillId="0" borderId="52" numFmtId="49" xfId="0" applyNumberFormat="1" applyFont="1" applyBorder="1" applyAlignment="1">
      <alignment horizontal="center" vertical="center" wrapText="1"/>
    </xf>
    <xf fontId="22" fillId="0" borderId="53" numFmtId="0" xfId="0" applyFont="1" applyBorder="1" applyAlignment="1">
      <alignment horizontal="left" indent="1" vertical="center" wrapText="1"/>
    </xf>
    <xf fontId="22" fillId="39" borderId="52" numFmtId="4" xfId="0" applyNumberFormat="1" applyFont="1" applyFill="1" applyBorder="1" applyAlignment="1">
      <alignment horizontal="right" vertical="center" wrapText="1"/>
      <protection locked="0"/>
    </xf>
    <xf fontId="55" fillId="0" borderId="21" numFmtId="49" xfId="0" applyNumberFormat="1" applyFont="1" applyBorder="1" applyAlignment="1">
      <alignment horizontal="left" vertical="center" wrapText="1"/>
    </xf>
    <xf fontId="22" fillId="0" borderId="32" numFmtId="4" xfId="0" applyNumberFormat="1" applyFont="1" applyBorder="1" applyAlignment="1">
      <alignment horizontal="center" vertical="center" wrapText="1"/>
    </xf>
    <xf fontId="22" fillId="39" borderId="54" numFmtId="4" xfId="0" applyNumberFormat="1" applyFont="1" applyFill="1" applyBorder="1" applyAlignment="1">
      <alignment horizontal="right" vertical="center" wrapText="1"/>
      <protection locked="0"/>
    </xf>
    <xf fontId="22" fillId="0" borderId="53" numFmtId="0" xfId="0" applyFont="1" applyBorder="1" applyAlignment="1">
      <alignment horizontal="left" vertical="center" wrapText="1"/>
    </xf>
    <xf fontId="55" fillId="0" borderId="25" numFmtId="49" xfId="0" applyNumberFormat="1" applyFont="1" applyBorder="1" applyAlignment="1">
      <alignment horizontal="left" vertical="center" wrapText="1"/>
    </xf>
    <xf fontId="22" fillId="0" borderId="52" numFmtId="0" xfId="0" applyFont="1" applyBorder="1" applyAlignment="1">
      <alignment horizontal="left" indent="1" vertical="center" wrapText="1"/>
    </xf>
    <xf fontId="22" fillId="0" borderId="50" numFmtId="4" xfId="0" applyNumberFormat="1" applyFont="1" applyBorder="1" applyAlignment="1">
      <alignment horizontal="center" vertical="center" wrapText="1"/>
    </xf>
    <xf fontId="22" fillId="0" borderId="52" numFmtId="0" xfId="0" applyFont="1" applyBorder="1" applyAlignment="1">
      <alignment horizontal="left" vertical="center" wrapText="1"/>
    </xf>
    <xf fontId="22" fillId="0" borderId="52" numFmtId="0" xfId="0" applyFont="1" applyBorder="1" applyAlignment="1">
      <alignment horizontal="left" indent="2" vertical="center" wrapText="1"/>
    </xf>
    <xf fontId="22" fillId="0" borderId="52" numFmtId="4" xfId="0" applyNumberFormat="1" applyFont="1" applyBorder="1" applyAlignment="1">
      <alignment horizontal="center" vertical="center" wrapText="1"/>
    </xf>
    <xf fontId="22" fillId="0" borderId="55" numFmtId="49" xfId="0" applyNumberFormat="1" applyFont="1" applyBorder="1" applyAlignment="1">
      <alignment horizontal="center" vertical="center" wrapText="1"/>
    </xf>
    <xf fontId="22" fillId="0" borderId="54" numFmtId="0" xfId="0" applyFont="1" applyBorder="1" applyAlignment="1">
      <alignment horizontal="left" vertical="center" wrapText="1"/>
    </xf>
    <xf fontId="22" fillId="0" borderId="54" numFmtId="4" xfId="0" applyNumberFormat="1" applyFont="1" applyBorder="1" applyAlignment="1">
      <alignment horizontal="center" vertical="center" wrapText="1"/>
    </xf>
    <xf fontId="55" fillId="0" borderId="33" numFmtId="49" xfId="0" applyNumberFormat="1" applyFont="1" applyBorder="1" applyAlignment="1">
      <alignment horizontal="left" vertical="center" wrapText="1"/>
    </xf>
    <xf fontId="22" fillId="0" borderId="53" numFmtId="49" xfId="0" applyNumberFormat="1" applyFont="1" applyBorder="1" applyAlignment="1">
      <alignment horizontal="center" vertical="center" wrapText="1"/>
    </xf>
    <xf fontId="22" fillId="39" borderId="53" numFmtId="4" xfId="0" applyNumberFormat="1" applyFont="1" applyFill="1" applyBorder="1" applyAlignment="1">
      <alignment horizontal="right" vertical="center" wrapText="1"/>
      <protection locked="0"/>
    </xf>
    <xf fontId="22" fillId="0" borderId="53" numFmtId="4" xfId="0" applyNumberFormat="1" applyFont="1" applyBorder="1" applyAlignment="1">
      <alignment horizontal="center" vertical="center" wrapText="1"/>
    </xf>
    <xf fontId="22" fillId="39" borderId="55" numFmtId="4" xfId="0" applyNumberFormat="1" applyFont="1" applyFill="1" applyBorder="1" applyAlignment="1">
      <alignment horizontal="right" vertical="center" wrapText="1"/>
      <protection locked="0"/>
    </xf>
    <xf fontId="67" fillId="0" borderId="29" numFmtId="0" xfId="0" applyFont="1" applyBorder="1" applyAlignment="1">
      <alignment horizontal="center" vertical="center" wrapText="1"/>
    </xf>
    <xf fontId="0" fillId="0" borderId="21" numFmtId="0" xfId="0" applyBorder="1" applyAlignment="1">
      <alignment horizontal="center" vertical="center"/>
    </xf>
    <xf fontId="0" fillId="36" borderId="23" numFmtId="168" xfId="0" applyNumberFormat="1" applyFill="1" applyBorder="1" applyAlignment="1">
      <alignment horizontal="left" indent="1" vertical="center" wrapText="1"/>
      <protection locked="0"/>
    </xf>
    <xf fontId="22" fillId="38" borderId="21" numFmtId="0" xfId="0" applyFont="1" applyFill="1" applyBorder="1" applyAlignment="1">
      <alignment horizontal="left" indent="1" vertical="top" wrapText="1"/>
    </xf>
    <xf fontId="22" fillId="38" borderId="20" numFmtId="0" xfId="0" applyFont="1" applyFill="1" applyBorder="1" applyAlignment="1">
      <alignment horizontal="left" indent="1" vertical="top" wrapText="1"/>
    </xf>
    <xf fontId="0" fillId="0" borderId="21" numFmtId="49" xfId="0" applyNumberFormat="1" applyBorder="1" applyAlignment="1">
      <alignment horizontal="center" vertical="center"/>
    </xf>
    <xf fontId="22" fillId="42" borderId="26" numFmtId="0" xfId="0" applyFont="1" applyFill="1" applyBorder="1" applyAlignment="1">
      <alignment vertical="center" wrapText="1"/>
    </xf>
    <xf fontId="22" fillId="0" borderId="20" numFmtId="0" xfId="0" applyFont="1" applyBorder="1" applyAlignment="1">
      <alignment vertical="center" wrapText="1"/>
    </xf>
    <xf fontId="22" fillId="42" borderId="45" numFmtId="0" xfId="0" applyFont="1" applyFill="1" applyBorder="1" applyAlignment="1">
      <alignment vertical="center" wrapText="1"/>
    </xf>
    <xf fontId="112" fillId="0" borderId="0" numFmtId="49" xfId="0" applyNumberFormat="1" applyFont="1" applyAlignment="1">
      <alignment horizontal="center" vertical="center" wrapText="1"/>
    </xf>
    <xf fontId="0" fillId="40" borderId="32" numFmtId="0" xfId="0" applyFill="1" applyBorder="1" applyAlignment="1">
      <alignment horizontal="center" vertical="center" wrapText="1"/>
    </xf>
    <xf fontId="0" fillId="0" borderId="23" numFmtId="0" xfId="0" applyBorder="1" applyAlignment="1">
      <alignment horizontal="left" indent="1" vertical="center" wrapText="1"/>
    </xf>
    <xf fontId="22" fillId="0" borderId="21" numFmtId="49" xfId="0" applyNumberFormat="1" applyFont="1" applyBorder="1" applyAlignment="1">
      <alignment horizontal="center" vertical="center" wrapText="1"/>
    </xf>
    <xf fontId="22" fillId="0" borderId="23" numFmtId="49" xfId="0" applyNumberFormat="1" applyFont="1" applyBorder="1" applyAlignment="1">
      <alignment horizontal="center" vertical="top" wrapText="1"/>
    </xf>
    <xf fontId="0" fillId="38" borderId="23" numFmtId="0" xfId="0" applyFill="1" applyBorder="1" applyAlignment="1">
      <alignment horizontal="left" indent="1" vertical="top" wrapText="1"/>
    </xf>
    <xf fontId="22" fillId="41" borderId="32" numFmtId="49" xfId="0" applyNumberFormat="1" applyFont="1" applyFill="1" applyBorder="1" applyAlignment="1">
      <alignment horizontal="center" vertical="top" wrapText="1"/>
    </xf>
    <xf fontId="0" fillId="39" borderId="23" numFmtId="168" xfId="0" applyNumberFormat="1" applyFill="1" applyBorder="1" applyAlignment="1">
      <alignment horizontal="center" vertical="top" wrapText="1"/>
      <protection locked="0"/>
    </xf>
    <xf fontId="0" fillId="36" borderId="23" numFmtId="168" xfId="0" applyNumberFormat="1" applyFill="1" applyBorder="1" applyAlignment="1">
      <alignment horizontal="center" vertical="top" wrapText="1"/>
      <protection locked="0"/>
    </xf>
    <xf fontId="22" fillId="41" borderId="23" numFmtId="49" xfId="0" applyNumberFormat="1" applyFont="1" applyFill="1" applyBorder="1" applyAlignment="1">
      <alignment horizontal="left" vertical="top" wrapText="1"/>
    </xf>
    <xf fontId="22" fillId="39" borderId="23" numFmtId="49" xfId="0" applyNumberFormat="1" applyFont="1" applyFill="1" applyBorder="1" applyAlignment="1">
      <alignment horizontal="left" vertical="top" wrapText="1"/>
      <protection locked="0"/>
    </xf>
    <xf fontId="0" fillId="38" borderId="23" numFmtId="49" xfId="0" applyNumberFormat="1" applyFill="1" applyBorder="1" applyAlignment="1">
      <alignment horizontal="center" vertical="top" wrapText="1"/>
    </xf>
    <xf fontId="22" fillId="38" borderId="23" numFmtId="0" xfId="0" applyFont="1" applyFill="1" applyBorder="1" applyAlignment="1">
      <alignment horizontal="center" vertical="top" wrapText="1"/>
    </xf>
    <xf fontId="22" fillId="36" borderId="23" numFmtId="0" xfId="0" applyFont="1" applyFill="1" applyBorder="1" applyAlignment="1">
      <alignment horizontal="left" vertical="top" wrapText="1"/>
      <protection locked="0"/>
    </xf>
    <xf fontId="22" fillId="41" borderId="23" numFmtId="49" xfId="0" applyNumberFormat="1" applyFont="1" applyFill="1" applyBorder="1" applyAlignment="1">
      <alignment horizontal="center" vertical="top" wrapText="1"/>
    </xf>
    <xf fontId="22" fillId="40" borderId="32" numFmtId="49" xfId="0" applyNumberFormat="1" applyFont="1" applyFill="1" applyBorder="1" applyAlignment="1">
      <alignment horizontal="left" indent="1" vertical="center" wrapText="1"/>
    </xf>
    <xf fontId="22" fillId="0" borderId="29" numFmtId="0" xfId="0" applyFont="1" applyBorder="1" applyAlignment="1">
      <alignment vertical="top" wrapText="1"/>
    </xf>
    <xf fontId="22" fillId="41" borderId="30" numFmtId="49" xfId="0" applyNumberFormat="1" applyFont="1" applyFill="1" applyBorder="1" applyAlignment="1">
      <alignment horizontal="center" vertical="top" wrapText="1"/>
    </xf>
    <xf fontId="0" fillId="39" borderId="23" numFmtId="49" xfId="0" applyNumberFormat="1" applyFill="1" applyBorder="1" applyAlignment="1">
      <alignment horizontal="center" vertical="top" wrapText="1"/>
      <protection locked="0"/>
    </xf>
    <xf fontId="0" fillId="36" borderId="23" numFmtId="49" xfId="0" applyNumberFormat="1" applyFill="1" applyBorder="1" applyAlignment="1">
      <alignment horizontal="center" vertical="top" wrapText="1"/>
      <protection locked="0"/>
    </xf>
    <xf fontId="22" fillId="41" borderId="21" numFmtId="49" xfId="0" applyNumberFormat="1" applyFont="1" applyFill="1" applyBorder="1" applyAlignment="1">
      <alignment horizontal="center" vertical="top" wrapText="1"/>
    </xf>
    <xf fontId="22" fillId="42" borderId="34" numFmtId="0" xfId="0" applyFont="1" applyFill="1" applyBorder="1" applyAlignment="1">
      <alignment vertical="center" wrapText="1"/>
    </xf>
    <xf fontId="22" fillId="40" borderId="19" numFmtId="0" xfId="0" applyFont="1" applyFill="1" applyBorder="1" applyAlignment="1">
      <alignment vertical="center" wrapText="1"/>
    </xf>
    <xf fontId="87" fillId="0" borderId="19" numFmtId="49" xfId="0" applyNumberFormat="1" applyFont="1" applyBorder="1" applyAlignment="1">
      <alignment vertical="top"/>
    </xf>
    <xf fontId="51" fillId="40" borderId="19" numFmtId="0" xfId="0" applyFont="1" applyFill="1" applyBorder="1" applyAlignment="1">
      <alignment horizontal="center" wrapText="1"/>
    </xf>
    <xf fontId="22" fillId="0" borderId="15" numFmtId="0" xfId="0" applyFont="1" applyBorder="1" applyAlignment="1">
      <alignment horizontal="center" vertical="center"/>
    </xf>
    <xf fontId="22" fillId="0" borderId="16" numFmtId="0" xfId="0" applyFont="1" applyBorder="1" applyAlignment="1">
      <alignment horizontal="center" vertical="center"/>
    </xf>
    <xf fontId="22" fillId="0" borderId="17" numFmtId="0" xfId="0" applyFont="1" applyBorder="1" applyAlignment="1">
      <alignment horizontal="center" vertical="center"/>
    </xf>
    <xf fontId="22" fillId="0" borderId="13" numFmtId="0" xfId="0" applyFont="1" applyBorder="1" applyAlignment="1">
      <alignment vertical="center" wrapText="1"/>
    </xf>
    <xf fontId="113" fillId="0" borderId="56" numFmtId="0" xfId="0" applyFont="1" applyBorder="1" applyAlignment="1">
      <alignment horizontal="left" indent="1" vertical="center"/>
    </xf>
    <xf fontId="113" fillId="0" borderId="57" numFmtId="0" xfId="0" applyFont="1" applyBorder="1" applyAlignment="1">
      <alignment horizontal="left" indent="1" vertical="center"/>
    </xf>
    <xf fontId="0" fillId="0" borderId="57" numFmtId="0" xfId="0" applyBorder="1" applyAlignment="1">
      <alignment horizontal="left" vertical="center" wrapText="1"/>
    </xf>
    <xf fontId="22" fillId="0" borderId="57" numFmtId="0" xfId="0" applyFont="1" applyBorder="1" applyAlignment="1">
      <alignment vertical="center" wrapText="1"/>
    </xf>
    <xf fontId="22" fillId="0" borderId="58" numFmtId="0" xfId="0" applyFont="1" applyBorder="1" applyAlignment="1">
      <alignment vertical="center" wrapText="1"/>
    </xf>
    <xf fontId="22" fillId="0" borderId="59" numFmtId="0" xfId="0" applyFont="1" applyBorder="1" applyAlignment="1">
      <alignment vertical="center" wrapText="1"/>
    </xf>
    <xf fontId="22" fillId="0" borderId="28" numFmtId="0" xfId="0" applyFont="1" applyBorder="1" applyAlignment="1">
      <alignment vertical="center" wrapText="1"/>
    </xf>
    <xf fontId="22" fillId="38" borderId="23" numFmtId="49" xfId="0" applyNumberFormat="1" applyFont="1" applyFill="1" applyBorder="1" applyAlignment="1">
      <alignment horizontal="center" vertical="center" wrapText="1"/>
    </xf>
    <xf fontId="22" fillId="0" borderId="20" numFmtId="49" xfId="0" applyNumberFormat="1" applyFont="1" applyBorder="1" applyAlignment="1">
      <alignment horizontal="center" vertical="center" wrapText="1"/>
    </xf>
    <xf fontId="43" fillId="0" borderId="20" numFmtId="49" xfId="0" applyNumberFormat="1" applyFont="1" applyBorder="1" applyAlignment="1">
      <alignment horizontal="center" vertical="center" wrapText="1"/>
    </xf>
    <xf fontId="43" fillId="0" borderId="20" numFmtId="49" xfId="0" applyNumberFormat="1" applyFont="1" applyBorder="1" applyAlignment="1">
      <alignment horizontal="left" vertical="center" wrapText="1"/>
    </xf>
    <xf fontId="43" fillId="0" borderId="21" numFmtId="49" xfId="0" applyNumberFormat="1" applyFont="1" applyBorder="1" applyAlignment="1">
      <alignment horizontal="center" vertical="center" wrapText="1"/>
    </xf>
    <xf fontId="72" fillId="0" borderId="44" numFmtId="49" xfId="0" applyNumberFormat="1" applyFont="1" applyBorder="1" applyAlignment="1">
      <alignment horizontal="left" indent="1" vertical="center"/>
    </xf>
    <xf fontId="72" fillId="0" borderId="44" numFmtId="49" xfId="0" applyNumberFormat="1" applyFont="1" applyBorder="1" applyAlignment="1">
      <alignment horizontal="center" vertical="center"/>
    </xf>
    <xf fontId="43" fillId="0" borderId="23" numFmtId="3" xfId="0" applyNumberFormat="1" applyFont="1" applyBorder="1" applyAlignment="1">
      <alignment horizontal="center" vertical="center" wrapText="1"/>
    </xf>
    <xf fontId="114" fillId="0" borderId="20" numFmtId="49" xfId="0" applyNumberFormat="1" applyFont="1" applyBorder="1" applyAlignment="1">
      <alignment horizontal="center" vertical="center" wrapText="1"/>
    </xf>
    <xf fontId="72" fillId="0" borderId="23" numFmtId="0" xfId="0" applyFont="1" applyBorder="1" applyAlignment="1">
      <alignment horizontal="center" vertical="center"/>
    </xf>
    <xf fontId="43" fillId="0" borderId="32" numFmtId="49" xfId="0" applyNumberFormat="1" applyFont="1" applyBorder="1" applyAlignment="1">
      <alignment horizontal="left" indent="1" vertical="center" wrapText="1"/>
    </xf>
    <xf fontId="72" fillId="0" borderId="21" numFmtId="49" xfId="0" applyNumberFormat="1" applyFont="1" applyBorder="1" applyAlignment="1">
      <alignment horizontal="left" indent="1" vertical="center"/>
    </xf>
    <xf fontId="72" fillId="0" borderId="25" numFmtId="49" xfId="0" applyNumberFormat="1" applyFont="1" applyBorder="1" applyAlignment="1">
      <alignment horizontal="left" indent="1" vertical="center"/>
    </xf>
    <xf fontId="72" fillId="0" borderId="25" numFmtId="49" xfId="0" applyNumberFormat="1" applyFont="1" applyBorder="1" applyAlignment="1">
      <alignment vertical="top" wrapText="1"/>
    </xf>
    <xf fontId="72" fillId="0" borderId="20" numFmtId="49" xfId="0" applyNumberFormat="1" applyFont="1" applyBorder="1" applyAlignment="1">
      <alignment vertical="top" wrapText="1"/>
    </xf>
    <xf fontId="43" fillId="0" borderId="42" numFmtId="49" xfId="0" applyNumberFormat="1" applyFont="1" applyBorder="1" applyAlignment="1">
      <alignment horizontal="left" indent="1" vertical="center" wrapText="1"/>
    </xf>
    <xf fontId="114" fillId="0" borderId="0" numFmtId="49" xfId="0" applyNumberFormat="1" applyFont="1" applyAlignment="1">
      <alignment horizontal="center" vertical="top" wrapText="1"/>
    </xf>
    <xf fontId="72" fillId="0" borderId="23" numFmtId="0" xfId="0" applyFont="1" applyBorder="1" applyAlignment="1">
      <alignment horizontal="left" indent="1" vertical="center" wrapText="1"/>
    </xf>
    <xf fontId="43" fillId="0" borderId="52" numFmtId="4" xfId="0" applyNumberFormat="1" applyFont="1" applyBorder="1" applyAlignment="1">
      <alignment horizontal="right" vertical="center" wrapText="1"/>
    </xf>
    <xf fontId="43" fillId="0" borderId="30" numFmtId="49" xfId="0" applyNumberFormat="1" applyFont="1" applyBorder="1" applyAlignment="1">
      <alignment horizontal="left" indent="1" vertical="center" wrapText="1"/>
    </xf>
    <xf fontId="43" fillId="0" borderId="25" numFmtId="49" xfId="0" applyNumberFormat="1" applyFont="1" applyBorder="1" applyAlignment="1">
      <alignment horizontal="left" indent="1" vertical="center"/>
    </xf>
    <xf fontId="72" fillId="0" borderId="60" numFmtId="49" xfId="0" applyNumberFormat="1" applyFont="1" applyBorder="1" applyAlignment="1">
      <alignment vertical="top" wrapText="1"/>
    </xf>
    <xf fontId="72" fillId="0" borderId="60" numFmtId="49" xfId="0" applyNumberFormat="1" applyFont="1" applyBorder="1" applyAlignment="1">
      <alignment horizontal="left" indent="1" vertical="center"/>
    </xf>
    <xf fontId="0" fillId="38" borderId="42" numFmtId="49" xfId="0" applyNumberFormat="1" applyFill="1" applyBorder="1" applyAlignment="1">
      <alignment vertical="top"/>
    </xf>
    <xf fontId="22" fillId="41" borderId="20" numFmtId="49" xfId="0" applyNumberFormat="1" applyFont="1" applyFill="1" applyBorder="1" applyAlignment="1">
      <alignment horizontal="left" vertical="center" wrapText="1"/>
    </xf>
    <xf fontId="22" fillId="40" borderId="23" numFmtId="49" xfId="0" applyNumberFormat="1" applyFont="1" applyFill="1" applyBorder="1" applyAlignment="1">
      <alignment horizontal="left" vertical="center" wrapText="1"/>
    </xf>
    <xf fontId="115" fillId="42" borderId="43" numFmtId="49" xfId="0" applyNumberFormat="1" applyFont="1" applyFill="1" applyBorder="1" applyAlignment="1">
      <alignment horizontal="left" indent="1" vertical="center"/>
    </xf>
    <xf fontId="72" fillId="42" borderId="44" numFmtId="49" xfId="0" applyNumberFormat="1" applyFont="1" applyFill="1" applyBorder="1" applyAlignment="1">
      <alignment horizontal="center" vertical="center"/>
    </xf>
    <xf fontId="115" fillId="42" borderId="44" numFmtId="49" xfId="0" applyNumberFormat="1" applyFont="1" applyFill="1" applyBorder="1" applyAlignment="1">
      <alignment horizontal="left" indent="1" vertical="center"/>
    </xf>
    <xf fontId="22" fillId="39" borderId="23" numFmtId="3" xfId="0" applyNumberFormat="1" applyFont="1" applyFill="1" applyBorder="1" applyAlignment="1">
      <alignment horizontal="center" vertical="center" wrapText="1"/>
      <protection locked="0"/>
    </xf>
    <xf fontId="22" fillId="41" borderId="21" numFmtId="49" xfId="0" applyNumberFormat="1" applyFont="1" applyFill="1" applyBorder="1" applyAlignment="1">
      <alignment horizontal="center" vertical="center" wrapText="1"/>
    </xf>
    <xf fontId="0" fillId="0" borderId="42" numFmtId="49" xfId="0" applyNumberFormat="1" applyBorder="1" applyAlignment="1">
      <alignment vertical="top"/>
    </xf>
    <xf fontId="116" fillId="0" borderId="23" numFmtId="49" xfId="0" applyNumberFormat="1" applyFont="1" applyBorder="1" applyAlignment="1">
      <alignment horizontal="center" vertical="center" wrapText="1"/>
    </xf>
    <xf fontId="71" fillId="0" borderId="20" numFmtId="0" xfId="0" applyFont="1" applyBorder="1" applyAlignment="1">
      <alignment horizontal="center" vertical="center"/>
    </xf>
    <xf fontId="22" fillId="41" borderId="32" numFmtId="49" xfId="0" applyNumberFormat="1" applyFont="1" applyFill="1" applyBorder="1" applyAlignment="1">
      <alignment horizontal="left" indent="1" vertical="center" wrapText="1"/>
    </xf>
    <xf fontId="115" fillId="42" borderId="21" numFmtId="49" xfId="0" applyNumberFormat="1" applyFont="1" applyFill="1" applyBorder="1" applyAlignment="1">
      <alignment horizontal="left" indent="1" vertical="center"/>
    </xf>
    <xf fontId="115" fillId="42" borderId="25" numFmtId="49" xfId="0" applyNumberFormat="1" applyFont="1" applyFill="1" applyBorder="1" applyAlignment="1">
      <alignment horizontal="left" indent="1" vertical="center"/>
    </xf>
    <xf fontId="71" fillId="42" borderId="25" numFmtId="49" xfId="0" applyNumberFormat="1" applyFont="1" applyFill="1" applyBorder="1" applyAlignment="1">
      <alignment vertical="top" wrapText="1"/>
    </xf>
    <xf fontId="71" fillId="42" borderId="20" numFmtId="49" xfId="0" applyNumberFormat="1" applyFont="1" applyFill="1" applyBorder="1" applyAlignment="1">
      <alignment vertical="top" wrapText="1"/>
    </xf>
    <xf fontId="22" fillId="41" borderId="42" numFmtId="49" xfId="0" applyNumberFormat="1" applyFont="1" applyFill="1" applyBorder="1" applyAlignment="1">
      <alignment horizontal="left" indent="1" vertical="center" wrapText="1"/>
    </xf>
    <xf fontId="22" fillId="38" borderId="23" numFmtId="49" xfId="0" applyNumberFormat="1" applyFont="1" applyFill="1" applyBorder="1" applyAlignment="1">
      <alignment horizontal="left" vertical="center" wrapText="1"/>
    </xf>
    <xf fontId="116" fillId="0" borderId="0" numFmtId="49" xfId="0" applyNumberFormat="1" applyFont="1" applyAlignment="1">
      <alignment horizontal="center" vertical="top" wrapText="1"/>
    </xf>
    <xf fontId="71" fillId="0" borderId="23" numFmtId="0" xfId="0" applyFont="1" applyBorder="1" applyAlignment="1">
      <alignment horizontal="center" vertical="center"/>
    </xf>
    <xf fontId="71" fillId="41" borderId="23" numFmtId="0" xfId="0" applyFont="1" applyFill="1" applyBorder="1" applyAlignment="1">
      <alignment horizontal="left" indent="1" vertical="center" wrapText="1"/>
    </xf>
    <xf fontId="22" fillId="41" borderId="30" numFmtId="49" xfId="0" applyNumberFormat="1" applyFont="1" applyFill="1" applyBorder="1" applyAlignment="1">
      <alignment horizontal="left" indent="1" vertical="center" wrapText="1"/>
    </xf>
    <xf fontId="71" fillId="42" borderId="60" numFmtId="49" xfId="0" applyNumberFormat="1" applyFont="1" applyFill="1" applyBorder="1" applyAlignment="1">
      <alignment vertical="top" wrapText="1"/>
    </xf>
    <xf fontId="115" fillId="42" borderId="60" numFmtId="49" xfId="0" applyNumberFormat="1" applyFont="1" applyFill="1" applyBorder="1" applyAlignment="1">
      <alignment horizontal="left" indent="1" vertical="center"/>
    </xf>
    <xf fontId="0" fillId="39" borderId="42" numFmtId="49" xfId="0" applyNumberFormat="1" applyFill="1" applyBorder="1" applyAlignment="1">
      <alignment vertical="top"/>
      <protection locked="0"/>
    </xf>
    <xf fontId="22" fillId="41" borderId="42" numFmtId="14" xfId="0" applyNumberFormat="1" applyFont="1" applyFill="1" applyBorder="1" applyAlignment="1">
      <alignment horizontal="left" indent="1" vertical="center" wrapText="1"/>
    </xf>
    <xf fontId="22" fillId="41" borderId="28" numFmtId="14" xfId="0" applyNumberFormat="1" applyFont="1" applyFill="1" applyBorder="1" applyAlignment="1">
      <alignment horizontal="left" indent="1" vertical="center" wrapText="1"/>
    </xf>
    <xf fontId="22" fillId="38" borderId="61" numFmtId="49" xfId="0" applyNumberFormat="1" applyFont="1" applyFill="1" applyBorder="1" applyAlignment="1">
      <alignment horizontal="center" vertical="center" wrapText="1"/>
    </xf>
    <xf fontId="0" fillId="42" borderId="62" numFmtId="0" xfId="0" applyFill="1" applyBorder="1" applyAlignment="1">
      <alignment horizontal="left" vertical="center"/>
    </xf>
    <xf fontId="70" fillId="42" borderId="63" numFmtId="49" xfId="0" applyNumberFormat="1" applyFont="1" applyFill="1" applyBorder="1" applyAlignment="1">
      <alignment horizontal="left" indent="1" vertical="center"/>
    </xf>
    <xf fontId="22" fillId="42" borderId="62" numFmtId="0" xfId="0" applyFont="1" applyFill="1" applyBorder="1" applyAlignment="1">
      <alignment vertical="center" wrapText="1"/>
    </xf>
    <xf fontId="22" fillId="42" borderId="63" numFmtId="0" xfId="0" applyFont="1" applyFill="1" applyBorder="1" applyAlignment="1">
      <alignment vertical="center" wrapText="1"/>
    </xf>
    <xf fontId="22" fillId="40" borderId="26" numFmtId="0" xfId="0" applyFont="1" applyFill="1" applyBorder="1" applyAlignment="1">
      <alignment vertical="center" wrapText="1"/>
    </xf>
    <xf fontId="45" fillId="0" borderId="19" numFmtId="0" xfId="0" applyFont="1" applyBorder="1" applyAlignment="1">
      <alignment vertical="center" wrapText="1"/>
    </xf>
    <xf fontId="22" fillId="0" borderId="64" numFmtId="0" xfId="0" applyFont="1" applyBorder="1" applyAlignment="1">
      <alignment horizontal="center" vertical="center"/>
    </xf>
    <xf fontId="22" fillId="0" borderId="44" numFmtId="0" xfId="0" applyFont="1" applyBorder="1" applyAlignment="1">
      <alignment horizontal="center" vertical="center"/>
    </xf>
    <xf fontId="22" fillId="0" borderId="13" numFmtId="0" xfId="0" applyFont="1" applyBorder="1" applyAlignment="1">
      <alignment vertical="center"/>
    </xf>
    <xf fontId="0" fillId="0" borderId="32" numFmtId="49" xfId="0" applyNumberFormat="1" applyBorder="1" applyAlignment="1">
      <alignment horizontal="center" vertical="center" wrapText="1"/>
    </xf>
    <xf fontId="22" fillId="0" borderId="28" numFmtId="49" xfId="0" applyNumberFormat="1" applyFont="1" applyBorder="1" applyAlignment="1">
      <alignment vertical="top"/>
    </xf>
    <xf fontId="0" fillId="0" borderId="42" numFmtId="49" xfId="0" applyNumberFormat="1" applyBorder="1" applyAlignment="1">
      <alignment horizontal="center" vertical="center" wrapText="1"/>
    </xf>
    <xf fontId="0" fillId="38" borderId="23" numFmtId="0" xfId="0" applyFill="1" applyBorder="1" applyAlignment="1">
      <alignment horizontal="center" vertical="center" wrapText="1"/>
    </xf>
    <xf fontId="0" fillId="0" borderId="30" numFmtId="49" xfId="0" applyNumberFormat="1" applyBorder="1" applyAlignment="1">
      <alignment horizontal="center" vertical="center" wrapText="1"/>
    </xf>
    <xf fontId="0" fillId="38" borderId="23" numFmtId="49" xfId="0" applyNumberFormat="1" applyFill="1" applyBorder="1" applyAlignment="1">
      <alignment horizontal="center" vertical="center"/>
    </xf>
    <xf fontId="0" fillId="38" borderId="23" numFmtId="4" xfId="0" applyNumberFormat="1" applyFill="1" applyBorder="1" applyAlignment="1">
      <alignment horizontal="right" vertical="center" wrapText="1"/>
    </xf>
    <xf fontId="0" fillId="36" borderId="23" numFmtId="4" xfId="0" applyNumberFormat="1" applyFill="1" applyBorder="1" applyAlignment="1">
      <alignment horizontal="right" vertical="center" wrapText="1"/>
      <protection locked="0"/>
    </xf>
    <xf fontId="0" fillId="0" borderId="23" numFmtId="49" xfId="0" applyNumberFormat="1" applyBorder="1" applyAlignment="1">
      <alignment horizontal="left" indent="3" vertical="center" wrapText="1"/>
    </xf>
    <xf fontId="71" fillId="0" borderId="0" numFmtId="49" xfId="0" applyNumberFormat="1" applyFont="1" applyAlignment="1">
      <alignment vertical="center" wrapText="1"/>
    </xf>
    <xf fontId="117" fillId="0" borderId="0" numFmtId="49" xfId="0" applyNumberFormat="1" applyFont="1" applyAlignment="1">
      <alignment vertical="center" wrapText="1"/>
    </xf>
    <xf fontId="71" fillId="0" borderId="0" numFmtId="49" xfId="0" applyNumberFormat="1" applyFont="1" applyAlignment="1">
      <alignment vertical="center"/>
    </xf>
    <xf fontId="117" fillId="0" borderId="0" numFmtId="49" xfId="0" applyNumberFormat="1" applyFont="1" applyAlignment="1">
      <alignment vertical="center"/>
    </xf>
    <xf fontId="71" fillId="0" borderId="0" numFmtId="49" xfId="0" applyNumberFormat="1" applyFont="1" applyAlignment="1">
      <alignment vertical="top"/>
    </xf>
    <xf fontId="41" fillId="0" borderId="0" numFmtId="49" xfId="0" applyNumberFormat="1" applyFont="1" applyAlignment="1">
      <alignment horizontal="center" vertical="top" wrapText="1"/>
    </xf>
    <xf fontId="22" fillId="40" borderId="0" numFmtId="49" xfId="0" applyNumberFormat="1" applyFont="1" applyFill="1" applyAlignment="1">
      <alignment horizontal="center" vertical="top" wrapText="1"/>
    </xf>
    <xf fontId="22" fillId="0" borderId="27" numFmtId="0" xfId="0" applyFont="1" applyBorder="1" applyAlignment="1">
      <alignment horizontal="left" vertical="top" wrapText="1"/>
    </xf>
    <xf fontId="71" fillId="0" borderId="0" numFmtId="49" xfId="0" applyNumberFormat="1" applyFont="1" applyAlignment="1">
      <alignment horizontal="center" vertical="center" wrapText="1"/>
    </xf>
    <xf fontId="117" fillId="0" borderId="0" numFmtId="49" xfId="0" applyNumberFormat="1" applyFont="1" applyAlignment="1">
      <alignment horizontal="center" vertical="center" wrapText="1"/>
    </xf>
    <xf fontId="71" fillId="0" borderId="0" numFmtId="0" xfId="0" applyFont="1" applyAlignment="1">
      <alignment horizontal="center" vertical="center" wrapText="1"/>
    </xf>
    <xf fontId="22" fillId="47" borderId="21" numFmtId="0" xfId="0" applyFont="1" applyFill="1" applyBorder="1" applyAlignment="1">
      <alignment horizontal="center" vertical="center" wrapText="1"/>
    </xf>
    <xf fontId="22" fillId="47" borderId="25" numFmtId="0" xfId="0" applyFont="1" applyFill="1" applyBorder="1" applyAlignment="1">
      <alignment horizontal="center" vertical="center" wrapText="1"/>
    </xf>
    <xf fontId="22" fillId="47" borderId="20" numFmtId="0" xfId="0" applyFont="1" applyFill="1" applyBorder="1" applyAlignment="1">
      <alignment horizontal="center" vertical="center" wrapText="1"/>
    </xf>
    <xf fontId="43" fillId="48" borderId="21" numFmtId="49" xfId="0" applyNumberFormat="1" applyFont="1" applyFill="1" applyBorder="1" applyAlignment="1">
      <alignment horizontal="center" vertical="center" wrapText="1"/>
    </xf>
    <xf fontId="43" fillId="48" borderId="25" numFmtId="49" xfId="0" applyNumberFormat="1" applyFont="1" applyFill="1" applyBorder="1" applyAlignment="1">
      <alignment horizontal="center" vertical="center" wrapText="1"/>
    </xf>
    <xf fontId="43" fillId="48" borderId="20" numFmtId="49" xfId="0" applyNumberFormat="1" applyFont="1" applyFill="1" applyBorder="1" applyAlignment="1">
      <alignment horizontal="center" vertical="center" wrapText="1"/>
    </xf>
    <xf fontId="43" fillId="49" borderId="21" numFmtId="49" xfId="0" applyNumberFormat="1" applyFont="1" applyFill="1" applyBorder="1" applyAlignment="1">
      <alignment horizontal="center" vertical="center" wrapText="1"/>
    </xf>
    <xf fontId="43" fillId="49" borderId="25" numFmtId="49" xfId="0" applyNumberFormat="1" applyFont="1" applyFill="1" applyBorder="1" applyAlignment="1">
      <alignment horizontal="center" vertical="center" wrapText="1"/>
    </xf>
    <xf fontId="43" fillId="49" borderId="20" numFmtId="49" xfId="0" applyNumberFormat="1" applyFont="1" applyFill="1" applyBorder="1" applyAlignment="1">
      <alignment horizontal="center" vertical="center" wrapText="1"/>
    </xf>
    <xf fontId="22" fillId="50" borderId="21" numFmtId="49" xfId="0" applyNumberFormat="1" applyFont="1" applyFill="1" applyBorder="1" applyAlignment="1">
      <alignment horizontal="center" vertical="center" wrapText="1"/>
    </xf>
    <xf fontId="22" fillId="50" borderId="25" numFmtId="49" xfId="0" applyNumberFormat="1" applyFont="1" applyFill="1" applyBorder="1" applyAlignment="1">
      <alignment horizontal="center" vertical="center" wrapText="1"/>
    </xf>
    <xf fontId="22" fillId="51" borderId="26" numFmtId="49" xfId="0" applyNumberFormat="1" applyFont="1" applyFill="1" applyBorder="1" applyAlignment="1">
      <alignment horizontal="center" vertical="center" wrapText="1"/>
    </xf>
    <xf fontId="22" fillId="51" borderId="0" numFmtId="49" xfId="0" applyNumberFormat="1" applyFont="1" applyFill="1" applyAlignment="1">
      <alignment horizontal="center" vertical="center" wrapText="1"/>
    </xf>
    <xf fontId="22" fillId="0" borderId="25" numFmtId="49" xfId="0" applyNumberFormat="1" applyFont="1" applyBorder="1" applyAlignment="1">
      <alignment horizontal="center" vertical="center" wrapText="1"/>
    </xf>
    <xf fontId="71" fillId="40" borderId="0" numFmtId="49" xfId="0" applyNumberFormat="1" applyFont="1" applyFill="1" applyAlignment="1">
      <alignment vertical="center" wrapText="1"/>
    </xf>
    <xf fontId="22" fillId="51" borderId="23" numFmtId="49" xfId="0" applyNumberFormat="1" applyFont="1" applyFill="1" applyBorder="1" applyAlignment="1">
      <alignment horizontal="center" vertical="center" wrapText="1"/>
    </xf>
    <xf fontId="22" fillId="51" borderId="23" numFmtId="0" xfId="0" applyFont="1" applyFill="1" applyBorder="1" applyAlignment="1">
      <alignment horizontal="center" vertical="center" wrapText="1"/>
    </xf>
    <xf fontId="22" fillId="51" borderId="21" numFmtId="0" xfId="0" applyFont="1" applyFill="1" applyBorder="1" applyAlignment="1">
      <alignment horizontal="center" vertical="center" wrapText="1"/>
    </xf>
    <xf fontId="22" fillId="40" borderId="20" numFmtId="0" xfId="0" applyFont="1" applyFill="1" applyBorder="1" applyAlignment="1">
      <alignment horizontal="center" vertical="center" wrapText="1"/>
    </xf>
    <xf fontId="22" fillId="51" borderId="20" numFmtId="0" xfId="0" applyFont="1" applyFill="1" applyBorder="1" applyAlignment="1">
      <alignment horizontal="center" vertical="center" wrapText="1"/>
    </xf>
    <xf fontId="22" fillId="51" borderId="45" numFmtId="49" xfId="0" applyNumberFormat="1" applyFont="1" applyFill="1" applyBorder="1" applyAlignment="1">
      <alignment horizontal="center" vertical="center" wrapText="1"/>
    </xf>
    <xf fontId="71" fillId="40" borderId="0" numFmtId="49" xfId="0" applyNumberFormat="1" applyFont="1" applyFill="1" applyAlignment="1">
      <alignment vertical="center"/>
    </xf>
    <xf fontId="67" fillId="0" borderId="23" numFmtId="49" xfId="0" applyNumberFormat="1" applyFont="1" applyBorder="1" applyAlignment="1">
      <alignment horizontal="center" vertical="center"/>
    </xf>
    <xf fontId="67" fillId="51" borderId="23" numFmtId="49" xfId="0" applyNumberFormat="1" applyFont="1" applyFill="1" applyBorder="1" applyAlignment="1">
      <alignment horizontal="center" vertical="center"/>
    </xf>
    <xf fontId="67" fillId="0" borderId="23" numFmtId="0" xfId="0" applyFont="1" applyBorder="1" applyAlignment="1">
      <alignment horizontal="center" vertical="center"/>
    </xf>
    <xf fontId="67" fillId="0" borderId="30" numFmtId="49" xfId="0" applyNumberFormat="1" applyFont="1" applyBorder="1" applyAlignment="1">
      <alignment horizontal="center" vertical="center"/>
    </xf>
    <xf fontId="22" fillId="0" borderId="0" numFmtId="49" xfId="0" applyNumberFormat="1" applyFont="1" applyAlignment="1">
      <alignment vertical="center"/>
    </xf>
    <xf fontId="43" fillId="0" borderId="32" numFmtId="49" xfId="0" applyNumberFormat="1" applyFont="1" applyBorder="1" applyAlignment="1">
      <alignment horizontal="center" vertical="center"/>
    </xf>
    <xf fontId="22" fillId="0" borderId="32" numFmtId="0" xfId="0" applyFont="1" applyBorder="1" applyAlignment="1">
      <alignment horizontal="right" vertical="center"/>
    </xf>
    <xf fontId="22" fillId="0" borderId="32" numFmtId="0" xfId="0" applyFont="1" applyBorder="1" applyAlignment="1">
      <alignment horizontal="center" vertical="center"/>
    </xf>
    <xf fontId="22" fillId="0" borderId="23" numFmtId="0" xfId="0" applyFont="1" applyBorder="1" applyAlignment="1">
      <alignment horizontal="right" vertical="center"/>
    </xf>
    <xf fontId="113" fillId="0" borderId="65" numFmtId="0" xfId="0" applyFont="1" applyBorder="1" applyAlignment="1">
      <alignment horizontal="left" indent="1" vertical="center"/>
    </xf>
    <xf fontId="22" fillId="0" borderId="66" numFmtId="49" xfId="0" applyNumberFormat="1" applyFont="1" applyBorder="1" applyAlignment="1">
      <alignment horizontal="center" vertical="center"/>
    </xf>
    <xf fontId="22" fillId="0" borderId="66" numFmtId="0" xfId="0" applyFont="1" applyBorder="1" applyAlignment="1">
      <alignment horizontal="right" vertical="center"/>
    </xf>
    <xf fontId="22" fillId="0" borderId="66" numFmtId="0" xfId="0" applyFont="1" applyBorder="1" applyAlignment="1">
      <alignment horizontal="center" vertical="center"/>
    </xf>
    <xf fontId="22" fillId="0" borderId="25" numFmtId="0" xfId="0" applyFont="1" applyBorder="1" applyAlignment="1">
      <alignment horizontal="right" vertical="center"/>
    </xf>
    <xf fontId="22" fillId="0" borderId="20" numFmtId="0" xfId="0" applyFont="1" applyBorder="1" applyAlignment="1">
      <alignment horizontal="right" vertical="center"/>
    </xf>
    <xf fontId="22" fillId="36" borderId="23" numFmtId="49" xfId="0" applyNumberFormat="1" applyFont="1" applyFill="1" applyBorder="1" applyAlignment="1">
      <alignment horizontal="left" indent="1" vertical="center"/>
      <protection locked="0"/>
    </xf>
    <xf fontId="22" fillId="51" borderId="23" numFmtId="0" xfId="0" applyFont="1" applyFill="1" applyBorder="1" applyAlignment="1">
      <alignment horizontal="right" vertical="center"/>
    </xf>
    <xf fontId="22" fillId="36" borderId="23" numFmtId="4" xfId="0" applyNumberFormat="1" applyFont="1" applyFill="1" applyBorder="1" applyAlignment="1">
      <alignment horizontal="right" vertical="center"/>
      <protection locked="0"/>
    </xf>
    <xf fontId="70" fillId="42" borderId="67" numFmtId="49" xfId="0" applyNumberFormat="1" applyFont="1" applyFill="1" applyBorder="1" applyAlignment="1">
      <alignment horizontal="left" indent="1" vertical="center"/>
    </xf>
    <xf fontId="70" fillId="52" borderId="20" numFmtId="49" xfId="0" applyNumberFormat="1" applyFont="1" applyFill="1" applyBorder="1" applyAlignment="1">
      <alignment horizontal="left" indent="1" vertical="center"/>
    </xf>
    <xf fontId="71" fillId="40" borderId="0" numFmtId="4" xfId="0" applyNumberFormat="1" applyFont="1" applyFill="1" applyAlignment="1">
      <alignment vertical="center"/>
    </xf>
    <xf fontId="72" fillId="0" borderId="0" numFmtId="49" xfId="0" applyNumberFormat="1" applyFont="1" applyAlignment="1">
      <alignment vertical="center" wrapText="1"/>
    </xf>
    <xf fontId="67" fillId="0" borderId="0" numFmtId="0" xfId="75" applyFont="1" applyAlignment="1">
      <alignment horizontal="center" vertical="center" wrapText="1"/>
    </xf>
    <xf fontId="22" fillId="39" borderId="21" numFmtId="3" xfId="0" applyNumberFormat="1" applyFont="1" applyFill="1" applyBorder="1" applyAlignment="1">
      <alignment vertical="center" wrapText="1"/>
      <protection locked="0"/>
    </xf>
    <xf fontId="22" fillId="38" borderId="21" numFmtId="4" xfId="0" applyNumberFormat="1" applyFont="1" applyFill="1" applyBorder="1" applyAlignment="1">
      <alignment horizontal="right" vertical="center" wrapText="1"/>
    </xf>
    <xf fontId="43" fillId="0" borderId="23" numFmtId="0" xfId="0" applyFont="1" applyBorder="1" applyAlignment="1">
      <alignment vertical="top" wrapText="1"/>
    </xf>
    <xf fontId="0" fillId="0" borderId="23" numFmtId="0" xfId="0" applyBorder="1" applyAlignment="1">
      <alignment vertical="center" wrapText="1"/>
    </xf>
    <xf fontId="0" fillId="39" borderId="23" numFmtId="0" xfId="0" applyFill="1" applyBorder="1" applyAlignment="1">
      <alignment horizontal="left" indent="2" vertical="center" wrapText="1"/>
      <protection locked="0"/>
    </xf>
    <xf fontId="111" fillId="42" borderId="25" numFmtId="49" xfId="0" applyNumberFormat="1" applyFont="1" applyFill="1" applyBorder="1" applyAlignment="1">
      <alignment horizontal="center" vertical="top"/>
    </xf>
    <xf fontId="82" fillId="0" borderId="23" numFmtId="49" xfId="0" applyNumberFormat="1" applyFont="1" applyBorder="1" applyAlignment="1">
      <alignment horizontal="center" vertical="center" wrapText="1"/>
    </xf>
    <xf fontId="82" fillId="0" borderId="23" numFmtId="0" xfId="0" applyFont="1" applyBorder="1" applyAlignment="1">
      <alignment horizontal="left" indent="2" vertical="center" wrapText="1"/>
    </xf>
    <xf fontId="118" fillId="0" borderId="21" numFmtId="49" xfId="0" applyNumberFormat="1" applyFont="1" applyBorder="1" applyAlignment="1">
      <alignment horizontal="left" vertical="center" wrapText="1"/>
    </xf>
    <xf fontId="22" fillId="0" borderId="32" numFmtId="0" xfId="0" applyFont="1" applyBorder="1" applyAlignment="1">
      <alignment vertical="top" wrapText="1"/>
    </xf>
    <xf fontId="0" fillId="39" borderId="23" numFmtId="0" xfId="0" applyFill="1" applyBorder="1" applyAlignment="1">
      <alignment horizontal="left" vertical="center" wrapText="1"/>
      <protection locked="0"/>
    </xf>
    <xf fontId="0" fillId="0" borderId="23" numFmtId="0" xfId="0" applyBorder="1" applyAlignment="1">
      <alignment horizontal="left" indent="2" vertical="center" wrapText="1"/>
    </xf>
    <xf fontId="0" fillId="39" borderId="23" numFmtId="168" xfId="0" applyNumberFormat="1" applyFill="1" applyBorder="1" applyAlignment="1">
      <alignment horizontal="left" vertical="center" wrapText="1"/>
      <protection locked="0"/>
    </xf>
    <xf fontId="0" fillId="39" borderId="20" numFmtId="168" xfId="0" applyNumberFormat="1" applyFill="1" applyBorder="1" applyAlignment="1">
      <alignment horizontal="left" vertical="center" wrapText="1"/>
      <protection locked="0"/>
    </xf>
    <xf fontId="0" fillId="39" borderId="21" numFmtId="168" xfId="0" applyNumberFormat="1" applyFill="1" applyBorder="1" applyAlignment="1">
      <alignment horizontal="left" vertical="center" wrapText="1"/>
      <protection locked="0"/>
    </xf>
    <xf fontId="22" fillId="0" borderId="25" numFmtId="0" xfId="0" applyFont="1" applyBorder="1" applyAlignment="1">
      <alignment horizontal="left" indent="1" vertical="top" wrapText="1"/>
    </xf>
    <xf fontId="0" fillId="40" borderId="21" numFmtId="0" xfId="0" applyFill="1" applyBorder="1" applyAlignment="1">
      <alignment horizontal="right" indent="1" vertical="center" wrapText="1"/>
    </xf>
    <xf fontId="67" fillId="40" borderId="26" numFmtId="49" xfId="0" applyNumberFormat="1" applyFont="1" applyFill="1" applyBorder="1" applyAlignment="1">
      <alignment horizontal="center" vertical="center" wrapText="1"/>
    </xf>
    <xf fontId="0" fillId="40" borderId="32" numFmtId="49" xfId="0" applyNumberFormat="1" applyFill="1" applyBorder="1" applyAlignment="1">
      <alignment horizontal="center" vertical="center" wrapText="1"/>
    </xf>
    <xf fontId="0" fillId="0" borderId="32" numFmtId="0" xfId="0" applyBorder="1" applyAlignment="1">
      <alignment horizontal="left" vertical="center" wrapText="1"/>
    </xf>
    <xf fontId="95" fillId="40" borderId="0" numFmtId="0" xfId="0" applyFont="1" applyFill="1" applyAlignment="1">
      <alignment horizontal="center" vertical="top" wrapText="1"/>
    </xf>
    <xf fontId="0" fillId="38" borderId="21" numFmtId="0" xfId="0" applyFill="1" applyBorder="1" applyAlignment="1">
      <alignment horizontal="left" indent="1" vertical="center" wrapText="1"/>
    </xf>
    <xf fontId="70" fillId="42" borderId="45" numFmtId="49" xfId="0" applyNumberFormat="1" applyFont="1" applyFill="1" applyBorder="1" applyAlignment="1">
      <alignment horizontal="left" indent="2" vertical="center"/>
    </xf>
    <xf fontId="95" fillId="40" borderId="29" numFmtId="0" xfId="0" applyFont="1" applyFill="1" applyBorder="1" applyAlignment="1">
      <alignment horizontal="center" vertical="top" wrapText="1"/>
    </xf>
    <xf fontId="0" fillId="40" borderId="30" numFmtId="49" xfId="0" applyNumberFormat="1" applyFill="1" applyBorder="1" applyAlignment="1">
      <alignment horizontal="center" vertical="center" wrapText="1"/>
    </xf>
    <xf fontId="0" fillId="38" borderId="30" numFmtId="0" xfId="0" applyFill="1" applyBorder="1" applyAlignment="1">
      <alignment horizontal="left" indent="1" vertical="center" wrapText="1"/>
    </xf>
    <xf fontId="0" fillId="40" borderId="21" numFmtId="49" xfId="0" applyNumberFormat="1" applyFill="1" applyBorder="1" applyAlignment="1">
      <alignment horizontal="center" vertical="center" wrapText="1"/>
    </xf>
    <xf fontId="22" fillId="0" borderId="26" numFmtId="49" xfId="0" applyNumberFormat="1" applyFont="1" applyBorder="1" applyAlignment="1">
      <alignment vertical="top"/>
    </xf>
    <xf fontId="36" fillId="0" borderId="0" numFmtId="0" xfId="0" applyFont="1" applyAlignment="1">
      <alignment horizontal="right" vertical="top" wrapText="1"/>
    </xf>
    <xf fontId="22" fillId="0" borderId="26" numFmtId="0" xfId="0" applyFont="1" applyBorder="1" applyAlignment="1">
      <alignment horizontal="left" vertical="top" wrapText="1"/>
    </xf>
    <xf fontId="22" fillId="0" borderId="21" numFmtId="3" xfId="0" applyNumberFormat="1" applyFont="1" applyBorder="1" applyAlignment="1">
      <alignment vertical="center" wrapText="1"/>
    </xf>
    <xf fontId="22" fillId="0" borderId="21" numFmtId="4" xfId="0" applyNumberFormat="1" applyFont="1" applyBorder="1" applyAlignment="1">
      <alignment horizontal="right" vertical="center" wrapText="1"/>
    </xf>
    <xf fontId="55" fillId="0" borderId="0" numFmtId="0" xfId="0" applyFont="1" applyAlignment="1">
      <alignment vertical="center" wrapText="1"/>
    </xf>
    <xf fontId="0" fillId="0" borderId="0" numFmtId="49" xfId="0" applyNumberFormat="1" applyAlignment="1">
      <alignment vertical="center" wrapText="1"/>
    </xf>
    <xf fontId="22" fillId="0" borderId="0" numFmtId="49" xfId="0" applyNumberFormat="1" applyFont="1" applyAlignment="1">
      <alignment horizontal="center" vertical="top"/>
    </xf>
    <xf fontId="41" fillId="48" borderId="0" numFmtId="49" xfId="0" applyNumberFormat="1" applyFont="1" applyFill="1" applyAlignment="1">
      <alignment horizontal="center" vertical="center"/>
    </xf>
    <xf fontId="22" fillId="0" borderId="23" numFmtId="49" xfId="0" applyNumberFormat="1" applyFont="1" applyBorder="1" applyAlignment="1">
      <alignment horizontal="center" vertical="top"/>
    </xf>
    <xf fontId="43" fillId="48" borderId="0" numFmtId="49" xfId="0" applyNumberFormat="1" applyFont="1" applyFill="1" applyAlignment="1">
      <alignment horizontal="center" vertical="center" wrapText="1"/>
    </xf>
    <xf fontId="0" fillId="47" borderId="23" numFmtId="0" xfId="0" applyFill="1" applyBorder="1" applyAlignment="1">
      <alignment horizontal="center" vertical="center"/>
    </xf>
    <xf fontId="43" fillId="48" borderId="23" numFmtId="49" xfId="0" applyNumberFormat="1" applyFont="1" applyFill="1" applyBorder="1" applyAlignment="1">
      <alignment horizontal="center" vertical="center"/>
    </xf>
    <xf fontId="43" fillId="49" borderId="23" numFmtId="49" xfId="0" applyNumberFormat="1" applyFont="1" applyFill="1" applyBorder="1" applyAlignment="1">
      <alignment horizontal="center" vertical="center"/>
    </xf>
    <xf fontId="0" fillId="50" borderId="23" numFmtId="49" xfId="0" applyNumberFormat="1" applyFill="1" applyBorder="1" applyAlignment="1">
      <alignment horizontal="center" vertical="center"/>
    </xf>
    <xf fontId="22" fillId="0" borderId="23" numFmtId="0" xfId="0" applyFont="1" applyBorder="1" applyAlignment="1">
      <alignment vertical="center"/>
    </xf>
    <xf fontId="0" fillId="0" borderId="23" numFmtId="0" xfId="0" applyBorder="1" applyAlignment="1">
      <alignment vertical="center"/>
    </xf>
    <xf fontId="0" fillId="0" borderId="21" numFmtId="0" xfId="0" applyBorder="1" applyAlignment="1">
      <alignment vertical="center"/>
    </xf>
    <xf fontId="22" fillId="0" borderId="21" numFmtId="0" xfId="0" applyFont="1" applyBorder="1" applyAlignment="1">
      <alignment horizontal="left" vertical="center"/>
    </xf>
    <xf fontId="22" fillId="0" borderId="68" numFmtId="49" xfId="0" applyNumberFormat="1" applyFont="1" applyBorder="1" applyAlignment="1">
      <alignment vertical="center"/>
    </xf>
    <xf fontId="22" fillId="0" borderId="69" numFmtId="49" xfId="0" applyNumberFormat="1" applyFont="1" applyBorder="1" applyAlignment="1">
      <alignment vertical="top"/>
    </xf>
    <xf fontId="22" fillId="0" borderId="70" numFmtId="49" xfId="0" applyNumberFormat="1" applyFont="1" applyBorder="1" applyAlignment="1">
      <alignment vertical="top"/>
    </xf>
    <xf fontId="0" fillId="0" borderId="20" numFmtId="0" xfId="0" applyBorder="1" applyAlignment="1">
      <alignment vertical="center"/>
    </xf>
    <xf fontId="0" fillId="0" borderId="23" numFmtId="0" xfId="0" applyBorder="1" applyAlignment="1">
      <alignment horizontal="right" vertical="top"/>
    </xf>
    <xf fontId="0" fillId="0" borderId="23" numFmtId="0" xfId="0" applyBorder="1" applyAlignment="1">
      <alignment vertical="top"/>
    </xf>
    <xf fontId="22" fillId="0" borderId="20" numFmtId="0" xfId="0" applyFont="1" applyBorder="1" applyAlignment="1">
      <alignment vertical="center"/>
    </xf>
    <xf fontId="22" fillId="0" borderId="23" numFmtId="49" xfId="0" applyNumberFormat="1" applyFont="1" applyBorder="1" applyAlignment="1">
      <alignment vertical="center"/>
    </xf>
    <xf fontId="22" fillId="0" borderId="23" numFmtId="0" xfId="0" applyFont="1" applyBorder="1" applyAlignment="1">
      <alignment vertical="top"/>
    </xf>
    <xf fontId="0" fillId="53" borderId="0" numFmtId="0" xfId="0" applyFill="1" applyAlignment="1">
      <alignment horizontal="right" vertical="center"/>
    </xf>
    <xf fontId="41" fillId="0" borderId="0" numFmtId="49" xfId="0" applyNumberFormat="1" applyFont="1" applyAlignment="1">
      <alignment horizontal="center" vertical="center"/>
    </xf>
    <xf fontId="0" fillId="53" borderId="0" numFmtId="0" xfId="0" applyFill="1" applyAlignment="1">
      <alignment horizontal="left" vertical="center"/>
    </xf>
    <xf fontId="0" fillId="0" borderId="0" numFmtId="0" xfId="0" applyAlignment="1">
      <alignment horizontal="right" vertical="top"/>
    </xf>
    <xf fontId="22" fillId="0" borderId="21" numFmtId="49" xfId="0" applyNumberFormat="1" applyFont="1" applyBorder="1" applyAlignment="1">
      <alignment vertical="top"/>
    </xf>
    <xf fontId="0" fillId="0" borderId="0" numFmtId="0" xfId="0" applyAlignment="1">
      <alignment horizontal="left" vertical="center"/>
    </xf>
    <xf fontId="68" fillId="53" borderId="0" numFmtId="0" xfId="0" applyFont="1" applyFill="1" applyAlignment="1">
      <alignment horizontal="left" vertical="center"/>
    </xf>
    <xf fontId="68" fillId="0" borderId="0" numFmtId="0" xfId="0" applyFont="1" applyAlignment="1">
      <alignment horizontal="left" vertical="center"/>
    </xf>
    <xf fontId="0" fillId="0" borderId="21" numFmtId="49" xfId="0" applyNumberFormat="1" applyBorder="1" applyAlignment="1">
      <alignment vertical="top"/>
    </xf>
    <xf fontId="22" fillId="0" borderId="23" numFmtId="49" xfId="0" applyNumberFormat="1" applyFont="1" applyBorder="1" applyAlignment="1">
      <alignment horizontal="right" vertical="top"/>
    </xf>
    <xf fontId="0" fillId="0" borderId="21" numFmtId="0" xfId="0" applyBorder="1" applyAlignment="1">
      <alignment horizontal="left" vertical="center"/>
    </xf>
    <xf fontId="22" fillId="0" borderId="32" numFmtId="49" xfId="0" applyNumberFormat="1" applyFont="1" applyBorder="1" applyAlignment="1">
      <alignment horizontal="right" vertical="top"/>
    </xf>
    <xf fontId="0" fillId="0" borderId="32" numFmtId="0" xfId="0" applyBorder="1" applyAlignment="1">
      <alignment vertical="top"/>
    </xf>
    <xf fontId="22" fillId="0" borderId="32" numFmtId="0" xfId="0" applyFont="1" applyBorder="1" applyAlignment="1">
      <alignment vertical="center"/>
    </xf>
    <xf fontId="22" fillId="0" borderId="52" numFmtId="49" xfId="0" applyNumberFormat="1" applyFont="1" applyBorder="1" applyAlignment="1">
      <alignment horizontal="center" vertical="center"/>
    </xf>
    <xf fontId="22" fillId="0" borderId="23" numFmtId="49" xfId="0" applyNumberFormat="1" applyFont="1" applyBorder="1" applyAlignment="1">
      <alignment horizontal="right" vertical="center"/>
    </xf>
    <xf fontId="22" fillId="0" borderId="23" numFmtId="49" xfId="0" applyNumberFormat="1" applyFont="1" applyBorder="1" applyAlignment="1">
      <alignment vertical="top"/>
    </xf>
    <xf fontId="22" fillId="53" borderId="0" numFmtId="0" xfId="0" applyFont="1" applyFill="1" applyAlignment="1">
      <alignment horizontal="left" vertical="center"/>
    </xf>
    <xf fontId="0" fillId="53" borderId="71" numFmtId="0" xfId="0" applyFill="1" applyBorder="1" applyAlignment="1">
      <alignment horizontal="center"/>
    </xf>
    <xf fontId="119" fillId="0" borderId="70" numFmtId="49" xfId="0" applyNumberFormat="1" applyFont="1" applyBorder="1" applyAlignment="1">
      <alignment vertical="top"/>
    </xf>
    <xf fontId="71" fillId="45" borderId="0" numFmtId="49" xfId="0" applyNumberFormat="1" applyFont="1" applyFill="1" applyAlignment="1">
      <alignment vertical="center" wrapText="1"/>
    </xf>
    <xf fontId="0" fillId="0" borderId="71" numFmtId="0" xfId="0" applyBorder="1" applyAlignment="1">
      <alignment horizontal="center"/>
    </xf>
    <xf fontId="41" fillId="48" borderId="0" numFmtId="49" xfId="0" applyNumberFormat="1" applyFont="1" applyFill="1" applyAlignment="1">
      <alignment horizontal="center" vertical="center" wrapText="1"/>
    </xf>
    <xf fontId="22" fillId="53" borderId="0" numFmtId="49" xfId="0" applyNumberFormat="1" applyFont="1" applyFill="1" applyAlignment="1">
      <alignment horizontal="center" vertical="center"/>
    </xf>
    <xf fontId="0" fillId="36" borderId="52" numFmtId="49" xfId="0" applyNumberFormat="1" applyFill="1" applyBorder="1" applyAlignment="1">
      <alignment horizontal="left" vertical="center"/>
      <protection locked="0"/>
    </xf>
    <xf fontId="0" fillId="0" borderId="52" numFmtId="49" xfId="0" applyNumberFormat="1" applyBorder="1" applyAlignment="1">
      <alignment horizontal="right" vertical="center"/>
    </xf>
    <xf fontId="0" fillId="38" borderId="52" numFmtId="0" xfId="0" applyFill="1" applyBorder="1" applyAlignment="1">
      <alignment horizontal="center" vertical="center"/>
    </xf>
    <xf fontId="0" fillId="0" borderId="52" numFmtId="49" xfId="0" applyNumberFormat="1" applyBorder="1" applyAlignment="1">
      <alignment horizontal="center" vertical="center"/>
    </xf>
    <xf fontId="0" fillId="0" borderId="0" numFmtId="49" xfId="0" applyNumberFormat="1" applyAlignment="1">
      <alignment horizontal="left" vertical="center"/>
    </xf>
    <xf fontId="34" fillId="0" borderId="72" numFmtId="0" xfId="0" applyFont="1" applyBorder="1" applyAlignment="1">
      <alignment horizontal="center" vertical="center"/>
    </xf>
    <xf fontId="0" fillId="0" borderId="72" numFmtId="0" xfId="0" applyBorder="1" applyAlignment="1">
      <alignment horizontal="center" vertical="center"/>
    </xf>
    <xf fontId="41" fillId="48" borderId="23" numFmtId="49" xfId="0" applyNumberFormat="1" applyFont="1" applyFill="1" applyBorder="1" applyAlignment="1">
      <alignment horizontal="right" vertical="center"/>
    </xf>
    <xf fontId="22" fillId="36" borderId="33" numFmtId="49" xfId="0" applyNumberFormat="1" applyFont="1" applyFill="1" applyBorder="1" applyAlignment="1">
      <alignment vertical="top"/>
      <protection locked="0"/>
    </xf>
    <xf fontId="0" fillId="51" borderId="23" numFmtId="0" xfId="0" applyFill="1" applyBorder="1" applyAlignment="1">
      <alignment horizontal="right" vertical="center"/>
    </xf>
    <xf fontId="22" fillId="51" borderId="30" numFmtId="49" xfId="0" applyNumberFormat="1" applyFont="1" applyFill="1" applyBorder="1" applyAlignment="1">
      <alignment vertical="top"/>
    </xf>
    <xf fontId="22" fillId="51" borderId="23" numFmtId="49" xfId="0" applyNumberFormat="1" applyFont="1" applyFill="1" applyBorder="1" applyAlignment="1">
      <alignment vertical="top"/>
    </xf>
    <xf fontId="22" fillId="0" borderId="21" numFmtId="49" xfId="0" applyNumberFormat="1" applyFont="1" applyBorder="1" applyAlignment="1">
      <alignment horizontal="center" vertical="top"/>
    </xf>
    <xf fontId="22" fillId="0" borderId="20" numFmtId="49" xfId="0" applyNumberFormat="1" applyFont="1" applyBorder="1" applyAlignment="1">
      <alignment horizontal="center" vertical="top"/>
    </xf>
    <xf fontId="22" fillId="38" borderId="35" numFmtId="0" xfId="0" applyFont="1" applyFill="1" applyBorder="1" applyAlignment="1">
      <alignment horizontal="center" vertical="top"/>
    </xf>
    <xf fontId="22" fillId="38" borderId="35" numFmtId="0" xfId="0" applyFont="1" applyFill="1" applyBorder="1" applyAlignment="1">
      <alignment horizontal="left" vertical="top"/>
    </xf>
    <xf fontId="0" fillId="0" borderId="50" numFmtId="0" xfId="0" applyBorder="1" applyAlignment="1">
      <alignment horizontal="center" vertical="center"/>
    </xf>
    <xf fontId="0" fillId="0" borderId="55" numFmtId="0" xfId="0" applyBorder="1" applyAlignment="1">
      <alignment horizontal="center" vertical="center"/>
    </xf>
    <xf fontId="22" fillId="0" borderId="23" numFmtId="0" xfId="0" applyFont="1" applyBorder="1" applyAlignment="1">
      <alignment horizontal="left" vertical="top"/>
    </xf>
    <xf fontId="22" fillId="0" borderId="0" numFmtId="49" xfId="0" applyNumberFormat="1" applyFont="1" applyAlignment="1">
      <alignment horizontal="left" vertical="top"/>
    </xf>
    <xf fontId="0" fillId="0" borderId="53" numFmtId="0" xfId="0" applyBorder="1" applyAlignment="1">
      <alignment horizontal="center" vertical="center"/>
    </xf>
    <xf fontId="41" fillId="48" borderId="21" numFmtId="49" xfId="0" applyNumberFormat="1" applyFont="1" applyFill="1" applyBorder="1" applyAlignment="1">
      <alignment horizontal="right" vertical="center"/>
    </xf>
    <xf fontId="0" fillId="53" borderId="0" numFmtId="0" xfId="0" applyFill="1" applyAlignment="1">
      <alignment horizontal="right" vertical="top" wrapText="1"/>
    </xf>
    <xf fontId="22" fillId="40" borderId="23" numFmtId="49" xfId="0" applyNumberFormat="1" applyFont="1" applyFill="1" applyBorder="1" applyAlignment="1">
      <alignment horizontal="center" vertical="center"/>
    </xf>
    <xf fontId="43" fillId="40" borderId="0" numFmtId="0" xfId="0" applyFont="1" applyFill="1"/>
    <xf fontId="99" fillId="40" borderId="0" numFmtId="0" xfId="0" applyFont="1" applyFill="1"/>
    <xf fontId="45" fillId="40" borderId="0" numFmtId="0" xfId="0" applyFont="1" applyFill="1" applyAlignment="1">
      <alignment horizontal="center" vertical="center" wrapText="1"/>
    </xf>
    <xf fontId="0" fillId="40" borderId="32" numFmtId="0" xfId="0" applyFill="1" applyBorder="1" applyAlignment="1">
      <alignment horizontal="left" vertical="top" wrapText="1"/>
    </xf>
    <xf fontId="82" fillId="40" borderId="0" numFmtId="0" xfId="0" applyFont="1" applyFill="1"/>
    <xf fontId="63" fillId="40" borderId="0" numFmtId="0" xfId="0" applyFont="1" applyFill="1" applyAlignment="1">
      <alignment vertical="center" wrapText="1"/>
    </xf>
    <xf fontId="45" fillId="40" borderId="23" numFmtId="0" xfId="0" applyFont="1" applyFill="1" applyBorder="1" applyAlignment="1">
      <alignment horizontal="center" vertical="center"/>
    </xf>
    <xf fontId="0" fillId="40" borderId="42" numFmtId="0" xfId="0" applyFill="1" applyBorder="1" applyAlignment="1">
      <alignment horizontal="left" vertical="top" wrapText="1"/>
    </xf>
    <xf fontId="0" fillId="40" borderId="30" numFmtId="0" xfId="0" applyFill="1" applyBorder="1" applyAlignment="1">
      <alignment horizontal="left" vertical="top" wrapText="1"/>
    </xf>
    <xf fontId="103" fillId="40" borderId="0" numFmtId="0" xfId="0" applyFont="1" applyFill="1"/>
    <xf fontId="22" fillId="40" borderId="23" numFmtId="0" xfId="0" applyFont="1" applyFill="1" applyBorder="1" applyAlignment="1">
      <alignment horizontal="left" vertical="top" wrapText="1"/>
    </xf>
    <xf fontId="55" fillId="36" borderId="30" numFmtId="49" xfId="0" applyNumberFormat="1" applyFont="1" applyFill="1" applyBorder="1" applyAlignment="1">
      <alignment horizontal="left" vertical="center" wrapText="1"/>
      <protection locked="0"/>
    </xf>
    <xf fontId="22" fillId="40" borderId="23" numFmtId="0" xfId="0" applyFont="1" applyFill="1" applyBorder="1" applyAlignment="1">
      <alignment vertical="top" wrapText="1"/>
    </xf>
    <xf fontId="22" fillId="39" borderId="21" numFmtId="14" xfId="0" applyNumberFormat="1" applyFont="1" applyFill="1" applyBorder="1" applyAlignment="1">
      <alignment horizontal="left" indent="1" vertical="center" wrapText="1"/>
      <protection locked="0"/>
    </xf>
    <xf fontId="43" fillId="0" borderId="42" numFmtId="0" xfId="0" applyFont="1" applyBorder="1" applyAlignment="1">
      <alignment horizontal="left" indent="1" vertical="center" wrapText="1"/>
    </xf>
    <xf fontId="120" fillId="0" borderId="0" numFmtId="0" xfId="0" applyFont="1" applyAlignment="1">
      <alignment vertical="center"/>
    </xf>
    <xf fontId="22" fillId="0" borderId="33" numFmtId="169" xfId="0" applyNumberFormat="1" applyFont="1" applyBorder="1" applyAlignment="1">
      <alignment horizontal="center" vertical="center" wrapText="1"/>
    </xf>
    <xf fontId="22" fillId="0" borderId="32" numFmtId="169" xfId="0" applyNumberFormat="1" applyFont="1" applyBorder="1" applyAlignment="1">
      <alignment horizontal="center" vertical="center" wrapText="1"/>
    </xf>
    <xf fontId="22" fillId="0" borderId="30" numFmtId="4" xfId="0" applyNumberFormat="1" applyFont="1" applyBorder="1" applyAlignment="1">
      <alignment horizontal="center" vertical="center" wrapText="1"/>
    </xf>
    <xf fontId="22" fillId="41" borderId="23" numFmtId="14" xfId="0" applyNumberFormat="1" applyFont="1" applyFill="1" applyBorder="1" applyAlignment="1">
      <alignment horizontal="left" vertical="center" wrapText="1"/>
    </xf>
    <xf fontId="22" fillId="39" borderId="23" numFmtId="14" xfId="0" applyNumberFormat="1" applyFont="1" applyFill="1" applyBorder="1" applyAlignment="1">
      <alignment horizontal="left" indent="1" vertical="center" wrapText="1"/>
      <protection locked="0"/>
    </xf>
    <xf fontId="51" fillId="42" borderId="35" numFmtId="49" xfId="0" applyNumberFormat="1" applyFont="1" applyFill="1" applyBorder="1" applyAlignment="1">
      <alignment horizontal="right" vertical="center" wrapText="1"/>
    </xf>
    <xf fontId="0" fillId="42" borderId="45" numFmtId="49" xfId="0" applyNumberFormat="1" applyFill="1" applyBorder="1" applyAlignment="1">
      <alignment horizontal="right" vertical="center" wrapText="1"/>
    </xf>
    <xf fontId="0" fillId="42" borderId="34" numFmtId="49" xfId="0" applyNumberFormat="1" applyFill="1" applyBorder="1" applyAlignment="1">
      <alignment horizontal="right" vertical="center" wrapText="1"/>
    </xf>
    <xf fontId="120" fillId="0" borderId="0" numFmtId="0" xfId="0" applyFont="1" applyAlignment="1">
      <alignment vertical="center" wrapText="1"/>
    </xf>
    <xf fontId="0" fillId="39" borderId="25" numFmtId="168" xfId="0" applyNumberFormat="1" applyFill="1" applyBorder="1" applyAlignment="1">
      <alignment horizontal="left" indent="1" vertical="center" wrapText="1"/>
      <protection locked="0"/>
    </xf>
    <xf fontId="22" fillId="39" borderId="23" numFmtId="170" xfId="0" applyNumberFormat="1" applyFont="1" applyFill="1" applyBorder="1" applyAlignment="1">
      <alignment horizontal="left" indent="1" vertical="center" wrapText="1"/>
      <protection locked="0"/>
    </xf>
    <xf fontId="45" fillId="0" borderId="0" numFmtId="168" xfId="0" applyNumberFormat="1" applyFont="1" applyAlignment="1">
      <alignment horizontal="center" vertical="center" wrapText="1"/>
    </xf>
    <xf fontId="22" fillId="0" borderId="25" numFmtId="169" xfId="0" applyNumberFormat="1" applyFont="1" applyBorder="1" applyAlignment="1">
      <alignment horizontal="center" vertical="center" wrapText="1"/>
    </xf>
    <xf fontId="22" fillId="0" borderId="20" numFmtId="169" xfId="0" applyNumberFormat="1" applyFont="1" applyBorder="1" applyAlignment="1">
      <alignment horizontal="center" vertical="center" wrapText="1"/>
    </xf>
    <xf fontId="22" fillId="0" borderId="42" numFmtId="4" xfId="0" applyNumberFormat="1" applyFont="1" applyBorder="1" applyAlignment="1">
      <alignment horizontal="center" vertical="center" wrapText="1"/>
    </xf>
    <xf fontId="22" fillId="0" borderId="30" numFmtId="169" xfId="0" applyNumberFormat="1" applyFont="1" applyBorder="1" applyAlignment="1">
      <alignment horizontal="center" vertical="center" wrapText="1"/>
    </xf>
    <xf fontId="22" fillId="38" borderId="30" numFmtId="0" xfId="0" applyFont="1" applyFill="1" applyBorder="1" applyAlignment="1">
      <alignment horizontal="left" indent="1" vertical="center" wrapText="1"/>
    </xf>
    <xf fontId="22" fillId="39" borderId="30" numFmtId="14" xfId="0" applyNumberFormat="1" applyFont="1" applyFill="1" applyBorder="1" applyAlignment="1">
      <alignment horizontal="left" indent="1" vertical="center" wrapText="1"/>
      <protection locked="0"/>
    </xf>
    <xf fontId="22" fillId="0" borderId="34" numFmtId="0" xfId="0" applyFont="1" applyBorder="1" applyAlignment="1">
      <alignment horizontal="left" vertical="top" wrapText="1"/>
    </xf>
    <xf fontId="22" fillId="0" borderId="30" numFmtId="14" xfId="0" applyNumberFormat="1" applyFont="1" applyBorder="1" applyAlignment="1">
      <alignment horizontal="left" indent="1" vertical="center" wrapText="1"/>
    </xf>
    <xf fontId="55" fillId="42" borderId="45" numFmtId="49" xfId="0" applyNumberFormat="1" applyFont="1" applyFill="1" applyBorder="1" applyAlignment="1">
      <alignment horizontal="left" vertical="center" wrapText="1"/>
    </xf>
    <xf fontId="55" fillId="42" borderId="34" numFmtId="49" xfId="0" applyNumberFormat="1" applyFont="1" applyFill="1" applyBorder="1" applyAlignment="1">
      <alignment horizontal="left" vertical="center" wrapText="1"/>
    </xf>
    <xf fontId="22" fillId="40" borderId="42" numFmtId="0" xfId="0" applyFont="1" applyFill="1" applyBorder="1" applyAlignment="1">
      <alignment vertical="center" wrapText="1"/>
    </xf>
    <xf fontId="45" fillId="0" borderId="45" numFmtId="0" xfId="0" applyFont="1" applyBorder="1" applyAlignment="1">
      <alignment horizontal="center" vertical="center" wrapText="1"/>
    </xf>
    <xf fontId="22" fillId="40" borderId="28" numFmtId="0" xfId="0" applyFont="1" applyFill="1" applyBorder="1" applyAlignment="1">
      <alignment vertical="center" wrapText="1"/>
    </xf>
    <xf fontId="67" fillId="0" borderId="23" numFmtId="0" xfId="75" applyFont="1" applyBorder="1" applyAlignment="1">
      <alignment horizontal="center" vertical="center" wrapText="1"/>
    </xf>
    <xf fontId="22" fillId="0" borderId="25" numFmtId="0" xfId="0" applyFont="1" applyBorder="1" applyAlignment="1">
      <alignment horizontal="left" vertical="center" wrapText="1"/>
    </xf>
    <xf fontId="66" fillId="0" borderId="0" numFmtId="0" xfId="0" applyFont="1" applyAlignment="1">
      <alignment horizontal="center" vertical="center" wrapText="1"/>
    </xf>
    <xf fontId="71" fillId="0" borderId="26" numFmtId="169" xfId="0" applyNumberFormat="1" applyFont="1" applyBorder="1" applyAlignment="1">
      <alignment horizontal="center" vertical="center" wrapText="1"/>
    </xf>
    <xf fontId="71" fillId="0" borderId="27" numFmtId="169" xfId="0" applyNumberFormat="1" applyFont="1" applyBorder="1" applyAlignment="1">
      <alignment horizontal="center" vertical="center" wrapText="1"/>
    </xf>
    <xf fontId="22" fillId="0" borderId="42" numFmtId="169" xfId="0" applyNumberFormat="1" applyFont="1" applyBorder="1" applyAlignment="1">
      <alignment horizontal="center" vertical="center" wrapText="1"/>
    </xf>
    <xf fontId="22" fillId="38" borderId="34" numFmtId="0" xfId="0" applyFont="1" applyFill="1" applyBorder="1" applyAlignment="1">
      <alignment horizontal="left" vertical="center" wrapText="1"/>
    </xf>
    <xf fontId="22" fillId="41" borderId="35" numFmtId="49" xfId="0" applyNumberFormat="1" applyFont="1" applyFill="1" applyBorder="1" applyAlignment="1">
      <alignment horizontal="left" vertical="center" wrapText="1"/>
    </xf>
    <xf fontId="22" fillId="39" borderId="45" numFmtId="49" xfId="0" applyNumberFormat="1" applyFont="1" applyFill="1" applyBorder="1" applyAlignment="1">
      <alignment horizontal="left" vertical="center" wrapText="1"/>
      <protection locked="0"/>
    </xf>
    <xf fontId="22" fillId="39" borderId="35" numFmtId="49" xfId="0" applyNumberFormat="1" applyFont="1" applyFill="1" applyBorder="1" applyAlignment="1">
      <alignment horizontal="left" vertical="center" wrapText="1"/>
      <protection locked="0"/>
    </xf>
    <xf fontId="22" fillId="0" borderId="23" numFmtId="49" xfId="0" applyNumberFormat="1" applyFont="1" applyBorder="1" applyAlignment="1">
      <alignment horizontal="left" vertical="top" wrapText="1"/>
    </xf>
    <xf fontId="22" fillId="41" borderId="30" numFmtId="49" xfId="0" applyNumberFormat="1" applyFont="1" applyFill="1" applyBorder="1" applyAlignment="1">
      <alignment horizontal="left" vertical="center" wrapText="1"/>
    </xf>
    <xf fontId="121" fillId="0" borderId="23" numFmtId="49" xfId="0" applyNumberFormat="1" applyFont="1" applyBorder="1" applyAlignment="1">
      <alignment horizontal="left" vertical="top" wrapText="1"/>
    </xf>
    <xf fontId="61" fillId="0" borderId="0" numFmtId="49" xfId="0" applyNumberFormat="1" applyFont="1" applyAlignment="1">
      <alignment horizontal="center" vertical="center"/>
    </xf>
    <xf fontId="122" fillId="40" borderId="0" numFmtId="0" xfId="0" applyFont="1" applyFill="1" applyAlignment="1">
      <alignment horizontal="center" vertical="center" wrapText="1"/>
    </xf>
    <xf fontId="41" fillId="40" borderId="0" numFmtId="0" xfId="0" applyFont="1" applyFill="1"/>
    <xf fontId="45" fillId="0" borderId="0" numFmtId="0" xfId="0" applyFont="1" applyAlignment="1">
      <alignment vertical="top"/>
    </xf>
    <xf fontId="22" fillId="0" borderId="0" numFmtId="49" xfId="0" applyNumberFormat="1" applyFont="1" applyAlignment="1">
      <alignment horizontal="left" vertical="top" wrapText="1"/>
    </xf>
    <xf fontId="22" fillId="0" borderId="0" numFmtId="0" xfId="0" applyFont="1"/>
    <xf fontId="61" fillId="0" borderId="0" numFmtId="0" xfId="0" applyFont="1" applyAlignment="1">
      <alignment horizontal="center" vertical="center"/>
    </xf>
    <xf fontId="61" fillId="40" borderId="0" numFmtId="0" xfId="0" applyFont="1" applyFill="1" applyAlignment="1">
      <alignment horizontal="center" vertical="center"/>
    </xf>
    <xf fontId="81" fillId="0" borderId="0" numFmtId="0" xfId="0" applyFont="1"/>
    <xf fontId="22" fillId="40" borderId="32" numFmtId="0" xfId="0" applyFont="1" applyFill="1" applyBorder="1" applyAlignment="1">
      <alignment horizontal="center" vertical="center"/>
    </xf>
    <xf fontId="22" fillId="0" borderId="32" numFmtId="49" xfId="0" applyNumberFormat="1" applyFont="1" applyBorder="1" applyAlignment="1">
      <alignment horizontal="left" vertical="center" wrapText="1"/>
    </xf>
    <xf fontId="70" fillId="42" borderId="20" numFmtId="49" xfId="0" applyNumberFormat="1" applyFont="1" applyFill="1" applyBorder="1" applyAlignment="1">
      <alignment horizontal="left" vertical="center"/>
    </xf>
    <xf fontId="71" fillId="0" borderId="0" numFmtId="49" xfId="0" applyNumberFormat="1" applyFont="1" applyAlignment="1">
      <alignment horizontal="right" vertical="top"/>
    </xf>
    <xf fontId="61" fillId="40" borderId="0" numFmtId="0" xfId="0" applyFont="1" applyFill="1" applyAlignment="1">
      <alignment horizontal="center"/>
    </xf>
    <xf fontId="0" fillId="0" borderId="25" numFmtId="49" xfId="0" applyNumberFormat="1" applyBorder="1" applyAlignment="1">
      <alignment horizontal="left" indent="1" vertical="center"/>
    </xf>
    <xf fontId="88" fillId="0" borderId="0" numFmtId="49" xfId="0" applyNumberFormat="1" applyFont="1" applyAlignment="1">
      <alignment vertical="top"/>
    </xf>
    <xf fontId="0" fillId="0" borderId="73" numFmtId="49" xfId="0" applyNumberFormat="1" applyBorder="1" applyAlignment="1">
      <alignment horizontal="center" vertical="center"/>
    </xf>
    <xf fontId="0" fillId="54" borderId="0" numFmtId="49" xfId="0" applyNumberFormat="1" applyFill="1" applyAlignment="1">
      <alignment vertical="top"/>
    </xf>
    <xf fontId="22" fillId="41" borderId="23" numFmtId="14" xfId="0" applyNumberFormat="1" applyFont="1" applyFill="1" applyBorder="1" applyAlignment="1">
      <alignment horizontal="left" indent="1" vertical="center" wrapText="1"/>
    </xf>
    <xf fontId="89" fillId="54" borderId="0" numFmtId="49" xfId="0" applyNumberFormat="1" applyFont="1" applyFill="1" applyAlignment="1">
      <alignment vertical="top"/>
    </xf>
    <xf fontId="89" fillId="0" borderId="0" numFmtId="49" xfId="0" applyNumberFormat="1" applyFont="1" applyAlignment="1">
      <alignment vertical="top"/>
    </xf>
    <xf fontId="80" fillId="0" borderId="32" numFmtId="14" xfId="0" applyNumberFormat="1" applyFont="1" applyBorder="1" applyAlignment="1">
      <alignment horizontal="center" vertical="center" wrapText="1"/>
    </xf>
    <xf fontId="78" fillId="0" borderId="23" numFmtId="0" xfId="0" applyFont="1" applyBorder="1" applyAlignment="1">
      <alignment horizontal="left" indent="1" vertical="center" wrapText="1"/>
    </xf>
    <xf fontId="80" fillId="0" borderId="32" numFmtId="0" xfId="0" applyFont="1" applyBorder="1" applyAlignment="1">
      <alignment horizontal="center" vertical="center" wrapText="1"/>
    </xf>
    <xf fontId="69" fillId="0" borderId="0" numFmtId="0" xfId="0" applyFont="1" applyAlignment="1">
      <alignment vertical="center"/>
    </xf>
    <xf fontId="80" fillId="0" borderId="42" numFmtId="14" xfId="0" applyNumberFormat="1" applyFont="1" applyBorder="1" applyAlignment="1">
      <alignment horizontal="center" vertical="center" wrapText="1"/>
    </xf>
    <xf fontId="78" fillId="0" borderId="23" numFmtId="0" xfId="0" applyFont="1" applyBorder="1" applyAlignment="1">
      <alignment horizontal="left" indent="1" vertical="top"/>
    </xf>
    <xf fontId="67" fillId="0" borderId="23" numFmtId="0" xfId="0" applyFont="1" applyBorder="1" applyAlignment="1">
      <alignment horizontal="center" vertical="center" wrapText="1"/>
    </xf>
    <xf fontId="78" fillId="39" borderId="23" numFmtId="49" xfId="0" applyNumberFormat="1" applyFont="1" applyFill="1" applyBorder="1" applyAlignment="1">
      <alignment horizontal="left" indent="1" vertical="center" wrapText="1"/>
      <protection locked="0"/>
    </xf>
    <xf fontId="22" fillId="40" borderId="0" numFmtId="0" xfId="0" applyFont="1" applyFill="1" applyAlignment="1">
      <alignment horizontal="center" vertical="top" wrapText="1"/>
    </xf>
    <xf fontId="45" fillId="40" borderId="23" numFmtId="0" xfId="0" applyFont="1" applyFill="1" applyBorder="1" applyAlignment="1">
      <alignment horizontal="center" vertical="center" wrapText="1"/>
    </xf>
    <xf fontId="22" fillId="41" borderId="34" numFmtId="14" xfId="0" applyNumberFormat="1" applyFont="1" applyFill="1" applyBorder="1" applyAlignment="1">
      <alignment horizontal="left" vertical="center" wrapText="1"/>
    </xf>
    <xf fontId="123" fillId="39" borderId="23" numFmtId="49" xfId="0" applyNumberFormat="1" applyFont="1" applyFill="1" applyBorder="1" applyAlignment="1">
      <alignment horizontal="left" vertical="center" wrapText="1"/>
    </xf>
    <xf fontId="123" fillId="39" borderId="23" numFmtId="49" xfId="0" applyNumberFormat="1" applyFont="1" applyFill="1" applyBorder="1" applyAlignment="1">
      <alignment horizontal="left" vertical="center" wrapText="1"/>
      <protection locked="0"/>
    </xf>
    <xf fontId="0" fillId="39" borderId="21" numFmtId="0" xfId="0" applyFill="1" applyBorder="1" applyAlignment="1">
      <alignment horizontal="left" indent="2" vertical="center" wrapText="1"/>
      <protection locked="0"/>
    </xf>
    <xf fontId="61" fillId="0" borderId="29" numFmtId="0" xfId="0" applyFont="1" applyBorder="1" applyAlignment="1">
      <alignment horizontal="center" vertical="center" wrapText="1"/>
    </xf>
    <xf fontId="22" fillId="39" borderId="32" numFmtId="49" xfId="0" applyNumberFormat="1" applyFont="1" applyFill="1" applyBorder="1" applyAlignment="1">
      <alignment horizontal="left" indent="1" vertical="center" wrapText="1"/>
      <protection locked="0"/>
    </xf>
    <xf fontId="22" fillId="0" borderId="42" numFmtId="49" xfId="0" applyNumberFormat="1" applyFont="1" applyBorder="1" applyAlignment="1">
      <alignment horizontal="center" vertical="top" wrapText="1"/>
    </xf>
    <xf fontId="0" fillId="38" borderId="42" numFmtId="0" xfId="0" applyFill="1" applyBorder="1" applyAlignment="1">
      <alignment horizontal="left" indent="1" vertical="top" wrapText="1"/>
    </xf>
    <xf fontId="22" fillId="41" borderId="42" numFmtId="49" xfId="0" applyNumberFormat="1" applyFont="1" applyFill="1" applyBorder="1" applyAlignment="1">
      <alignment horizontal="center" vertical="top" wrapText="1"/>
    </xf>
    <xf fontId="0" fillId="39" borderId="42" numFmtId="49" xfId="0" applyNumberFormat="1" applyFill="1" applyBorder="1" applyAlignment="1">
      <alignment horizontal="center" vertical="top" wrapText="1"/>
      <protection locked="0"/>
    </xf>
    <xf fontId="0" fillId="36" borderId="42" numFmtId="49" xfId="0" applyNumberFormat="1" applyFill="1" applyBorder="1" applyAlignment="1">
      <alignment horizontal="center" vertical="top" wrapText="1"/>
      <protection locked="0"/>
    </xf>
    <xf fontId="22" fillId="41" borderId="42" numFmtId="49" xfId="0" applyNumberFormat="1" applyFont="1" applyFill="1" applyBorder="1" applyAlignment="1">
      <alignment horizontal="left" vertical="top" wrapText="1"/>
    </xf>
    <xf fontId="22" fillId="39" borderId="42" numFmtId="49" xfId="0" applyNumberFormat="1" applyFont="1" applyFill="1" applyBorder="1" applyAlignment="1">
      <alignment horizontal="left" vertical="top" wrapText="1"/>
      <protection locked="0"/>
    </xf>
    <xf fontId="0" fillId="38" borderId="42" numFmtId="49" xfId="0" applyNumberFormat="1" applyFill="1" applyBorder="1" applyAlignment="1">
      <alignment horizontal="center" vertical="top" wrapText="1"/>
    </xf>
    <xf fontId="22" fillId="38" borderId="42" numFmtId="0" xfId="0" applyFont="1" applyFill="1" applyBorder="1" applyAlignment="1">
      <alignment horizontal="center" vertical="top" wrapText="1"/>
    </xf>
    <xf fontId="22" fillId="36" borderId="42" numFmtId="0" xfId="0" applyFont="1" applyFill="1" applyBorder="1" applyAlignment="1">
      <alignment horizontal="left" vertical="top" wrapText="1"/>
      <protection locked="0"/>
    </xf>
    <xf fontId="22" fillId="41" borderId="32" numFmtId="49" xfId="0" applyNumberFormat="1" applyFont="1" applyFill="1" applyBorder="1" applyAlignment="1">
      <alignment vertical="center" wrapText="1"/>
    </xf>
    <xf fontId="0" fillId="39" borderId="32" numFmtId="49" xfId="0" applyNumberFormat="1" applyFill="1" applyBorder="1" applyAlignment="1">
      <alignment vertical="top"/>
      <protection locked="0"/>
    </xf>
    <xf fontId="22" fillId="41" borderId="42" numFmtId="49" xfId="0" applyNumberFormat="1" applyFont="1" applyFill="1" applyBorder="1" applyAlignment="1">
      <alignment vertical="center" wrapText="1"/>
    </xf>
    <xf fontId="22" fillId="41" borderId="30" numFmtId="49" xfId="0" applyNumberFormat="1" applyFont="1" applyFill="1" applyBorder="1" applyAlignment="1">
      <alignment vertical="center" wrapText="1"/>
    </xf>
    <xf fontId="0" fillId="39" borderId="30" numFmtId="49" xfId="0" applyNumberFormat="1" applyFill="1" applyBorder="1" applyAlignment="1">
      <alignment vertical="top"/>
      <protection locked="0"/>
    </xf>
    <xf fontId="116" fillId="0" borderId="42" numFmtId="49" xfId="0" applyNumberFormat="1" applyFont="1" applyBorder="1" applyAlignment="1">
      <alignment horizontal="center" vertical="top" wrapText="1"/>
    </xf>
    <xf fontId="22" fillId="0" borderId="42" numFmtId="49" xfId="0" applyNumberFormat="1" applyFont="1" applyBorder="1" applyAlignment="1">
      <alignment horizontal="center" vertical="center" wrapText="1"/>
    </xf>
    <xf fontId="70" fillId="0" borderId="23" numFmtId="0" xfId="0" applyFont="1" applyBorder="1" applyAlignment="1">
      <alignment horizontal="left" indent="1" vertical="center"/>
    </xf>
    <xf fontId="22" fillId="0" borderId="30" numFmtId="49" xfId="0" applyNumberFormat="1" applyFont="1" applyBorder="1" applyAlignment="1">
      <alignment horizontal="center" vertical="center" wrapText="1"/>
    </xf>
    <xf fontId="45" fillId="0" borderId="30" numFmtId="0" xfId="0" applyFont="1" applyBorder="1" applyAlignment="1">
      <alignment vertical="center" wrapText="1"/>
    </xf>
    <xf fontId="45" fillId="0" borderId="30" numFmtId="2" xfId="0" applyNumberFormat="1" applyFont="1" applyBorder="1" applyAlignment="1">
      <alignment horizontal="center" vertical="center" wrapText="1"/>
    </xf>
    <xf fontId="45" fillId="0" borderId="0" numFmtId="0" xfId="0" applyFont="1" applyAlignment="1">
      <alignment horizontal="center" vertical="top"/>
    </xf>
    <xf fontId="45" fillId="0" borderId="21" numFmtId="49" xfId="0" applyNumberFormat="1" applyFont="1" applyBorder="1" applyAlignment="1">
      <alignment horizontal="left" vertical="center"/>
    </xf>
    <xf fontId="45" fillId="0" borderId="25" numFmtId="49" xfId="0" applyNumberFormat="1" applyFont="1" applyBorder="1" applyAlignment="1">
      <alignment horizontal="left" indent="1" vertical="center"/>
    </xf>
    <xf fontId="45" fillId="0" borderId="25" numFmtId="49" xfId="0" applyNumberFormat="1" applyFont="1" applyBorder="1" applyAlignment="1">
      <alignment horizontal="left" vertical="center"/>
    </xf>
    <xf fontId="45" fillId="0" borderId="20" numFmtId="49" xfId="0" applyNumberFormat="1" applyFont="1" applyBorder="1" applyAlignment="1">
      <alignment horizontal="left" indent="1" vertical="center"/>
    </xf>
    <xf fontId="45" fillId="0" borderId="23" numFmtId="0" xfId="0" applyFont="1" applyBorder="1" applyAlignment="1">
      <alignment horizontal="left" indent="1" vertical="center"/>
    </xf>
    <xf fontId="0" fillId="0" borderId="26" numFmtId="49" xfId="0" applyNumberFormat="1" applyBorder="1" applyAlignment="1">
      <alignment vertical="top"/>
    </xf>
    <xf fontId="61" fillId="0" borderId="32" numFmtId="49" xfId="0" applyNumberFormat="1" applyFont="1" applyBorder="1" applyAlignment="1">
      <alignment horizontal="center" vertical="top" wrapText="1"/>
    </xf>
    <xf fontId="22" fillId="39" borderId="21" numFmtId="49" xfId="0" applyNumberFormat="1" applyFont="1" applyFill="1" applyBorder="1" applyAlignment="1">
      <alignment horizontal="left" indent="1" vertical="center" wrapText="1"/>
      <protection locked="0"/>
    </xf>
    <xf fontId="0" fillId="0" borderId="20" numFmtId="49" xfId="0" applyNumberFormat="1" applyBorder="1" applyAlignment="1">
      <alignment horizontal="center" vertical="center" wrapText="1"/>
    </xf>
    <xf fontId="0" fillId="39" borderId="21" numFmtId="49" xfId="0" applyNumberFormat="1" applyFill="1" applyBorder="1" applyAlignment="1">
      <alignment horizontal="left" vertical="center" wrapText="1"/>
      <protection locked="0"/>
    </xf>
    <xf fontId="0" fillId="0" borderId="34" numFmtId="49" xfId="0" applyNumberFormat="1" applyBorder="1" applyAlignment="1">
      <alignment horizontal="center" vertical="center" wrapText="1"/>
    </xf>
    <xf fontId="0" fillId="42" borderId="35" numFmtId="49" xfId="0" applyNumberFormat="1" applyFill="1" applyBorder="1" applyAlignment="1">
      <alignment horizontal="center" vertical="center"/>
    </xf>
    <xf fontId="0" fillId="42" borderId="25" numFmtId="49" xfId="0" applyNumberFormat="1" applyFill="1" applyBorder="1" applyAlignment="1">
      <alignment horizontal="center" vertical="center"/>
    </xf>
    <xf fontId="22" fillId="0" borderId="30" numFmtId="49" xfId="0" applyNumberFormat="1" applyFont="1" applyBorder="1" applyAlignment="1">
      <alignment horizontal="center" vertical="top" wrapText="1"/>
    </xf>
    <xf fontId="0" fillId="0" borderId="28" numFmtId="49" xfId="0" applyNumberFormat="1" applyBorder="1" applyAlignment="1">
      <alignment vertical="top"/>
    </xf>
    <xf fontId="0" fillId="0" borderId="29" numFmtId="49" xfId="0" applyNumberFormat="1" applyBorder="1" applyAlignment="1">
      <alignment vertical="top"/>
    </xf>
    <xf fontId="22" fillId="41" borderId="23" numFmtId="0" xfId="0" applyFont="1" applyFill="1" applyBorder="1" applyAlignment="1">
      <alignment horizontal="left" vertical="top" wrapText="1"/>
    </xf>
    <xf fontId="0" fillId="41" borderId="23" numFmtId="0" xfId="0" applyFill="1" applyBorder="1" applyAlignment="1">
      <alignment horizontal="left" vertical="center" wrapText="1"/>
    </xf>
    <xf fontId="70" fillId="42" borderId="21" numFmtId="0" xfId="0" applyFont="1" applyFill="1" applyBorder="1" applyAlignment="1">
      <alignment horizontal="left" vertical="center"/>
    </xf>
    <xf fontId="70" fillId="42" borderId="25" numFmtId="0" xfId="0" applyFont="1" applyFill="1" applyBorder="1" applyAlignment="1">
      <alignment horizontal="left" vertical="center"/>
    </xf>
    <xf fontId="70" fillId="42" borderId="20" numFmtId="0" xfId="0" applyFont="1" applyFill="1" applyBorder="1" applyAlignment="1">
      <alignment horizontal="left" vertical="center"/>
    </xf>
    <xf fontId="0" fillId="41" borderId="23" numFmtId="49" xfId="0" applyNumberFormat="1" applyFill="1" applyBorder="1" applyAlignment="1">
      <alignment horizontal="left" vertical="top"/>
    </xf>
    <xf fontId="0" fillId="36" borderId="23" numFmtId="49" xfId="0" applyNumberFormat="1" applyFill="1" applyBorder="1" applyAlignment="1">
      <alignment horizontal="left" vertical="top"/>
      <protection locked="0"/>
    </xf>
    <xf fontId="0" fillId="41" borderId="23" numFmtId="49" xfId="0" applyNumberFormat="1" applyFill="1" applyBorder="1" applyAlignment="1">
      <alignment horizontal="left" vertical="center" wrapText="1"/>
    </xf>
    <xf fontId="0" fillId="42" borderId="25" numFmtId="0" xfId="0" applyFill="1" applyBorder="1" applyAlignment="1">
      <alignment vertical="center"/>
    </xf>
    <xf fontId="0" fillId="0" borderId="42" numFmtId="49" xfId="0" applyNumberFormat="1" applyBorder="1" applyAlignment="1">
      <alignment horizontal="left" vertical="top"/>
    </xf>
    <xf fontId="0" fillId="41" borderId="42" numFmtId="49" xfId="0" applyNumberFormat="1" applyFill="1" applyBorder="1" applyAlignment="1">
      <alignment horizontal="left" vertical="top"/>
    </xf>
    <xf fontId="0" fillId="36" borderId="42" numFmtId="49" xfId="0" applyNumberFormat="1" applyFill="1" applyBorder="1" applyAlignment="1">
      <alignment horizontal="left" vertical="top"/>
      <protection locked="0"/>
    </xf>
    <xf fontId="22" fillId="41" borderId="0" numFmtId="49" xfId="0" applyNumberFormat="1" applyFont="1" applyFill="1" applyAlignment="1">
      <alignment horizontal="center" vertical="center" wrapText="1"/>
    </xf>
    <xf fontId="70" fillId="0" borderId="42" numFmtId="0" xfId="0" applyFont="1" applyBorder="1" applyAlignment="1">
      <alignment horizontal="left" vertical="center"/>
    </xf>
    <xf fontId="0" fillId="41" borderId="42" numFmtId="49" xfId="0" applyNumberFormat="1" applyFill="1" applyBorder="1" applyAlignment="1">
      <alignment horizontal="left" vertical="center" wrapText="1"/>
    </xf>
    <xf fontId="70" fillId="36" borderId="42" numFmtId="0" xfId="0" applyFont="1" applyFill="1" applyBorder="1" applyAlignment="1">
      <alignment horizontal="left" vertical="center"/>
      <protection locked="0"/>
    </xf>
    <xf fontId="70" fillId="39" borderId="42" numFmtId="0" xfId="0" applyFont="1" applyFill="1" applyBorder="1" applyAlignment="1">
      <alignment horizontal="left" vertical="center"/>
      <protection locked="0"/>
    </xf>
    <xf fontId="45" fillId="0" borderId="21" numFmtId="49" xfId="0" applyNumberFormat="1" applyFont="1" applyBorder="1" applyAlignment="1">
      <alignment horizontal="left" vertical="center" wrapText="1"/>
    </xf>
    <xf fontId="45" fillId="0" borderId="21" numFmtId="0" xfId="0" applyFont="1" applyBorder="1" applyAlignment="1">
      <alignment horizontal="left" vertical="center"/>
    </xf>
    <xf fontId="45" fillId="0" borderId="25" numFmtId="0" xfId="0" applyFont="1" applyBorder="1" applyAlignment="1">
      <alignment horizontal="left" vertical="center"/>
    </xf>
    <xf fontId="70" fillId="42" borderId="34" numFmtId="0" xfId="0" applyFont="1" applyFill="1" applyBorder="1" applyAlignment="1">
      <alignment horizontal="left" vertical="center"/>
    </xf>
    <xf fontId="0" fillId="36" borderId="42" numFmtId="49" xfId="0" applyNumberFormat="1" applyFill="1" applyBorder="1" applyAlignment="1">
      <alignment vertical="top"/>
      <protection locked="0"/>
    </xf>
    <xf fontId="22" fillId="0" borderId="42" numFmtId="49" xfId="0" applyNumberFormat="1" applyFont="1" applyBorder="1" applyAlignment="1">
      <alignment horizontal="center" vertical="center"/>
    </xf>
    <xf fontId="22" fillId="0" borderId="42" numFmtId="49" xfId="0" applyNumberFormat="1" applyFont="1" applyBorder="1" applyAlignment="1">
      <alignment vertical="center" wrapText="1"/>
    </xf>
    <xf fontId="22" fillId="0" borderId="29" numFmtId="0" xfId="0" applyFont="1" applyBorder="1" applyAlignment="1">
      <alignment horizontal="center" vertical="center"/>
    </xf>
    <xf fontId="61" fillId="0" borderId="42" numFmtId="49" xfId="0" applyNumberFormat="1" applyFont="1" applyBorder="1" applyAlignment="1">
      <alignment vertical="center" wrapText="1"/>
    </xf>
    <xf fontId="22" fillId="41" borderId="32" numFmtId="0" xfId="0" applyFont="1" applyFill="1" applyBorder="1" applyAlignment="1">
      <alignment horizontal="left" vertical="center" wrapText="1"/>
    </xf>
    <xf fontId="22" fillId="41" borderId="32" numFmtId="49" xfId="0" applyNumberFormat="1" applyFont="1" applyFill="1" applyBorder="1" applyAlignment="1">
      <alignment horizontal="left" vertical="center" wrapText="1"/>
    </xf>
    <xf fontId="22" fillId="0" borderId="42" numFmtId="0" xfId="0" applyFont="1" applyBorder="1" applyAlignment="1">
      <alignment horizontal="left" vertical="center" wrapText="1"/>
    </xf>
    <xf fontId="22" fillId="0" borderId="42" numFmtId="49" xfId="0" applyNumberFormat="1" applyFont="1" applyBorder="1" applyAlignment="1">
      <alignment horizontal="left" vertical="center" wrapText="1"/>
    </xf>
    <xf fontId="22" fillId="41" borderId="42" numFmtId="0" xfId="0" applyFont="1" applyFill="1" applyBorder="1" applyAlignment="1">
      <alignment horizontal="left" vertical="center" wrapText="1"/>
    </xf>
    <xf fontId="70" fillId="0" borderId="30" numFmtId="0" xfId="0" applyFont="1" applyBorder="1" applyAlignment="1">
      <alignment horizontal="left" vertical="center"/>
    </xf>
    <xf fontId="70" fillId="42" borderId="33" numFmtId="0" xfId="0" applyFont="1" applyFill="1" applyBorder="1" applyAlignment="1">
      <alignment horizontal="left" vertical="center"/>
    </xf>
    <xf fontId="70" fillId="42" borderId="26" numFmtId="0" xfId="0" applyFont="1" applyFill="1" applyBorder="1" applyAlignment="1">
      <alignment horizontal="left" vertical="center"/>
    </xf>
    <xf fontId="70" fillId="42" borderId="27" numFmtId="0" xfId="0" applyFont="1" applyFill="1" applyBorder="1" applyAlignment="1">
      <alignment horizontal="left" vertical="center"/>
    </xf>
    <xf fontId="22" fillId="39" borderId="32" numFmtId="49" xfId="0" applyNumberFormat="1" applyFont="1" applyFill="1" applyBorder="1" applyAlignment="1">
      <alignment horizontal="left" vertical="center" wrapText="1"/>
      <protection locked="0"/>
    </xf>
    <xf fontId="61" fillId="0" borderId="42" numFmtId="49" xfId="0" applyNumberFormat="1" applyFont="1" applyBorder="1" applyAlignment="1">
      <alignment horizontal="center" vertical="center" wrapText="1"/>
    </xf>
    <xf fontId="70" fillId="42" borderId="33" numFmtId="0" xfId="0" applyFont="1" applyFill="1" applyBorder="1" applyAlignment="1">
      <alignment vertical="center"/>
    </xf>
    <xf fontId="22" fillId="36" borderId="32" numFmtId="49" xfId="0" applyNumberFormat="1" applyFont="1" applyFill="1" applyBorder="1" applyAlignment="1">
      <alignment horizontal="left" vertical="center" wrapText="1"/>
      <protection locked="0"/>
    </xf>
    <xf fontId="82" fillId="42" borderId="21" numFmtId="49" xfId="0" applyNumberFormat="1" applyFont="1" applyFill="1" applyBorder="1" applyAlignment="1">
      <alignment vertical="top"/>
    </xf>
    <xf fontId="82" fillId="42" borderId="25" numFmtId="49" xfId="0" applyNumberFormat="1" applyFont="1" applyFill="1" applyBorder="1" applyAlignment="1">
      <alignment vertical="top"/>
    </xf>
    <xf fontId="124" fillId="0" borderId="0" numFmtId="49" xfId="0" applyNumberFormat="1" applyFont="1" applyAlignment="1">
      <alignment vertical="top" wrapText="1"/>
    </xf>
    <xf fontId="124" fillId="0" borderId="0" numFmtId="49" xfId="0" applyNumberFormat="1" applyFont="1" applyAlignment="1">
      <alignment vertical="top"/>
    </xf>
    <xf fontId="124" fillId="0" borderId="23" numFmtId="49" xfId="0" applyNumberFormat="1" applyFont="1" applyBorder="1" applyAlignment="1">
      <alignment vertical="top" wrapText="1"/>
    </xf>
    <xf fontId="40" fillId="0" borderId="23" numFmtId="49" xfId="0" applyNumberFormat="1" applyFont="1" applyBorder="1" applyAlignment="1">
      <alignment horizontal="center" vertical="top" wrapText="1"/>
    </xf>
    <xf fontId="40" fillId="51" borderId="23" numFmtId="49" xfId="0" applyNumberFormat="1" applyFont="1" applyFill="1" applyBorder="1" applyAlignment="1">
      <alignment horizontal="center" vertical="top"/>
    </xf>
    <xf fontId="40" fillId="0" borderId="23" numFmtId="49" xfId="0" applyNumberFormat="1" applyFont="1" applyBorder="1" applyAlignment="1">
      <alignment vertical="top" wrapText="1"/>
    </xf>
    <xf fontId="40" fillId="0" borderId="23" numFmtId="0" xfId="0" applyFont="1" applyBorder="1" applyAlignment="1">
      <alignment vertical="top" wrapText="1"/>
    </xf>
    <xf fontId="40" fillId="0" borderId="23" numFmtId="49" xfId="0" applyNumberFormat="1" applyFont="1" applyBorder="1" applyAlignment="1">
      <alignment vertical="top"/>
    </xf>
    <xf fontId="124" fillId="0" borderId="23" numFmtId="49" xfId="0" applyNumberFormat="1" applyFont="1" applyBorder="1" applyAlignment="1">
      <alignment vertical="top"/>
    </xf>
    <xf fontId="124" fillId="0" borderId="23" numFmtId="0" xfId="0" applyFont="1" applyBorder="1" applyAlignment="1">
      <alignment vertical="top" wrapText="1"/>
    </xf>
    <xf fontId="124" fillId="0" borderId="0" numFmtId="49" xfId="0" applyNumberFormat="1" applyFont="1" applyAlignment="1">
      <alignment horizontal="left" vertical="top" wrapText="1"/>
    </xf>
    <xf fontId="124" fillId="51" borderId="0" numFmtId="49" xfId="0" applyNumberFormat="1" applyFont="1" applyFill="1" applyAlignment="1">
      <alignment horizontal="left" vertical="top" wrapText="1"/>
    </xf>
    <xf fontId="124" fillId="0" borderId="0" numFmtId="0" xfId="0" applyFont="1" applyAlignment="1">
      <alignment vertical="top" wrapText="1"/>
    </xf>
    <xf fontId="124" fillId="0" borderId="0" numFmtId="49" xfId="0" applyNumberFormat="1" applyFont="1" applyAlignment="1">
      <alignment horizontal="center" vertical="top" wrapText="1"/>
    </xf>
    <xf fontId="124" fillId="0" borderId="23" numFmtId="49" xfId="0" applyNumberFormat="1" applyFont="1" applyBorder="1" applyAlignment="1">
      <alignment horizontal="center" vertical="top" wrapText="1"/>
    </xf>
    <xf fontId="124" fillId="51" borderId="23" numFmtId="49" xfId="0" applyNumberFormat="1" applyFont="1" applyFill="1" applyBorder="1" applyAlignment="1">
      <alignment horizontal="center" vertical="top" wrapText="1"/>
    </xf>
    <xf fontId="40" fillId="51" borderId="23" numFmtId="49" xfId="0" applyNumberFormat="1" applyFont="1" applyFill="1" applyBorder="1" applyAlignment="1">
      <alignment horizontal="center" vertical="top" wrapText="1"/>
    </xf>
    <xf fontId="124" fillId="0" borderId="23" numFmtId="49" xfId="0" applyNumberFormat="1" applyFont="1" applyBorder="1" applyAlignment="1">
      <alignment horizontal="left" vertical="top" wrapText="1"/>
    </xf>
    <xf fontId="40" fillId="51" borderId="23" numFmtId="0" xfId="0" applyFont="1" applyFill="1" applyBorder="1" applyAlignment="1">
      <alignment horizontal="center" vertical="top" wrapText="1"/>
    </xf>
    <xf fontId="124" fillId="51" borderId="23" numFmtId="0" xfId="0" applyFont="1" applyFill="1" applyBorder="1" applyAlignment="1">
      <alignment horizontal="right" vertical="center" wrapText="1"/>
    </xf>
    <xf fontId="124" fillId="0" borderId="21" numFmtId="49" xfId="0" applyNumberFormat="1" applyFont="1" applyBorder="1" applyAlignment="1">
      <alignment horizontal="center" vertical="top" wrapText="1"/>
    </xf>
    <xf fontId="124" fillId="0" borderId="25" numFmtId="49" xfId="0" applyNumberFormat="1" applyFont="1" applyBorder="1" applyAlignment="1">
      <alignment horizontal="center" vertical="top" wrapText="1"/>
    </xf>
    <xf fontId="124" fillId="0" borderId="20" numFmtId="49" xfId="0" applyNumberFormat="1" applyFont="1" applyBorder="1" applyAlignment="1">
      <alignment horizontal="center" vertical="top" wrapText="1"/>
    </xf>
    <xf fontId="124" fillId="0" borderId="23" numFmtId="0" xfId="0" applyFont="1" applyBorder="1" applyAlignment="1">
      <alignment horizontal="left" vertical="top" wrapText="1"/>
    </xf>
    <xf fontId="124" fillId="51" borderId="23" numFmtId="49" xfId="0" applyNumberFormat="1" applyFont="1" applyFill="1" applyBorder="1" applyAlignment="1">
      <alignment horizontal="left" vertical="top" wrapText="1"/>
    </xf>
    <xf fontId="124" fillId="51" borderId="23" numFmtId="0" xfId="0" applyFont="1" applyFill="1" applyBorder="1" applyAlignment="1">
      <alignment horizontal="center" vertical="center" wrapText="1"/>
    </xf>
    <xf fontId="124" fillId="0" borderId="32" numFmtId="49" xfId="0" applyNumberFormat="1" applyFont="1" applyBorder="1" applyAlignment="1">
      <alignment horizontal="center" vertical="top" wrapText="1"/>
    </xf>
    <xf fontId="124" fillId="0" borderId="42" numFmtId="49" xfId="0" applyNumberFormat="1" applyFont="1" applyBorder="1" applyAlignment="1">
      <alignment horizontal="center" vertical="top" wrapText="1"/>
    </xf>
    <xf fontId="124" fillId="0" borderId="32" numFmtId="0" xfId="0" applyFont="1" applyBorder="1" applyAlignment="1">
      <alignment horizontal="left" vertical="top" wrapText="1"/>
    </xf>
    <xf fontId="124" fillId="0" borderId="33" numFmtId="49" xfId="0" applyNumberFormat="1" applyFont="1" applyBorder="1" applyAlignment="1">
      <alignment horizontal="center" vertical="top" wrapText="1"/>
    </xf>
    <xf fontId="124" fillId="0" borderId="20" numFmtId="0" xfId="0" applyFont="1" applyBorder="1" applyAlignment="1">
      <alignment horizontal="left" vertical="top" wrapText="1"/>
    </xf>
    <xf fontId="124" fillId="0" borderId="30" numFmtId="49" xfId="0" applyNumberFormat="1" applyFont="1" applyBorder="1" applyAlignment="1">
      <alignment horizontal="center" vertical="top" wrapText="1"/>
    </xf>
    <xf fontId="124" fillId="0" borderId="35" numFmtId="49" xfId="0" applyNumberFormat="1" applyFont="1" applyBorder="1" applyAlignment="1">
      <alignment horizontal="center" vertical="top" wrapText="1"/>
    </xf>
    <xf fontId="124" fillId="0" borderId="28" numFmtId="49" xfId="0" applyNumberFormat="1" applyFont="1" applyBorder="1" applyAlignment="1">
      <alignment horizontal="center" vertical="top" wrapText="1"/>
    </xf>
    <xf fontId="124" fillId="0" borderId="32" numFmtId="0" xfId="0" applyFont="1" applyBorder="1" applyAlignment="1">
      <alignment vertical="top" wrapText="1"/>
    </xf>
    <xf fontId="40" fillId="0" borderId="23" numFmtId="49" xfId="0" applyNumberFormat="1" applyFont="1" applyBorder="1" applyAlignment="1">
      <alignment horizontal="left" vertical="top" wrapText="1"/>
    </xf>
    <xf fontId="40" fillId="0" borderId="21" numFmtId="0" xfId="0" applyFont="1" applyBorder="1" applyAlignment="1">
      <alignment horizontal="center" vertical="center" wrapText="1"/>
    </xf>
    <xf fontId="40" fillId="0" borderId="21" numFmtId="0" xfId="0" applyFont="1" applyBorder="1" applyAlignment="1">
      <alignment horizontal="center" vertical="center"/>
    </xf>
    <xf fontId="40" fillId="0" borderId="23" numFmtId="49" xfId="0" applyNumberFormat="1" applyFont="1" applyBorder="1" applyAlignment="1">
      <alignment horizontal="center" vertical="center" wrapText="1"/>
    </xf>
    <xf fontId="40" fillId="0" borderId="23" numFmtId="0" xfId="0" applyFont="1" applyBorder="1" applyAlignment="1">
      <alignment vertical="center" wrapText="1"/>
    </xf>
    <xf fontId="124" fillId="0" borderId="21" numFmtId="49" xfId="0" applyNumberFormat="1" applyFont="1" applyBorder="1" applyAlignment="1">
      <alignment horizontal="left" vertical="top" wrapText="1"/>
    </xf>
    <xf fontId="40" fillId="0" borderId="23" numFmtId="0" xfId="0" applyFont="1" applyBorder="1" applyAlignment="1">
      <alignment horizontal="center" vertical="center" wrapText="1"/>
    </xf>
    <xf fontId="40" fillId="0" borderId="32" numFmtId="0" xfId="0" applyFont="1" applyBorder="1" applyAlignment="1">
      <alignment vertical="center" wrapText="1"/>
    </xf>
    <xf fontId="40" fillId="0" borderId="30" numFmtId="0" xfId="0" applyFont="1" applyBorder="1" applyAlignment="1">
      <alignment vertical="center" wrapText="1"/>
    </xf>
    <xf fontId="124" fillId="0" borderId="35" numFmtId="49" xfId="0" applyNumberFormat="1" applyFont="1" applyBorder="1" applyAlignment="1">
      <alignment horizontal="left" vertical="top" wrapText="1"/>
    </xf>
    <xf fontId="124" fillId="0" borderId="20" numFmtId="49" xfId="0" applyNumberFormat="1" applyFont="1" applyBorder="1" applyAlignment="1">
      <alignment horizontal="left" vertical="top" wrapText="1"/>
    </xf>
    <xf fontId="40" fillId="0" borderId="32" numFmtId="49" xfId="0" applyNumberFormat="1" applyFont="1" applyBorder="1" applyAlignment="1">
      <alignment horizontal="center" vertical="center" wrapText="1"/>
    </xf>
    <xf fontId="40" fillId="0" borderId="30" numFmtId="49" xfId="0" applyNumberFormat="1" applyFont="1" applyBorder="1" applyAlignment="1">
      <alignment horizontal="center" vertical="center" wrapText="1"/>
    </xf>
    <xf fontId="40" fillId="0" borderId="32" numFmtId="0" xfId="0" applyFont="1" applyBorder="1" applyAlignment="1">
      <alignment horizontal="center" vertical="center" wrapText="1"/>
    </xf>
    <xf fontId="124" fillId="0" borderId="42" numFmtId="49" xfId="0" applyNumberFormat="1" applyFont="1" applyBorder="1" applyAlignment="1">
      <alignment horizontal="left" vertical="top" wrapText="1"/>
    </xf>
    <xf fontId="124" fillId="0" borderId="42" numFmtId="0" xfId="0" applyFont="1" applyBorder="1" applyAlignment="1">
      <alignment horizontal="left" vertical="top" wrapText="1"/>
    </xf>
    <xf fontId="36" fillId="0" borderId="26" numFmtId="0" xfId="0" applyFont="1" applyBorder="1" applyAlignment="1">
      <alignment horizontal="left" indent="1" vertical="center" wrapText="1"/>
    </xf>
    <xf fontId="36" fillId="0" borderId="45" numFmtId="0" xfId="0" applyFont="1" applyBorder="1" applyAlignment="1">
      <alignment horizontal="left" indent="1" vertical="center" wrapText="1"/>
    </xf>
    <xf fontId="22" fillId="38" borderId="23" numFmtId="4" xfId="0" applyNumberFormat="1" applyFont="1" applyFill="1" applyBorder="1" applyAlignment="1">
      <alignment horizontal="left" vertical="center" wrapText="1"/>
    </xf>
    <xf fontId="106" fillId="42" borderId="21" numFmtId="49" xfId="0" applyNumberFormat="1" applyFont="1" applyFill="1" applyBorder="1" applyAlignment="1">
      <alignment horizontal="left" vertical="center"/>
    </xf>
    <xf fontId="125" fillId="42" borderId="25" numFmtId="49" xfId="0" applyNumberFormat="1" applyFont="1" applyFill="1" applyBorder="1" applyAlignment="1">
      <alignment horizontal="left" indent="3" vertical="center"/>
    </xf>
    <xf fontId="63" fillId="42" borderId="25" numFmtId="49" xfId="0" applyNumberFormat="1" applyFont="1" applyFill="1" applyBorder="1" applyAlignment="1">
      <alignment horizontal="center" vertical="center" wrapText="1"/>
    </xf>
    <xf fontId="82" fillId="42" borderId="25" numFmtId="49" xfId="0" applyNumberFormat="1" applyFont="1" applyFill="1" applyBorder="1" applyAlignment="1">
      <alignment horizontal="center" vertical="center" wrapText="1"/>
    </xf>
    <xf fontId="82" fillId="42" borderId="20" numFmtId="49" xfId="0" applyNumberFormat="1" applyFont="1" applyFill="1" applyBorder="1" applyAlignment="1">
      <alignment horizontal="center" vertical="center" wrapText="1"/>
    </xf>
    <xf fontId="125" fillId="42" borderId="25" numFmtId="49" xfId="0" applyNumberFormat="1" applyFont="1" applyFill="1" applyBorder="1" applyAlignment="1">
      <alignment horizontal="left" indent="2" vertical="center"/>
    </xf>
    <xf fontId="125" fillId="42" borderId="25" numFmtId="49" xfId="0" applyNumberFormat="1" applyFont="1" applyFill="1" applyBorder="1" applyAlignment="1">
      <alignment horizontal="left" indent="1" vertical="center"/>
    </xf>
    <xf fontId="43" fillId="0" borderId="0" numFmtId="49" xfId="0" applyNumberFormat="1" applyFont="1" applyAlignment="1">
      <alignment horizontal="left" vertical="top"/>
    </xf>
    <xf fontId="82" fillId="42" borderId="21" numFmtId="49" xfId="0" applyNumberFormat="1" applyFont="1" applyFill="1" applyBorder="1" applyAlignment="1">
      <alignment horizontal="left" vertical="top"/>
    </xf>
    <xf fontId="125" fillId="42" borderId="25" numFmtId="49" xfId="0" applyNumberFormat="1" applyFont="1" applyFill="1" applyBorder="1" applyAlignment="1">
      <alignment horizontal="left" vertical="center"/>
    </xf>
    <xf fontId="0" fillId="0" borderId="23" numFmtId="49" xfId="75" applyNumberFormat="1" applyBorder="1" applyAlignment="1">
      <alignment vertical="top"/>
    </xf>
    <xf fontId="0" fillId="0" borderId="21" numFmtId="49" xfId="75" applyNumberFormat="1" applyBorder="1" applyAlignment="1">
      <alignment vertical="top"/>
    </xf>
    <xf fontId="0" fillId="0" borderId="23" numFmtId="49" xfId="75" applyNumberFormat="1" applyBorder="1" applyAlignment="1">
      <alignment horizontal="center" vertical="top"/>
    </xf>
    <xf fontId="0" fillId="0" borderId="21" numFmtId="49" xfId="75" applyNumberFormat="1" applyBorder="1" applyAlignment="1">
      <alignment horizontal="center" vertical="top"/>
    </xf>
    <xf fontId="0" fillId="55" borderId="32" numFmtId="49" xfId="75" applyNumberFormat="1" applyFill="1" applyBorder="1" applyAlignment="1">
      <alignment vertical="top"/>
    </xf>
    <xf fontId="0" fillId="0" borderId="21" numFmtId="49" xfId="0" applyNumberFormat="1" applyBorder="1" applyAlignment="1">
      <alignment horizontal="center" vertical="top"/>
    </xf>
    <xf fontId="0" fillId="56" borderId="23" numFmtId="49" xfId="75" applyNumberFormat="1" applyFill="1" applyBorder="1" applyAlignment="1">
      <alignment vertical="top"/>
    </xf>
    <xf fontId="0" fillId="0" borderId="25" numFmtId="49" xfId="75" applyNumberFormat="1" applyBorder="1" applyAlignment="1">
      <alignment horizontal="center" vertical="top"/>
    </xf>
    <xf fontId="0" fillId="3" borderId="23" numFmtId="49" xfId="75" applyNumberFormat="1" applyFill="1" applyBorder="1" applyAlignment="1">
      <alignment vertical="top"/>
    </xf>
    <xf fontId="0" fillId="0" borderId="25" numFmtId="49" xfId="0" applyNumberFormat="1" applyBorder="1" applyAlignment="1">
      <alignment horizontal="center" vertical="top"/>
    </xf>
    <xf fontId="0" fillId="57" borderId="23" numFmtId="49" xfId="75" applyNumberFormat="1" applyFill="1" applyBorder="1" applyAlignment="1">
      <alignment vertical="top"/>
    </xf>
    <xf fontId="0" fillId="16" borderId="32" numFmtId="49" xfId="75" applyNumberFormat="1" applyFill="1" applyBorder="1" applyAlignment="1">
      <alignment vertical="top"/>
    </xf>
    <xf fontId="0" fillId="5" borderId="21" numFmtId="49" xfId="75" applyNumberFormat="1" applyFill="1" applyBorder="1" applyAlignment="1">
      <alignment vertical="top"/>
    </xf>
    <xf fontId="0" fillId="5" borderId="23" numFmtId="49" xfId="75" applyNumberFormat="1" applyFill="1" applyBorder="1" applyAlignment="1">
      <alignment vertical="top"/>
    </xf>
    <xf fontId="0" fillId="16" borderId="23" numFmtId="49" xfId="75" applyNumberFormat="1" applyFill="1" applyBorder="1" applyAlignment="1">
      <alignment vertical="top"/>
    </xf>
    <xf fontId="0" fillId="16" borderId="32" numFmtId="49" xfId="0" applyNumberFormat="1" applyFill="1" applyBorder="1" applyAlignment="1">
      <alignment vertical="top"/>
    </xf>
    <xf fontId="0" fillId="40" borderId="0" numFmtId="49" xfId="0" applyNumberFormat="1" applyFill="1" applyAlignment="1">
      <alignment vertical="top"/>
    </xf>
    <xf fontId="1" fillId="0" borderId="0" numFmtId="0" xfId="0" applyFont="1"/>
    <xf fontId="0" fillId="0" borderId="0" numFmtId="0" xfId="0"/>
    <xf fontId="29" fillId="0" borderId="0" numFmtId="0" xfId="77" applyFont="1"/>
    <xf fontId="22" fillId="38" borderId="71" numFmtId="49" xfId="0" applyNumberFormat="1" applyFont="1" applyFill="1" applyBorder="1" applyAlignment="1">
      <alignment horizontal="center" vertical="top"/>
    </xf>
    <xf fontId="126" fillId="0" borderId="24" numFmtId="49" xfId="0" applyNumberFormat="1" applyFont="1" applyBorder="1" applyAlignment="1">
      <alignment vertical="top" wrapText="1"/>
    </xf>
    <xf fontId="0" fillId="0" borderId="24" numFmtId="0" xfId="0" applyBorder="1" applyAlignment="1">
      <alignment vertical="top" wrapText="1"/>
    </xf>
    <xf fontId="36" fillId="0" borderId="74" numFmtId="0" xfId="0" applyFont="1" applyBorder="1" applyAlignment="1">
      <alignment vertical="top" wrapText="1"/>
    </xf>
    <xf fontId="0" fillId="0" borderId="23" numFmtId="0" xfId="0" applyBorder="1" applyAlignment="1">
      <alignment vertical="top" wrapText="1"/>
    </xf>
    <xf fontId="0" fillId="0" borderId="32" numFmtId="49" xfId="0" applyNumberFormat="1" applyBorder="1" applyAlignment="1">
      <alignment vertical="top"/>
    </xf>
    <xf fontId="51" fillId="0" borderId="24" numFmtId="0" xfId="0" applyFont="1" applyBorder="1" applyAlignment="1">
      <alignment vertical="center" wrapText="1"/>
    </xf>
    <xf fontId="36" fillId="0" borderId="0" numFmtId="0" xfId="0" applyFont="1" applyAlignment="1">
      <alignment vertical="top" wrapText="1"/>
    </xf>
    <xf fontId="22" fillId="0" borderId="24" numFmtId="0" xfId="0" applyFont="1" applyBorder="1" applyAlignment="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50"/>
    <cellStyle name="_Model_RAB Мой_PR.PROG.WARM.NOTCOMBI.2012.2.16_v1.4(04.04.11) " xfId="51"/>
    <cellStyle name="_Model_RAB Мой_Книга2_PR.PROG.WARM.NOTCOMBI.2012.2.16_v1.4(04.04.11) " xfId="52"/>
    <cellStyle name="_Model_RAB_MRSK_svod_PR.PROG.WARM.NOTCOMBI.2012.2.16_v1.4(04.04.11) " xfId="53"/>
    <cellStyle name="_Model_RAB_MRSK_svod_Книга2_PR.PROG.WARM.NOTCOMBI.2012.2.16_v1.4(04.04.11) " xfId="54"/>
    <cellStyle name="_МОДЕЛЬ_1 (2)_PR.PROG.WARM.NOTCOMBI.2012.2.16_v1.4(04.04.11) " xfId="55"/>
    <cellStyle name="_МОДЕЛЬ_1 (2)_Книга2_PR.PROG.WARM.NOTCOMBI.2012.2.16_v1.4(04.04.11) " xfId="56"/>
    <cellStyle name="_пр 5 тариф RAB_PR.PROG.WARM.NOTCOMBI.2012.2.16_v1.4(04.04.11) " xfId="57"/>
    <cellStyle name="_пр 5 тариф RAB_Книга2_PR.PROG.WARM.NOTCOMBI.2012.2.16_v1.4(04.04.11) " xfId="58"/>
    <cellStyle name="_Расчет RAB_22072008_PR.PROG.WARM.NOTCOMBI.2012.2.16_v1.4(04.04.11) " xfId="59"/>
    <cellStyle name="_Расчет RAB_22072008_Книга2_PR.PROG.WARM.NOTCOMBI.2012.2.16_v1.4(04.04.11) " xfId="60"/>
    <cellStyle name="_Расчет RAB_Лен и МОЭСК_с 2010 года_14.04.2009_со сглаж_version 3.0_без ФСК_PR.PROG.WARM.NOTCOMBI.2012.2.16_v1.4(04.04.11) " xfId="61"/>
    <cellStyle name="_Расчет RAB_Лен и МОЭСК_с 2010 года_14.04.2009_со сглаж_version 3.0_без ФСК_Книга2_PR.PROG.WARM.NOTCOMBI.2012.2.16_v1.4(04.04.11) " xfId="62"/>
    <cellStyle name="currency1" xfId="63"/>
    <cellStyle name="Currency2" xfId="64"/>
    <cellStyle name="currency3" xfId="65"/>
    <cellStyle name="currency4" xfId="66"/>
    <cellStyle name="Followed Hyperlink" xfId="67"/>
    <cellStyle name="Hyperlink" xfId="68" builtinId="8"/>
    <cellStyle name="Normal1" xfId="69"/>
    <cellStyle name="Normal2" xfId="70"/>
    <cellStyle name="Percent1" xfId="71"/>
    <cellStyle name="Гиперссылка" xfId="72"/>
    <cellStyle name="Обычный 10" xfId="73"/>
    <cellStyle name="Обычный 16" xfId="74"/>
    <cellStyle name="Обычный 2" xfId="75"/>
    <cellStyle name="Обычный_BALANCE.WARM.2007YEAR(FACT)" xfId="76"/>
    <cellStyle name="Обычный_PRIL1.ELECTR" xfId="77"/>
    <cellStyle name="Открывавшаяся гиперссылка" xfId="7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93" Type="http://schemas.openxmlformats.org/officeDocument/2006/relationships/styles" Target="styles.xml"/><Relationship  Id="rId89" Type="http://schemas.openxmlformats.org/officeDocument/2006/relationships/worksheet" Target="worksheets/sheet88.xml"/><Relationship  Id="rId88" Type="http://schemas.openxmlformats.org/officeDocument/2006/relationships/worksheet" Target="worksheets/sheet87.xml"/><Relationship  Id="rId87" Type="http://schemas.openxmlformats.org/officeDocument/2006/relationships/worksheet" Target="worksheets/sheet86.xml"/><Relationship  Id="rId84" Type="http://schemas.openxmlformats.org/officeDocument/2006/relationships/worksheet" Target="worksheets/sheet83.xml"/><Relationship  Id="rId82" Type="http://schemas.openxmlformats.org/officeDocument/2006/relationships/worksheet" Target="worksheets/sheet81.xml"/><Relationship  Id="rId81" Type="http://schemas.openxmlformats.org/officeDocument/2006/relationships/worksheet" Target="worksheets/sheet80.xml"/><Relationship  Id="rId75" Type="http://schemas.openxmlformats.org/officeDocument/2006/relationships/worksheet" Target="worksheets/sheet74.xml"/><Relationship  Id="rId71" Type="http://schemas.openxmlformats.org/officeDocument/2006/relationships/worksheet" Target="worksheets/sheet70.xml"/><Relationship  Id="rId69" Type="http://schemas.openxmlformats.org/officeDocument/2006/relationships/worksheet" Target="worksheets/sheet68.xml"/><Relationship  Id="rId68" Type="http://schemas.openxmlformats.org/officeDocument/2006/relationships/worksheet" Target="worksheets/sheet67.xml"/><Relationship  Id="rId67" Type="http://schemas.openxmlformats.org/officeDocument/2006/relationships/worksheet" Target="worksheets/sheet66.xml"/><Relationship  Id="rId85" Type="http://schemas.openxmlformats.org/officeDocument/2006/relationships/worksheet" Target="worksheets/sheet84.xml"/><Relationship  Id="rId66" Type="http://schemas.openxmlformats.org/officeDocument/2006/relationships/worksheet" Target="worksheets/sheet65.xml"/><Relationship  Id="rId65" Type="http://schemas.openxmlformats.org/officeDocument/2006/relationships/worksheet" Target="worksheets/sheet64.xml"/><Relationship  Id="rId60" Type="http://schemas.openxmlformats.org/officeDocument/2006/relationships/worksheet" Target="worksheets/sheet59.xml"/><Relationship  Id="rId83" Type="http://schemas.openxmlformats.org/officeDocument/2006/relationships/worksheet" Target="worksheets/sheet82.xml"/><Relationship  Id="rId59" Type="http://schemas.openxmlformats.org/officeDocument/2006/relationships/worksheet" Target="worksheets/sheet58.xml"/><Relationship  Id="rId63" Type="http://schemas.openxmlformats.org/officeDocument/2006/relationships/worksheet" Target="worksheets/sheet62.xml"/><Relationship  Id="rId57" Type="http://schemas.openxmlformats.org/officeDocument/2006/relationships/worksheet" Target="worksheets/sheet56.xml"/><Relationship  Id="rId56" Type="http://schemas.openxmlformats.org/officeDocument/2006/relationships/worksheet" Target="worksheets/sheet55.xml"/><Relationship  Id="rId91" Type="http://schemas.openxmlformats.org/officeDocument/2006/relationships/theme" Target="theme/theme1.xml"/><Relationship  Id="rId51" Type="http://schemas.openxmlformats.org/officeDocument/2006/relationships/worksheet" Target="worksheets/sheet50.xml"/><Relationship  Id="rId48" Type="http://schemas.openxmlformats.org/officeDocument/2006/relationships/worksheet" Target="worksheets/sheet47.xml"/><Relationship  Id="rId55" Type="http://schemas.openxmlformats.org/officeDocument/2006/relationships/worksheet" Target="worksheets/sheet54.xml"/><Relationship  Id="rId78" Type="http://schemas.openxmlformats.org/officeDocument/2006/relationships/worksheet" Target="worksheets/sheet77.xml"/><Relationship  Id="rId47" Type="http://schemas.openxmlformats.org/officeDocument/2006/relationships/worksheet" Target="worksheets/sheet46.xml"/><Relationship  Id="rId45" Type="http://schemas.openxmlformats.org/officeDocument/2006/relationships/worksheet" Target="worksheets/sheet44.xml"/><Relationship  Id="rId64" Type="http://schemas.openxmlformats.org/officeDocument/2006/relationships/worksheet" Target="worksheets/sheet63.xml"/><Relationship  Id="rId44" Type="http://schemas.openxmlformats.org/officeDocument/2006/relationships/worksheet" Target="worksheets/sheet43.xml"/><Relationship  Id="rId74" Type="http://schemas.openxmlformats.org/officeDocument/2006/relationships/worksheet" Target="worksheets/sheet73.xml"/><Relationship  Id="rId70" Type="http://schemas.openxmlformats.org/officeDocument/2006/relationships/worksheet" Target="worksheets/sheet69.xml"/><Relationship  Id="rId62" Type="http://schemas.openxmlformats.org/officeDocument/2006/relationships/worksheet" Target="worksheets/sheet61.xml"/><Relationship  Id="rId43" Type="http://schemas.openxmlformats.org/officeDocument/2006/relationships/worksheet" Target="worksheets/sheet42.xml"/><Relationship  Id="rId49" Type="http://schemas.openxmlformats.org/officeDocument/2006/relationships/worksheet" Target="worksheets/sheet48.xml"/><Relationship  Id="rId42" Type="http://schemas.openxmlformats.org/officeDocument/2006/relationships/worksheet" Target="worksheets/sheet41.xml"/><Relationship  Id="rId90" Type="http://schemas.openxmlformats.org/officeDocument/2006/relationships/worksheet" Target="worksheets/sheet89.xml"/><Relationship  Id="rId40" Type="http://schemas.openxmlformats.org/officeDocument/2006/relationships/worksheet" Target="worksheets/sheet39.xml"/><Relationship  Id="rId79" Type="http://schemas.openxmlformats.org/officeDocument/2006/relationships/worksheet" Target="worksheets/sheet78.xml"/><Relationship  Id="rId39" Type="http://schemas.openxmlformats.org/officeDocument/2006/relationships/worksheet" Target="worksheets/sheet38.xml"/><Relationship  Id="rId38" Type="http://schemas.openxmlformats.org/officeDocument/2006/relationships/worksheet" Target="worksheets/sheet37.xml"/><Relationship  Id="rId54" Type="http://schemas.openxmlformats.org/officeDocument/2006/relationships/worksheet" Target="worksheets/sheet53.xml"/><Relationship  Id="rId41" Type="http://schemas.openxmlformats.org/officeDocument/2006/relationships/worksheet" Target="worksheets/sheet40.xml"/><Relationship  Id="rId36" Type="http://schemas.openxmlformats.org/officeDocument/2006/relationships/worksheet" Target="worksheets/sheet35.xml"/><Relationship  Id="rId80" Type="http://schemas.openxmlformats.org/officeDocument/2006/relationships/worksheet" Target="worksheets/sheet79.xml"/><Relationship  Id="rId35" Type="http://schemas.openxmlformats.org/officeDocument/2006/relationships/worksheet" Target="worksheets/sheet34.xml"/><Relationship  Id="rId34" Type="http://schemas.openxmlformats.org/officeDocument/2006/relationships/worksheet" Target="worksheets/sheet33.xml"/><Relationship  Id="rId33" Type="http://schemas.openxmlformats.org/officeDocument/2006/relationships/worksheet" Target="worksheets/sheet32.xml"/><Relationship  Id="rId58" Type="http://schemas.openxmlformats.org/officeDocument/2006/relationships/worksheet" Target="worksheets/sheet57.xml"/><Relationship  Id="rId29" Type="http://schemas.openxmlformats.org/officeDocument/2006/relationships/worksheet" Target="worksheets/sheet28.xml"/><Relationship  Id="rId28" Type="http://schemas.openxmlformats.org/officeDocument/2006/relationships/worksheet" Target="worksheets/sheet27.xml"/><Relationship  Id="rId27" Type="http://schemas.openxmlformats.org/officeDocument/2006/relationships/worksheet" Target="worksheets/sheet26.xml"/><Relationship  Id="rId23" Type="http://schemas.openxmlformats.org/officeDocument/2006/relationships/worksheet" Target="worksheets/sheet22.xml"/><Relationship  Id="rId52" Type="http://schemas.openxmlformats.org/officeDocument/2006/relationships/worksheet" Target="worksheets/sheet51.xml"/><Relationship  Id="rId61" Type="http://schemas.openxmlformats.org/officeDocument/2006/relationships/worksheet" Target="worksheets/sheet60.xml"/><Relationship  Id="rId76" Type="http://schemas.openxmlformats.org/officeDocument/2006/relationships/worksheet" Target="worksheets/sheet75.xml"/><Relationship  Id="rId22" Type="http://schemas.openxmlformats.org/officeDocument/2006/relationships/worksheet" Target="worksheets/sheet21.xml"/><Relationship  Id="rId21" Type="http://schemas.openxmlformats.org/officeDocument/2006/relationships/worksheet" Target="worksheets/sheet20.xml"/><Relationship  Id="rId25" Type="http://schemas.openxmlformats.org/officeDocument/2006/relationships/worksheet" Target="worksheets/sheet24.xml"/><Relationship  Id="rId13" Type="http://schemas.openxmlformats.org/officeDocument/2006/relationships/worksheet" Target="worksheets/sheet12.xml"/><Relationship  Id="rId50" Type="http://schemas.openxmlformats.org/officeDocument/2006/relationships/worksheet" Target="worksheets/sheet49.xml"/><Relationship  Id="rId24" Type="http://schemas.openxmlformats.org/officeDocument/2006/relationships/worksheet" Target="worksheets/sheet23.xml"/><Relationship  Id="rId11" Type="http://schemas.openxmlformats.org/officeDocument/2006/relationships/worksheet" Target="worksheets/sheet10.xml"/><Relationship  Id="rId17" Type="http://schemas.openxmlformats.org/officeDocument/2006/relationships/worksheet" Target="worksheets/sheet16.xml"/><Relationship  Id="rId10" Type="http://schemas.openxmlformats.org/officeDocument/2006/relationships/worksheet" Target="worksheets/sheet9.xml"/><Relationship  Id="rId18" Type="http://schemas.openxmlformats.org/officeDocument/2006/relationships/worksheet" Target="worksheets/sheet17.xml"/><Relationship  Id="rId26" Type="http://schemas.openxmlformats.org/officeDocument/2006/relationships/worksheet" Target="worksheets/sheet25.xml"/><Relationship  Id="rId86" Type="http://schemas.openxmlformats.org/officeDocument/2006/relationships/worksheet" Target="worksheets/sheet85.xml"/><Relationship  Id="rId53" Type="http://schemas.openxmlformats.org/officeDocument/2006/relationships/worksheet" Target="worksheets/sheet52.xml"/><Relationship  Id="rId15" Type="http://schemas.openxmlformats.org/officeDocument/2006/relationships/worksheet" Target="worksheets/sheet14.xml"/><Relationship  Id="rId9" Type="http://schemas.openxmlformats.org/officeDocument/2006/relationships/worksheet" Target="worksheets/sheet8.xml"/><Relationship  Id="rId20" Type="http://schemas.openxmlformats.org/officeDocument/2006/relationships/worksheet" Target="worksheets/sheet19.xml"/><Relationship  Id="rId8" Type="http://schemas.openxmlformats.org/officeDocument/2006/relationships/worksheet" Target="worksheets/sheet7.xml"/><Relationship  Id="rId31" Type="http://schemas.openxmlformats.org/officeDocument/2006/relationships/worksheet" Target="worksheets/sheet30.xml"/><Relationship  Id="rId19" Type="http://schemas.openxmlformats.org/officeDocument/2006/relationships/worksheet" Target="worksheets/sheet18.xml"/><Relationship  Id="rId37" Type="http://schemas.openxmlformats.org/officeDocument/2006/relationships/worksheet" Target="worksheets/sheet36.xml"/><Relationship  Id="rId46" Type="http://schemas.openxmlformats.org/officeDocument/2006/relationships/worksheet" Target="worksheets/sheet45.xml"/><Relationship  Id="rId7" Type="http://schemas.openxmlformats.org/officeDocument/2006/relationships/worksheet" Target="worksheets/sheet6.xml"/><Relationship  Id="rId73" Type="http://schemas.openxmlformats.org/officeDocument/2006/relationships/worksheet" Target="worksheets/sheet72.xml"/><Relationship  Id="rId14" Type="http://schemas.openxmlformats.org/officeDocument/2006/relationships/worksheet" Target="worksheets/sheet13.xml"/><Relationship  Id="rId77" Type="http://schemas.openxmlformats.org/officeDocument/2006/relationships/worksheet" Target="worksheets/sheet76.xml"/><Relationship  Id="rId6" Type="http://schemas.openxmlformats.org/officeDocument/2006/relationships/worksheet" Target="worksheets/sheet5.xml"/><Relationship  Id="rId5" Type="http://schemas.openxmlformats.org/officeDocument/2006/relationships/worksheet" Target="worksheets/sheet4.xml"/><Relationship  Id="rId16" Type="http://schemas.openxmlformats.org/officeDocument/2006/relationships/worksheet" Target="worksheets/sheet15.xml"/><Relationship  Id="rId4" Type="http://schemas.openxmlformats.org/officeDocument/2006/relationships/worksheet" Target="worksheets/sheet3.xml"/><Relationship  Id="rId12" Type="http://schemas.openxmlformats.org/officeDocument/2006/relationships/worksheet" Target="worksheets/sheet11.xml"/><Relationship  Id="rId72" Type="http://schemas.openxmlformats.org/officeDocument/2006/relationships/worksheet" Target="worksheets/sheet71.xml"/><Relationship  Id="rId32" Type="http://schemas.openxmlformats.org/officeDocument/2006/relationships/worksheet" Target="worksheets/sheet31.xml"/><Relationship  Id="rId30" Type="http://schemas.openxmlformats.org/officeDocument/2006/relationships/worksheet" Target="worksheets/sheet29.xml"/><Relationship  Id="rId3" Type="http://schemas.openxmlformats.org/officeDocument/2006/relationships/worksheet" Target="worksheets/sheet2.xml"/><Relationship  Id="rId2" Type="http://schemas.openxmlformats.org/officeDocument/2006/relationships/worksheet" Target="worksheets/sheet1.xml"/><Relationship  Id="rId92" Type="http://schemas.openxmlformats.org/officeDocument/2006/relationships/sharedStrings" Target="sharedStrings.xml"/><Relationship  Id="rId1"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person displayName="Author" id="{4EEE7AEF-554C-F55A-FED1-3796D2C45AA5}"/>
</personList>
</file>

<file path=xl/theme/theme.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明朝"/>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1.xml><?xml version="1.0" encoding="utf-8"?>
<a:theme xmlns:a="http://schemas.openxmlformats.org/drawingml/2006/main" xmlns:r="http://schemas.openxmlformats.org/officeDocument/2006/relationships" xmlns:p="http://schemas.openxmlformats.org/presentation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Arial"/>
        <a:cs typeface="Arial"/>
      </a:majorFont>
      <a:minorFont>
        <a:latin typeface="Calibri"/>
        <a:ea typeface="Arial"/>
        <a:cs typeface="Arial"/>
      </a:minorFont>
    </a:fontScheme>
    <a:fmtScheme name="Office">
      <a:fillStyleLst>
        <a:solidFill>
          <a:schemeClr val="phClr"/>
        </a:solidFill>
        <a:gradFill>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gradFill>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gradFill>
        <a:gradFill>
          <a:gsLst>
            <a:gs pos="0">
              <a:schemeClr val="phClr">
                <a:tint val="80000"/>
                <a:satMod val="300000"/>
              </a:schemeClr>
            </a:gs>
            <a:gs pos="100000">
              <a:schemeClr val="phClr">
                <a:shade val="30000"/>
                <a:satMod val="200000"/>
              </a:schemeClr>
            </a:gs>
          </a:gsLst>
          <a:path path="circle"/>
        </a:gradFill>
      </a:bgFillStyleLst>
    </a:fmtScheme>
  </a:themeElements>
  <a:objectDefaults/>
</a:theme>
</file>

<file path=xl/threadedComments/threadedComment1.xml><?xml version="1.0" encoding="utf-8"?>
<ThreadedComments xmlns="http://schemas.microsoft.com/office/spreadsheetml/2018/threadedcomments" xmlns:x="http://schemas.openxmlformats.org/spreadsheetml/2006/main">
  <threadedComment ref="E37" personId="{4EEE7AEF-554C-F55A-FED1-3796D2C45AA5}" id="{006C0010-00CA-4BBC-AD1E-000D00B7005A}" done="0">
    <text xml:space="preserve">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
</text>
  </threadedComment>
</ThreadedComments>
</file>

<file path=xl/threadedComments/threadedComment2.xml><?xml version="1.0" encoding="utf-8"?>
<ThreadedComments xmlns="http://schemas.microsoft.com/office/spreadsheetml/2018/threadedcomments" xmlns:x="http://schemas.openxmlformats.org/spreadsheetml/2006/main">
  <threadedComment ref="AZ1" personId="{4EEE7AEF-554C-F55A-FED1-3796D2C45AA5}" id="{0096004E-0093-44B7-BAE9-00C600A00090}" done="0">
    <text xml:space="preserve">Тип организации
</text>
  </threadedComment>
  <threadedComment ref="L6" personId="{4EEE7AEF-554C-F55A-FED1-3796D2C45AA5}" id="{008B00B5-00F2-444C-B724-00D00073005F}" done="0">
    <text xml:space="preserve">тут будет больше 0, если выбран хотя бы один метод, отличный от экономически обоснованных
</text>
  </threadedComment>
</ThreadedComments>
</file>

<file path=xl/threadedComments/threadedComment3.xml><?xml version="1.0" encoding="utf-8"?>
<ThreadedComments xmlns="http://schemas.microsoft.com/office/spreadsheetml/2018/threadedcomments" xmlns:x="http://schemas.openxmlformats.org/spreadsheetml/2006/main">
  <threadedComment ref="P2" personId="{4EEE7AEF-554C-F55A-FED1-3796D2C45AA5}" id="{00620027-00E5-4708-89A8-00ED00C60042}" done="0">
    <text xml:space="preserve">сюда же для некоторых формул может входить:
- VOTV
- HOTVSNA
</text>
  </threadedComment>
  <threadedComment ref="U2" personId="{4EEE7AEF-554C-F55A-FED1-3796D2C45AA5}" id="{008F00C5-002E-45FF-81B0-001D0035009C}" done="0">
    <text xml:space="preserve">сюда же для некоторых формул может входить:
- VOTV
- HOTVSNA
</text>
  </threadedComment>
</ThreadedComments>
</file>

<file path=xl/worksheets/_rels/sheet2.xml.rels><?xml version="1.0" encoding="UTF-8" standalone="yes"?><Relationships xmlns="http://schemas.openxmlformats.org/package/2006/relationships"><Relationship  Id="rId4" Type="http://schemas.openxmlformats.org/officeDocument/2006/relationships/vmlDrawing" Target="../drawings/vmlDrawing1.vml"/><Relationship  Id="rId3" Type="http://schemas.openxmlformats.org/officeDocument/2006/relationships/comments" Target="../comments1.xml"/><Relationship  Id="rId2" Type="http://schemas.microsoft.com/office/2017/10/relationships/threadedComment" Target="../threadedComments/threadedComment1.xml"/><Relationship  Id="rId1" Type="http://schemas.openxmlformats.org/officeDocument/2006/relationships/hyperlink" Target="mailto:leonova-ga@dgk.ru" TargetMode="External"/></Relationships>
</file>

<file path=xl/worksheets/_rels/sheet51.xml.rels><?xml version="1.0" encoding="UTF-8" standalone="yes"?><Relationships xmlns="http://schemas.openxmlformats.org/package/2006/relationships"><Relationship  Id="rId3" Type="http://schemas.openxmlformats.org/officeDocument/2006/relationships/vmlDrawing" Target="../drawings/vmlDrawing2.vml"/><Relationship  Id="rId2" Type="http://schemas.openxmlformats.org/officeDocument/2006/relationships/comments" Target="../comments2.xml"/><Relationship  Id="rId1" Type="http://schemas.microsoft.com/office/2017/10/relationships/threadedComment" Target="../threadedComments/threadedComment2.xml"/></Relationships>
</file>

<file path=xl/worksheets/_rels/sheet63.xml.rels><?xml version="1.0" encoding="UTF-8" standalone="yes"?><Relationships xmlns="http://schemas.openxmlformats.org/package/2006/relationships"><Relationship  Id="rId3" Type="http://schemas.openxmlformats.org/officeDocument/2006/relationships/vmlDrawing" Target="../drawings/vmlDrawing3.vml"/><Relationship  Id="rId2" Type="http://schemas.openxmlformats.org/officeDocument/2006/relationships/comments" Target="../comments3.xml"/><Relationship  Id="rId1" Type="http://schemas.microsoft.com/office/2017/10/relationships/threadedComment" Target="../threadedComments/threadedComment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showRowColHeaders="0" topLeftCell="A1" zoomScale="100" workbookViewId="0">
      <selection activeCell="A1" activeCellId="0" sqref="A1"/>
    </sheetView>
  </sheetViews>
  <sheetFormatPr defaultColWidth="11.00390625" defaultRowHeight="12.75" customHeight="1"/>
  <cols>
    <col customWidth="1" min="1" max="1" style="1" width="5.421875"/>
    <col customWidth="1" min="2" max="2" style="1" width="9.140625"/>
    <col customWidth="1" min="3" max="3" style="1" width="16.421875"/>
    <col customWidth="1" min="4" max="25" style="1" width="6.28125"/>
    <col min="26" max="28" style="1" width="11.00390625"/>
  </cols>
  <sheetData>
    <row r="1" ht="15.75" customHeight="1">
      <c r="A1" s="2"/>
      <c r="B1" s="3"/>
      <c r="C1" s="3"/>
      <c r="D1" s="3"/>
      <c r="E1" s="3"/>
      <c r="F1" s="3"/>
      <c r="G1" s="3"/>
      <c r="H1" s="3"/>
      <c r="I1" s="3"/>
      <c r="J1" s="3"/>
      <c r="K1" s="3"/>
      <c r="L1" s="3"/>
      <c r="M1" s="3"/>
      <c r="N1" s="3"/>
      <c r="O1" s="3"/>
      <c r="P1" s="3"/>
      <c r="Q1" s="3"/>
      <c r="R1" s="3"/>
      <c r="S1" s="3"/>
      <c r="T1" s="3"/>
      <c r="U1" s="3"/>
      <c r="V1" s="3"/>
      <c r="W1" s="3"/>
      <c r="X1" s="3"/>
      <c r="Y1" s="4"/>
      <c r="Z1" s="3"/>
      <c r="AA1" s="5" t="s">
        <v>0</v>
      </c>
      <c r="AB1" s="3"/>
    </row>
    <row r="2" ht="17.25" customHeight="1">
      <c r="A2" s="3"/>
      <c r="B2" s="6" t="s">
        <v>1</v>
      </c>
      <c r="C2" s="6"/>
      <c r="D2" s="6"/>
      <c r="E2" s="6"/>
      <c r="F2" s="6"/>
      <c r="G2" s="6"/>
      <c r="H2" s="6"/>
      <c r="I2" s="6"/>
      <c r="J2" s="6"/>
      <c r="K2" s="6"/>
      <c r="L2" s="6"/>
      <c r="M2" s="6"/>
      <c r="N2" s="6"/>
      <c r="O2" s="6"/>
      <c r="P2" s="6"/>
      <c r="Q2" s="7"/>
      <c r="R2" s="7"/>
      <c r="S2" s="7"/>
      <c r="T2" s="7"/>
      <c r="U2" s="7"/>
      <c r="V2" s="8"/>
      <c r="W2" s="7"/>
      <c r="X2" s="7"/>
      <c r="Y2" s="4"/>
      <c r="Z2" s="3"/>
      <c r="AA2" s="5"/>
      <c r="AB2" s="3"/>
    </row>
    <row r="3" ht="15.75" customHeight="1">
      <c r="A3" s="3"/>
      <c r="B3" s="9" t="s">
        <v>2</v>
      </c>
      <c r="C3" s="9"/>
      <c r="D3" s="9"/>
      <c r="E3" s="9"/>
      <c r="F3" s="9"/>
      <c r="G3" s="9"/>
      <c r="H3" s="9"/>
      <c r="I3" s="9"/>
      <c r="J3" s="9"/>
      <c r="K3" s="9"/>
      <c r="L3" s="9"/>
      <c r="M3" s="9"/>
      <c r="N3" s="9"/>
      <c r="O3" s="9"/>
      <c r="P3" s="9"/>
      <c r="Q3" s="8"/>
      <c r="R3" s="8"/>
      <c r="S3" s="7"/>
      <c r="T3" s="7"/>
      <c r="U3" s="7"/>
      <c r="V3" s="8"/>
      <c r="W3" s="8"/>
      <c r="X3" s="8"/>
      <c r="Y3" s="8"/>
      <c r="Z3" s="3"/>
      <c r="AA3" s="5"/>
      <c r="AB3" s="3"/>
    </row>
    <row r="4" ht="17.25" customHeight="1">
      <c r="A4" s="3"/>
      <c r="B4" s="10"/>
      <c r="C4" s="3"/>
      <c r="D4" s="8"/>
      <c r="E4" s="8"/>
      <c r="F4" s="8"/>
      <c r="G4" s="8"/>
      <c r="H4" s="8"/>
      <c r="I4" s="8"/>
      <c r="J4" s="8"/>
      <c r="K4" s="8"/>
      <c r="L4" s="8"/>
      <c r="M4" s="8"/>
      <c r="N4" s="8"/>
      <c r="O4" s="8"/>
      <c r="P4" s="8"/>
      <c r="Q4" s="8"/>
      <c r="R4" s="8"/>
      <c r="S4" s="8"/>
      <c r="T4" s="8"/>
      <c r="U4" s="8"/>
      <c r="V4" s="8"/>
      <c r="W4" s="8"/>
      <c r="X4" s="8"/>
      <c r="Y4" s="8"/>
      <c r="Z4" s="3"/>
      <c r="AA4" s="5"/>
      <c r="AB4" s="3"/>
    </row>
    <row r="5" ht="22.5" customHeight="1">
      <c r="A5" s="11"/>
      <c r="B5" s="12" t="str">
        <f>IF(TEMPLATE_SPHERE="","Информация, подлежащая раскрытию регулируемыми организациями",Титульный!E5)</f>
        <v xml:space="preserve">Информация об инвестиционных программах регулируемой организации в области горячего водоснабжения</v>
      </c>
      <c r="C5" s="13"/>
      <c r="D5" s="13"/>
      <c r="E5" s="13"/>
      <c r="F5" s="13"/>
      <c r="G5" s="13"/>
      <c r="H5" s="13"/>
      <c r="I5" s="13"/>
      <c r="J5" s="13"/>
      <c r="K5" s="13"/>
      <c r="L5" s="13"/>
      <c r="M5" s="13"/>
      <c r="N5" s="13"/>
      <c r="O5" s="13"/>
      <c r="P5" s="13"/>
      <c r="Q5" s="13"/>
      <c r="R5" s="13"/>
      <c r="S5" s="13"/>
      <c r="T5" s="13"/>
      <c r="U5" s="13"/>
      <c r="V5" s="13"/>
      <c r="W5" s="13"/>
      <c r="X5" s="13"/>
      <c r="Y5" s="14"/>
      <c r="Z5" s="11"/>
      <c r="AA5" s="5"/>
      <c r="AB5" s="11"/>
    </row>
    <row r="6" ht="15" customHeight="1">
      <c r="A6" s="15"/>
      <c r="B6" s="16" t="s">
        <v>3</v>
      </c>
      <c r="C6" s="17"/>
      <c r="D6" s="18"/>
      <c r="E6" s="18"/>
      <c r="F6" s="18"/>
      <c r="G6" s="18"/>
      <c r="H6" s="18"/>
      <c r="I6" s="18"/>
      <c r="J6" s="18"/>
      <c r="K6" s="18"/>
      <c r="L6" s="18"/>
      <c r="M6" s="18"/>
      <c r="N6" s="18"/>
      <c r="O6" s="18"/>
      <c r="P6" s="18"/>
      <c r="Q6" s="18"/>
      <c r="R6" s="18"/>
      <c r="S6" s="18"/>
      <c r="T6" s="18"/>
      <c r="U6" s="18"/>
      <c r="V6" s="18"/>
      <c r="W6" s="18"/>
      <c r="X6" s="18"/>
      <c r="Y6" s="19"/>
      <c r="Z6" s="20"/>
      <c r="AA6" s="21"/>
      <c r="AB6" s="21"/>
    </row>
    <row r="7" ht="15" customHeight="1">
      <c r="A7" s="15"/>
      <c r="B7" s="16"/>
      <c r="C7" s="17"/>
      <c r="D7" s="18"/>
      <c r="E7" s="18"/>
      <c r="F7" s="22"/>
      <c r="G7" s="22"/>
      <c r="H7" s="22"/>
      <c r="I7" s="22"/>
      <c r="J7" s="22"/>
      <c r="K7" s="22"/>
      <c r="L7" s="22"/>
      <c r="M7" s="22"/>
      <c r="N7" s="22"/>
      <c r="O7" s="18"/>
      <c r="P7" s="22"/>
      <c r="Q7" s="22"/>
      <c r="R7" s="22"/>
      <c r="S7" s="22"/>
      <c r="T7" s="22"/>
      <c r="U7" s="22"/>
      <c r="V7" s="22"/>
      <c r="W7" s="22"/>
      <c r="X7" s="22"/>
      <c r="Y7" s="19"/>
      <c r="Z7" s="20"/>
      <c r="AA7" s="21"/>
      <c r="AB7" s="21"/>
    </row>
    <row r="8" ht="15" customHeight="1">
      <c r="A8" s="15"/>
      <c r="B8" s="16"/>
      <c r="C8" s="17"/>
      <c r="D8" s="23"/>
      <c r="E8" s="24" t="s">
        <v>4</v>
      </c>
      <c r="F8" s="25" t="s">
        <v>5</v>
      </c>
      <c r="G8" s="26"/>
      <c r="H8" s="26"/>
      <c r="I8" s="26"/>
      <c r="J8" s="26"/>
      <c r="K8" s="26"/>
      <c r="L8" s="26"/>
      <c r="M8" s="26"/>
      <c r="N8" s="23"/>
      <c r="O8" s="27" t="s">
        <v>4</v>
      </c>
      <c r="P8" s="28" t="s">
        <v>6</v>
      </c>
      <c r="Q8" s="29"/>
      <c r="R8" s="29"/>
      <c r="S8" s="29"/>
      <c r="T8" s="29"/>
      <c r="U8" s="29"/>
      <c r="V8" s="29"/>
      <c r="W8" s="29"/>
      <c r="X8" s="29"/>
      <c r="Y8" s="19"/>
      <c r="Z8" s="20"/>
      <c r="AA8" s="21"/>
      <c r="AB8" s="21"/>
    </row>
    <row r="9" ht="15" customHeight="1">
      <c r="A9" s="15"/>
      <c r="B9" s="16"/>
      <c r="C9" s="17"/>
      <c r="D9" s="23"/>
      <c r="E9" s="30" t="s">
        <v>4</v>
      </c>
      <c r="F9" s="25" t="s">
        <v>7</v>
      </c>
      <c r="G9" s="26"/>
      <c r="H9" s="26"/>
      <c r="I9" s="26"/>
      <c r="J9" s="26"/>
      <c r="K9" s="26"/>
      <c r="L9" s="26"/>
      <c r="M9" s="26"/>
      <c r="N9" s="23"/>
      <c r="O9" s="31" t="s">
        <v>4</v>
      </c>
      <c r="P9" s="28" t="s">
        <v>8</v>
      </c>
      <c r="Q9" s="29"/>
      <c r="R9" s="29"/>
      <c r="S9" s="29"/>
      <c r="T9" s="29"/>
      <c r="U9" s="29"/>
      <c r="V9" s="29"/>
      <c r="W9" s="29"/>
      <c r="X9" s="29"/>
      <c r="Y9" s="19"/>
      <c r="Z9" s="20"/>
      <c r="AA9" s="21"/>
      <c r="AB9" s="21"/>
    </row>
    <row r="10" ht="30" customHeight="1">
      <c r="A10" s="15"/>
      <c r="B10" s="16"/>
      <c r="C10" s="32"/>
      <c r="D10" s="33"/>
      <c r="E10" s="34"/>
      <c r="F10" s="22"/>
      <c r="G10" s="22"/>
      <c r="H10" s="22"/>
      <c r="I10" s="22"/>
      <c r="J10" s="22"/>
      <c r="K10" s="22"/>
      <c r="L10" s="22"/>
      <c r="M10" s="22"/>
      <c r="N10" s="22"/>
      <c r="O10" s="34"/>
      <c r="P10" s="22"/>
      <c r="Q10" s="22"/>
      <c r="R10" s="22"/>
      <c r="S10" s="22"/>
      <c r="T10" s="22"/>
      <c r="U10" s="22"/>
      <c r="V10" s="22"/>
      <c r="W10" s="22"/>
      <c r="X10" s="22"/>
      <c r="Y10" s="19"/>
      <c r="Z10" s="20"/>
      <c r="AA10" s="21"/>
      <c r="AB10" s="21"/>
    </row>
    <row r="11" ht="19.5" customHeight="1">
      <c r="A11" s="15"/>
      <c r="B11" s="35" t="s">
        <v>9</v>
      </c>
      <c r="C11" s="36"/>
      <c r="D11" s="23"/>
      <c r="E11" s="37"/>
      <c r="F11" s="37"/>
      <c r="G11" s="37"/>
      <c r="H11" s="37"/>
      <c r="I11" s="37"/>
      <c r="J11" s="37"/>
      <c r="K11" s="37"/>
      <c r="L11" s="37"/>
      <c r="M11" s="37"/>
      <c r="N11" s="37"/>
      <c r="O11" s="37"/>
      <c r="P11" s="37"/>
      <c r="Q11" s="37"/>
      <c r="R11" s="37"/>
      <c r="S11" s="37"/>
      <c r="T11" s="37"/>
      <c r="U11" s="37"/>
      <c r="V11" s="37"/>
      <c r="W11" s="37"/>
      <c r="X11" s="37"/>
      <c r="Y11" s="19"/>
      <c r="Z11" s="20"/>
      <c r="AA11" s="21"/>
      <c r="AB11" s="21"/>
    </row>
    <row r="12" ht="69" customHeight="1">
      <c r="A12" s="15"/>
      <c r="B12" s="16"/>
      <c r="C12" s="32"/>
      <c r="D12" s="38"/>
      <c r="E12" s="26" t="s">
        <v>10</v>
      </c>
      <c r="F12" s="26"/>
      <c r="G12" s="26"/>
      <c r="H12" s="26"/>
      <c r="I12" s="26"/>
      <c r="J12" s="26"/>
      <c r="K12" s="26"/>
      <c r="L12" s="26"/>
      <c r="M12" s="26"/>
      <c r="N12" s="26"/>
      <c r="O12" s="26"/>
      <c r="P12" s="26"/>
      <c r="Q12" s="26"/>
      <c r="R12" s="26"/>
      <c r="S12" s="26"/>
      <c r="T12" s="26"/>
      <c r="U12" s="26"/>
      <c r="V12" s="26"/>
      <c r="W12" s="26"/>
      <c r="X12" s="26"/>
      <c r="Y12" s="19"/>
      <c r="Z12" s="20"/>
      <c r="AA12" s="21"/>
      <c r="AB12" s="21"/>
    </row>
    <row r="13" ht="15" customHeight="1">
      <c r="A13" s="15"/>
      <c r="B13" s="35" t="s">
        <v>11</v>
      </c>
      <c r="C13" s="36"/>
      <c r="D13" s="18"/>
      <c r="E13" s="37"/>
      <c r="F13" s="37"/>
      <c r="G13" s="37"/>
      <c r="H13" s="37"/>
      <c r="I13" s="37"/>
      <c r="J13" s="37"/>
      <c r="K13" s="37"/>
      <c r="L13" s="37"/>
      <c r="M13" s="37"/>
      <c r="N13" s="37"/>
      <c r="O13" s="37"/>
      <c r="P13" s="37"/>
      <c r="Q13" s="37"/>
      <c r="R13" s="37"/>
      <c r="S13" s="37"/>
      <c r="T13" s="37"/>
      <c r="U13" s="37"/>
      <c r="V13" s="37"/>
      <c r="W13" s="37"/>
      <c r="X13" s="37"/>
      <c r="Y13" s="19"/>
      <c r="Z13" s="20"/>
      <c r="AA13" s="21"/>
      <c r="AB13" s="21"/>
    </row>
    <row r="14" ht="57" customHeight="1">
      <c r="A14" s="15"/>
      <c r="B14" s="16"/>
      <c r="C14" s="17"/>
      <c r="D14" s="23"/>
      <c r="E14" s="39" t="s">
        <v>12</v>
      </c>
      <c r="F14" s="39"/>
      <c r="G14" s="39"/>
      <c r="H14" s="39"/>
      <c r="I14" s="39"/>
      <c r="J14" s="39"/>
      <c r="K14" s="39"/>
      <c r="L14" s="39"/>
      <c r="M14" s="39"/>
      <c r="N14" s="39"/>
      <c r="O14" s="39"/>
      <c r="P14" s="39"/>
      <c r="Q14" s="39"/>
      <c r="R14" s="39"/>
      <c r="S14" s="39"/>
      <c r="T14" s="39"/>
      <c r="U14" s="39"/>
      <c r="V14" s="39"/>
      <c r="W14" s="39"/>
      <c r="X14" s="39"/>
      <c r="Y14" s="19"/>
      <c r="Z14" s="20"/>
      <c r="AA14" s="21"/>
      <c r="AB14" s="21"/>
    </row>
    <row r="15" ht="16.5" customHeight="1">
      <c r="A15" s="15"/>
      <c r="B15" s="40"/>
      <c r="C15" s="41"/>
      <c r="D15" s="42"/>
      <c r="E15" s="43"/>
      <c r="F15" s="43"/>
      <c r="G15" s="43"/>
      <c r="H15" s="43"/>
      <c r="I15" s="43"/>
      <c r="J15" s="43"/>
      <c r="K15" s="43"/>
      <c r="L15" s="43"/>
      <c r="M15" s="43"/>
      <c r="N15" s="43"/>
      <c r="O15" s="43"/>
      <c r="P15" s="43"/>
      <c r="Q15" s="43"/>
      <c r="R15" s="43"/>
      <c r="S15" s="43"/>
      <c r="T15" s="43"/>
      <c r="U15" s="43"/>
      <c r="V15" s="43"/>
      <c r="W15" s="43"/>
      <c r="X15" s="43"/>
      <c r="Y15" s="44"/>
      <c r="Z15" s="20"/>
      <c r="AA15" s="45"/>
      <c r="AB15" s="21"/>
    </row>
    <row r="16" ht="95.25" customHeight="1">
      <c r="A16" s="3"/>
      <c r="B16" s="39"/>
      <c r="C16" s="46"/>
      <c r="D16" s="46"/>
      <c r="E16" s="46"/>
      <c r="F16" s="46"/>
      <c r="G16" s="46"/>
      <c r="H16" s="46"/>
      <c r="I16" s="46"/>
      <c r="J16" s="46"/>
      <c r="K16" s="46"/>
      <c r="L16" s="46"/>
      <c r="M16" s="46"/>
      <c r="N16" s="46"/>
      <c r="O16" s="46"/>
      <c r="P16" s="46"/>
      <c r="Q16" s="46"/>
      <c r="R16" s="46"/>
      <c r="S16" s="46"/>
      <c r="T16" s="46"/>
      <c r="U16" s="46"/>
      <c r="V16" s="46"/>
      <c r="W16" s="46"/>
      <c r="X16" s="46"/>
      <c r="Y16" s="46"/>
      <c r="Z16" s="3"/>
      <c r="AA16" s="5"/>
      <c r="AB16" s="3"/>
    </row>
    <row r="17" ht="14.25" customHeight="1">
      <c r="A17" s="3"/>
      <c r="B17" s="3"/>
      <c r="C17" s="3"/>
      <c r="D17" s="3"/>
      <c r="E17" s="3"/>
      <c r="F17" s="3"/>
      <c r="G17" s="3"/>
      <c r="H17" s="3"/>
      <c r="I17" s="3"/>
      <c r="J17" s="3"/>
      <c r="K17" s="3"/>
      <c r="L17" s="3"/>
      <c r="M17" s="3"/>
      <c r="N17" s="3"/>
      <c r="O17" s="3"/>
      <c r="P17" s="3"/>
      <c r="Q17" s="3"/>
      <c r="R17" s="3"/>
      <c r="S17" s="3"/>
      <c r="T17" s="3"/>
      <c r="U17" s="3"/>
      <c r="V17" s="3"/>
      <c r="W17" s="3"/>
      <c r="X17" s="3"/>
      <c r="Y17" s="4"/>
      <c r="Z17" s="3"/>
      <c r="AA17" s="5"/>
      <c r="AB17" s="3"/>
    </row>
    <row r="18" ht="14.25" customHeight="1">
      <c r="A18" s="3"/>
      <c r="B18" s="3"/>
      <c r="C18" s="3"/>
      <c r="D18" s="3"/>
      <c r="E18" s="3"/>
      <c r="F18" s="3"/>
      <c r="G18" s="3"/>
      <c r="H18" s="3"/>
      <c r="I18" s="3"/>
      <c r="J18" s="3"/>
      <c r="K18" s="3"/>
      <c r="L18" s="3"/>
      <c r="M18" s="3"/>
      <c r="N18" s="3"/>
      <c r="O18" s="3"/>
      <c r="P18" s="3"/>
      <c r="Q18" s="3"/>
      <c r="R18" s="3"/>
      <c r="S18" s="3"/>
      <c r="T18" s="3"/>
      <c r="U18" s="3"/>
      <c r="V18" s="3"/>
      <c r="W18" s="3"/>
      <c r="X18" s="3"/>
      <c r="Y18" s="4"/>
      <c r="Z18" s="3"/>
      <c r="AA18" s="5"/>
      <c r="AB18" s="3"/>
    </row>
    <row r="19" ht="14.25" customHeight="1">
      <c r="A19" s="3"/>
      <c r="B19" s="3"/>
      <c r="C19" s="3"/>
      <c r="D19" s="3"/>
      <c r="E19" s="3"/>
      <c r="F19" s="3"/>
      <c r="G19" s="3"/>
      <c r="H19" s="3"/>
      <c r="I19" s="3"/>
      <c r="J19" s="3"/>
      <c r="K19" s="3"/>
      <c r="L19" s="3"/>
      <c r="M19" s="3"/>
      <c r="N19" s="3"/>
      <c r="O19" s="3"/>
      <c r="P19" s="3"/>
      <c r="Q19" s="3"/>
      <c r="R19" s="3"/>
      <c r="S19" s="3"/>
      <c r="T19" s="3"/>
      <c r="U19" s="3"/>
      <c r="V19" s="3"/>
      <c r="W19" s="3"/>
      <c r="X19" s="3"/>
      <c r="Y19" s="4"/>
      <c r="Z19" s="3"/>
      <c r="AA19" s="5"/>
      <c r="AB19" s="3"/>
    </row>
    <row r="20" ht="14.25" customHeight="1">
      <c r="A20" s="3"/>
      <c r="B20" s="3"/>
      <c r="C20" s="3"/>
      <c r="D20" s="3"/>
      <c r="E20" s="3"/>
      <c r="F20" s="3"/>
      <c r="G20" s="3"/>
      <c r="H20" s="3"/>
      <c r="I20" s="3"/>
      <c r="J20" s="3"/>
      <c r="K20" s="3"/>
      <c r="L20" s="3"/>
      <c r="M20" s="3"/>
      <c r="N20" s="3"/>
      <c r="O20" s="3"/>
      <c r="P20" s="3"/>
      <c r="Q20" s="3"/>
      <c r="R20" s="3"/>
      <c r="S20" s="3"/>
      <c r="T20" s="3"/>
      <c r="U20" s="3"/>
      <c r="V20" s="3"/>
      <c r="W20" s="3"/>
      <c r="X20" s="3"/>
      <c r="Y20" s="4"/>
      <c r="Z20" s="3"/>
      <c r="AA20" s="5"/>
      <c r="AB20" s="3"/>
    </row>
    <row r="21" ht="14.25" customHeight="1">
      <c r="A21" s="3"/>
      <c r="B21" s="3"/>
      <c r="C21" s="3"/>
      <c r="D21" s="3"/>
      <c r="E21" s="3"/>
      <c r="F21" s="3"/>
      <c r="G21" s="3"/>
      <c r="H21" s="3"/>
      <c r="I21" s="3"/>
      <c r="J21" s="3"/>
      <c r="K21" s="3"/>
      <c r="L21" s="3"/>
      <c r="M21" s="3"/>
      <c r="N21" s="3"/>
      <c r="O21" s="3"/>
      <c r="P21" s="3"/>
      <c r="Q21" s="3"/>
      <c r="R21" s="3"/>
      <c r="S21" s="3"/>
      <c r="T21" s="3"/>
      <c r="U21" s="3"/>
      <c r="V21" s="3"/>
      <c r="W21" s="3"/>
      <c r="X21" s="3"/>
      <c r="Y21" s="4"/>
      <c r="Z21" s="3"/>
      <c r="AA21" s="5"/>
      <c r="AB21" s="3"/>
    </row>
  </sheetData>
  <sheetProtection autoFilter="0" deleteColumns="1" deleteRows="1" formatCells="1" formatColumns="0" formatRows="0" insertColumns="1" insertHyperlinks="1" insertRows="1" objects="0" pivotTables="1" scenarios="0" selectLockedCells="0" selectUnlockedCells="0" sheet="1" sort="1"/>
  <mergeCells count="13">
    <mergeCell ref="B2:P2"/>
    <mergeCell ref="B3:P3"/>
    <mergeCell ref="B5:Y5"/>
    <mergeCell ref="B6:C10"/>
    <mergeCell ref="F8:M8"/>
    <mergeCell ref="P8:X8"/>
    <mergeCell ref="F9:M9"/>
    <mergeCell ref="P9:X9"/>
    <mergeCell ref="B11:C12"/>
    <mergeCell ref="E12:X12"/>
    <mergeCell ref="B13:C15"/>
    <mergeCell ref="E14:X14"/>
    <mergeCell ref="B16:Y16"/>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3" tint="0.59999999999999998"/>
    <outlinePr applyStyles="0" summaryBelow="1" summaryRight="1" showOutlineSymbols="1"/>
    <pageSetUpPr autoPageBreaks="1" fitToPage="0"/>
  </sheetPr>
  <sheetViews>
    <sheetView showGridLines="0" zoomScale="90" workbookViewId="0">
      <pane xSplit="6" ySplit="11" topLeftCell="G12" activePane="bottomRight" state="frozen"/>
      <selection activeCell="A1" activeCellId="0" sqref="A1"/>
    </sheetView>
  </sheetViews>
  <sheetFormatPr defaultColWidth="10.57421875" defaultRowHeight="14.25" customHeight="1"/>
  <cols>
    <col customWidth="1" hidden="1" min="1" max="1" style="56" width="9.140625"/>
    <col customWidth="1" hidden="1" min="2" max="3" style="50" width="9.140625"/>
    <col customWidth="1" min="4" max="4" style="129" width="3.00390625"/>
    <col customWidth="1" min="5" max="5" style="50" width="6.00390625"/>
    <col customWidth="1" hidden="1" min="6" max="6" style="50" width="1.7109375"/>
    <col customWidth="1" min="7" max="8" style="50" width="30.00390625"/>
    <col customWidth="1" min="9" max="9" style="50" width="8.00390625"/>
    <col customWidth="1" min="10" max="10" style="50" width="12.140625"/>
    <col customWidth="1" min="11" max="11" style="50" width="46.00390625"/>
    <col customWidth="1" min="12" max="12" style="50" width="100.00390625"/>
    <col customWidth="1" min="13" max="13" style="140" width="7.00390625"/>
    <col customWidth="1" min="14" max="22" style="50" width="10.00390625"/>
    <col hidden="1" min="23" max="23" style="50" width="10.57421875"/>
  </cols>
  <sheetData>
    <row r="1" s="57" customFormat="1" ht="5.25" hidden="1" customHeight="1">
      <c r="C1" s="57"/>
      <c r="D1" s="133"/>
      <c r="F1" s="57"/>
      <c r="G1" s="57" t="s">
        <v>82</v>
      </c>
      <c r="H1" s="57" t="s">
        <v>83</v>
      </c>
      <c r="I1" s="57" t="s">
        <v>84</v>
      </c>
      <c r="P1" s="57" t="s">
        <v>82</v>
      </c>
      <c r="Q1" s="57" t="s">
        <v>83</v>
      </c>
      <c r="R1" s="57" t="s">
        <v>84</v>
      </c>
      <c r="W1" s="57" t="s">
        <v>14</v>
      </c>
    </row>
    <row r="2" s="57" customFormat="1" ht="5.25" hidden="1" customHeight="1">
      <c r="C2" s="57"/>
      <c r="D2" s="133"/>
      <c r="F2" s="57"/>
      <c r="W2" s="57">
        <v>0</v>
      </c>
    </row>
    <row r="3" s="65" customFormat="1" ht="5.25" customHeight="1">
      <c r="A3" s="412"/>
      <c r="D3" s="413"/>
      <c r="E3" s="68"/>
      <c r="F3" s="68"/>
      <c r="G3" s="68"/>
      <c r="H3" s="68"/>
      <c r="I3" s="454"/>
      <c r="J3" s="455"/>
      <c r="K3" s="455"/>
      <c r="L3" s="455"/>
      <c r="W3" s="65">
        <v>5</v>
      </c>
    </row>
    <row r="4" ht="23.25" customHeight="1">
      <c r="D4" s="382"/>
      <c r="E4" s="186" t="s">
        <v>382</v>
      </c>
      <c r="F4" s="186"/>
      <c r="G4" s="187"/>
      <c r="H4" s="187"/>
      <c r="I4" s="188"/>
      <c r="J4" s="408"/>
      <c r="K4" s="456"/>
      <c r="L4" s="456"/>
      <c r="W4" s="50">
        <v>22</v>
      </c>
    </row>
    <row r="5" s="50" customFormat="1" ht="18" customHeight="1">
      <c r="A5" s="56"/>
      <c r="D5" s="382"/>
      <c r="E5" s="409" t="str">
        <f>IF(org=0,"Не определено",org)</f>
        <v xml:space="preserve">АО "ДГК" СП "Биробиджанская ТЭЦ"</v>
      </c>
      <c r="F5" s="409"/>
      <c r="G5" s="410"/>
      <c r="H5" s="410"/>
      <c r="I5" s="411"/>
      <c r="J5" s="408"/>
      <c r="K5" s="456"/>
      <c r="L5" s="456"/>
      <c r="M5" s="140"/>
      <c r="W5" s="50">
        <v>17</v>
      </c>
    </row>
    <row r="6" s="65" customFormat="1" ht="11.5" customHeight="1">
      <c r="A6" s="412"/>
      <c r="D6" s="413"/>
      <c r="E6" s="68"/>
      <c r="F6" s="68"/>
      <c r="G6" s="457"/>
      <c r="H6" s="457"/>
      <c r="I6" s="414"/>
      <c r="J6" s="414"/>
      <c r="K6" s="342"/>
      <c r="L6" s="414"/>
      <c r="W6" s="65">
        <v>11</v>
      </c>
    </row>
    <row r="7" ht="14.65" customHeight="1">
      <c r="D7" s="382"/>
      <c r="E7" s="347" t="s">
        <v>294</v>
      </c>
      <c r="F7" s="347"/>
      <c r="G7" s="348"/>
      <c r="H7" s="348"/>
      <c r="I7" s="348"/>
      <c r="J7" s="348"/>
      <c r="K7" s="348"/>
      <c r="L7" s="247" t="s">
        <v>295</v>
      </c>
      <c r="W7" s="50">
        <v>14</v>
      </c>
    </row>
    <row r="8" ht="48.25" customHeight="1">
      <c r="D8" s="382"/>
      <c r="E8" s="348" t="s">
        <v>87</v>
      </c>
      <c r="F8" s="348"/>
      <c r="G8" s="158" t="s">
        <v>85</v>
      </c>
      <c r="H8" s="158" t="s">
        <v>86</v>
      </c>
      <c r="I8" s="247" t="s">
        <v>84</v>
      </c>
      <c r="J8" s="247" t="s">
        <v>383</v>
      </c>
      <c r="K8" s="247" t="s">
        <v>384</v>
      </c>
      <c r="L8" s="247"/>
      <c r="W8" s="50">
        <v>46</v>
      </c>
    </row>
    <row r="9" ht="12" hidden="1" customHeight="1">
      <c r="D9" s="425"/>
      <c r="E9" s="458"/>
      <c r="F9" s="458"/>
      <c r="G9" s="458"/>
      <c r="H9" s="458"/>
      <c r="I9" s="458"/>
      <c r="J9" s="458"/>
      <c r="K9" s="458"/>
      <c r="L9" s="458"/>
      <c r="M9" s="50"/>
      <c r="W9" s="50">
        <v>0</v>
      </c>
    </row>
    <row r="10" ht="14.25" hidden="1" customHeight="1">
      <c r="A10" s="50"/>
      <c r="B10" s="50"/>
      <c r="D10" s="382"/>
      <c r="E10" s="158">
        <v>0</v>
      </c>
      <c r="F10" s="158"/>
      <c r="G10" s="459"/>
      <c r="H10" s="459"/>
      <c r="I10" s="459"/>
      <c r="J10" s="459"/>
      <c r="K10" s="459"/>
      <c r="L10" s="439" t="s">
        <v>385</v>
      </c>
      <c r="M10" s="140"/>
      <c r="N10" s="50"/>
      <c r="O10" s="50"/>
      <c r="P10" s="50"/>
      <c r="Q10" s="50"/>
      <c r="R10" s="50"/>
      <c r="S10" s="50"/>
      <c r="T10" s="50"/>
      <c r="U10" s="50"/>
      <c r="V10" s="50"/>
      <c r="W10" s="50">
        <v>0</v>
      </c>
    </row>
    <row r="11" ht="15" hidden="1" customHeight="1">
      <c r="A11" s="51"/>
      <c r="B11" s="144"/>
      <c r="C11" s="144"/>
      <c r="D11" s="460"/>
      <c r="E11" s="461"/>
      <c r="F11" s="461"/>
      <c r="G11" s="461"/>
      <c r="H11" s="461"/>
      <c r="I11" s="215"/>
      <c r="J11" s="462"/>
      <c r="K11" s="463"/>
      <c r="L11" s="464"/>
      <c r="M11" s="57"/>
      <c r="N11" s="57"/>
      <c r="O11" s="57"/>
      <c r="P11" s="465"/>
      <c r="Q11" s="465"/>
      <c r="R11" s="466"/>
      <c r="S11" s="57"/>
      <c r="T11" s="57"/>
      <c r="U11" s="57"/>
      <c r="V11" s="57"/>
      <c r="W11" s="50">
        <v>0</v>
      </c>
    </row>
    <row r="12" s="65" customFormat="1" ht="15" customHeight="1">
      <c r="A12" s="51"/>
      <c r="B12" s="144"/>
      <c r="C12" s="144"/>
      <c r="D12" s="467"/>
      <c r="E12" s="348">
        <v>1</v>
      </c>
      <c r="F12" s="468">
        <v>23</v>
      </c>
      <c r="G12" s="469"/>
      <c r="H12" s="165"/>
      <c r="I12" s="166"/>
      <c r="J12" s="470" t="s">
        <v>64</v>
      </c>
      <c r="K12" s="471" t="s">
        <v>22</v>
      </c>
      <c r="L12" s="464"/>
      <c r="M12" s="57"/>
      <c r="N12" s="57"/>
      <c r="O12" s="57"/>
      <c r="P12" s="465" t="s">
        <v>386</v>
      </c>
      <c r="Q12" s="465" t="s">
        <v>387</v>
      </c>
      <c r="R12" s="466" t="s">
        <v>388</v>
      </c>
      <c r="S12" s="57" t="s">
        <v>389</v>
      </c>
      <c r="T12" s="57"/>
      <c r="U12" s="57"/>
      <c r="V12" s="57"/>
      <c r="W12" s="65">
        <v>14</v>
      </c>
    </row>
    <row r="13" ht="15.75" customHeight="1">
      <c r="A13" s="51"/>
      <c r="B13" s="50"/>
      <c r="D13" s="382"/>
      <c r="E13" s="440"/>
      <c r="F13" s="472"/>
      <c r="G13" s="178" t="s">
        <v>98</v>
      </c>
      <c r="H13" s="473"/>
      <c r="I13" s="473"/>
      <c r="J13" s="473"/>
      <c r="K13" s="474"/>
      <c r="L13" s="445"/>
      <c r="M13" s="50"/>
      <c r="N13" s="50"/>
      <c r="O13" s="50"/>
      <c r="P13" s="50"/>
      <c r="Q13" s="50"/>
      <c r="R13" s="50"/>
      <c r="S13" s="50"/>
      <c r="T13" s="50"/>
      <c r="U13" s="50"/>
      <c r="V13" s="50"/>
      <c r="W13" s="50">
        <v>15</v>
      </c>
    </row>
    <row r="14" ht="11.5" customHeight="1">
      <c r="A14" s="412"/>
      <c r="B14" s="65"/>
      <c r="C14" s="65"/>
      <c r="D14" s="475"/>
      <c r="E14" s="65"/>
      <c r="F14" s="65"/>
      <c r="G14" s="65"/>
      <c r="H14" s="65"/>
      <c r="I14" s="65"/>
      <c r="J14" s="65"/>
      <c r="K14" s="65"/>
      <c r="L14" s="65"/>
      <c r="M14" s="65"/>
      <c r="N14" s="65"/>
      <c r="O14" s="65"/>
      <c r="P14" s="65"/>
      <c r="Q14" s="65"/>
      <c r="R14" s="65"/>
      <c r="S14" s="65"/>
      <c r="T14" s="65"/>
      <c r="U14" s="65"/>
      <c r="V14" s="65"/>
      <c r="W14" s="50">
        <v>11</v>
      </c>
    </row>
    <row r="15" ht="14.65" customHeight="1">
      <c r="D15" s="476"/>
      <c r="E15" s="477"/>
      <c r="F15" s="477"/>
      <c r="G15" s="47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 xml:space="preserve">&lt;1&gt;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76"/>
      <c r="I15" s="476"/>
      <c r="J15" s="476"/>
      <c r="K15" s="476"/>
      <c r="L15" s="476"/>
      <c r="W15" s="50">
        <v>14</v>
      </c>
    </row>
    <row r="16" ht="14.65" customHeight="1">
      <c r="W16" s="50">
        <v>14</v>
      </c>
    </row>
    <row r="17" ht="14.65" customHeight="1">
      <c r="W17" s="50">
        <v>14</v>
      </c>
    </row>
    <row r="18" ht="14.65" customHeight="1">
      <c r="G18" s="50"/>
      <c r="W18" s="50">
        <v>14</v>
      </c>
    </row>
    <row r="19" ht="22.5" hidden="1" customHeight="1">
      <c r="A19" s="56" t="s">
        <v>81</v>
      </c>
      <c r="B19" s="50">
        <v>0</v>
      </c>
      <c r="C19" s="50">
        <v>0</v>
      </c>
      <c r="D19" s="129">
        <v>3</v>
      </c>
      <c r="E19" s="50">
        <v>6</v>
      </c>
      <c r="F19" s="50">
        <v>0</v>
      </c>
      <c r="G19" s="50">
        <v>30</v>
      </c>
      <c r="H19" s="50">
        <v>30</v>
      </c>
      <c r="I19" s="50">
        <v>8</v>
      </c>
      <c r="J19" s="50">
        <v>12</v>
      </c>
      <c r="K19" s="50">
        <v>46</v>
      </c>
      <c r="L19" s="50">
        <v>100</v>
      </c>
      <c r="M19" s="140">
        <v>7</v>
      </c>
      <c r="N19" s="50">
        <v>10</v>
      </c>
      <c r="O19" s="50">
        <v>10</v>
      </c>
      <c r="P19" s="50">
        <v>10</v>
      </c>
      <c r="Q19" s="50">
        <v>10</v>
      </c>
      <c r="R19" s="50">
        <v>10</v>
      </c>
      <c r="S19" s="50">
        <v>10</v>
      </c>
      <c r="T19" s="50">
        <v>10</v>
      </c>
      <c r="U19" s="50">
        <v>10</v>
      </c>
      <c r="V19" s="50">
        <v>10</v>
      </c>
      <c r="W19" s="50">
        <v>23</v>
      </c>
    </row>
  </sheetData>
  <sheetProtection autoFilter="0" deleteColumns="1" deleteRows="1" formatCells="1" formatColumns="0" formatRows="0" insertColumns="1" insertHyperlinks="1" insertRows="1" objects="0" pivotTables="1" scenarios="0" selectLockedCells="0" selectUnlockedCells="0" sheet="1" sort="1"/>
  <mergeCells count="6">
    <mergeCell ref="E4:I4"/>
    <mergeCell ref="E5:I5"/>
    <mergeCell ref="E7:K7"/>
    <mergeCell ref="L7:L8"/>
    <mergeCell ref="L10:L13"/>
    <mergeCell ref="A11:A13"/>
  </mergeCells>
  <dataValidations count="1" disablePrompts="0">
    <dataValidation sqref="J12" type="none" allowBlank="1" errorStyle="stop" imeMode="noControl" operator="between" prompt="Изменение значения по двойному щелчоку левой кнопки мыши"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1E0039-0090-45D4-AEAD-0014003E0016}"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G10:K10</xm:sqref>
        </x14:dataValidation>
        <x14:dataValidation xr:uid="{00F900CE-00A8-46FD-A06D-002800B300BF}"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K12</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9" ySplit="42" topLeftCell="AD43"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4" width="19.140625"/>
    <col customWidth="1" hidden="1" min="13" max="14" style="61" width="12.28125"/>
    <col customWidth="1" hidden="1" min="15" max="15" style="61" width="23.421875"/>
    <col customWidth="1" min="16" max="16" style="60" width="3.00390625"/>
    <col customWidth="1" min="17" max="18" style="479" width="3.00390625"/>
    <col customWidth="1" min="19" max="19" style="86" width="12.00390625"/>
    <col customWidth="1" min="20" max="20" style="50" width="35.00390625"/>
    <col customWidth="1" min="21" max="21" style="50" width="0.140625"/>
    <col customWidth="1" hidden="1" min="22" max="22" style="50" width="24.7109375"/>
    <col customWidth="1" hidden="1" min="23" max="23" style="50" width="0.140625"/>
    <col customWidth="1" hidden="1" min="24" max="25" style="50" width="24.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24.7109375"/>
    <col customWidth="1" min="31" max="31" style="50" width="0.140625"/>
    <col customWidth="1" min="32" max="33" style="50" width="24.00390625"/>
    <col customWidth="1" min="34" max="34" style="50" width="11.00390625"/>
    <col customWidth="1" min="35" max="35" style="50" width="3.7109375"/>
    <col customWidth="1" min="36" max="36" style="50" width="11.00390625"/>
    <col customWidth="1" hidden="1" min="37" max="37" style="50" width="8.57421875"/>
    <col customWidth="1" min="38" max="38" style="50" width="4.00390625"/>
    <col customWidth="1" min="39" max="39" style="50" width="115.00390625"/>
    <col customWidth="1" min="40" max="44" style="57" width="10.00390625"/>
    <col hidden="1" min="45" max="45" style="50" width="10.57421875"/>
  </cols>
  <sheetData>
    <row r="1" ht="22.5" hidden="1" customHeight="1">
      <c r="Y1" s="50"/>
      <c r="Z1" s="50"/>
      <c r="AG1" s="50"/>
      <c r="AH1" s="50"/>
      <c r="AS1" s="50" t="s">
        <v>14</v>
      </c>
    </row>
    <row r="2" ht="21" hidden="1" customHeight="1">
      <c r="A2" s="480"/>
      <c r="B2" s="480"/>
      <c r="C2" s="480"/>
      <c r="D2" s="480"/>
      <c r="E2" s="481">
        <v>1</v>
      </c>
      <c r="F2" s="480"/>
      <c r="G2" s="480"/>
      <c r="H2" s="480"/>
      <c r="I2" s="480"/>
      <c r="J2" s="480"/>
      <c r="K2" s="480"/>
      <c r="L2" s="482"/>
      <c r="M2" s="483"/>
      <c r="N2" s="483"/>
      <c r="O2" s="483"/>
      <c r="P2" s="60"/>
      <c r="Q2" s="144"/>
      <c r="R2" s="484"/>
      <c r="S2" s="485" t="e">
        <f>INDEX(PT_DIFFERENTIATION_NUM_NTAR,MATCH(A2,PT_DIFFERENTIATION_NTAR_ID,0))</f>
        <v>#VALUE!</v>
      </c>
      <c r="T2" s="486" t="s">
        <v>119</v>
      </c>
      <c r="U2" s="487"/>
      <c r="V2" s="488"/>
      <c r="W2" s="489"/>
      <c r="X2" s="489"/>
      <c r="Y2" s="489"/>
      <c r="Z2" s="489"/>
      <c r="AA2" s="489"/>
      <c r="AB2" s="489"/>
      <c r="AC2" s="490"/>
      <c r="AD2" s="488" t="e">
        <f>INDEX(PT_DIFFERENTIATION_NTAR,MATCH(A2,PT_DIFFERENTIATION_NTAR_ID,0))</f>
        <v>#VALUE!</v>
      </c>
      <c r="AE2" s="489"/>
      <c r="AF2" s="489"/>
      <c r="AG2" s="489"/>
      <c r="AH2" s="489"/>
      <c r="AI2" s="489"/>
      <c r="AJ2" s="489"/>
      <c r="AK2" s="489"/>
      <c r="AL2" s="490"/>
      <c r="AM2" s="491" t="s">
        <v>390</v>
      </c>
      <c r="AO2" s="130"/>
      <c r="AP2" s="130" t="str">
        <f t="shared" ref="AP2:AP9" si="2">IF(T2="","",T2)</f>
        <v xml:space="preserve">Наименование тарифа</v>
      </c>
      <c r="AQ2" s="130"/>
      <c r="AR2" s="130"/>
      <c r="AS2" s="50">
        <v>0</v>
      </c>
    </row>
    <row r="3" ht="21" hidden="1" customHeight="1">
      <c r="A3" s="480"/>
      <c r="B3" s="480"/>
      <c r="C3" s="480"/>
      <c r="D3" s="480"/>
      <c r="E3" s="492"/>
      <c r="F3" s="481">
        <v>1</v>
      </c>
      <c r="G3" s="480"/>
      <c r="H3" s="480"/>
      <c r="I3" s="480"/>
      <c r="J3" s="480"/>
      <c r="K3" s="480"/>
      <c r="L3" s="482"/>
      <c r="M3" s="483"/>
      <c r="N3" s="483"/>
      <c r="O3" s="483"/>
      <c r="P3" s="51"/>
      <c r="Q3" s="493"/>
      <c r="R3" s="494"/>
      <c r="S3" s="485" t="e">
        <f>INDEX(PT_DIFFERENTIATION_NUM_TER,MATCH(B3,PT_DIFFERENTIATION_TER_ID,0))</f>
        <v>#VALUE!</v>
      </c>
      <c r="T3" s="495" t="s">
        <v>391</v>
      </c>
      <c r="U3" s="487"/>
      <c r="V3" s="488"/>
      <c r="W3" s="489"/>
      <c r="X3" s="489"/>
      <c r="Y3" s="489"/>
      <c r="Z3" s="489"/>
      <c r="AA3" s="489"/>
      <c r="AB3" s="489"/>
      <c r="AC3" s="490"/>
      <c r="AD3" s="488" t="e">
        <f>INDEX(PT_DIFFERENTIATION_TER,MATCH(B3,PT_DIFFERENTIATION_TER_ID,0))</f>
        <v>#VALUE!</v>
      </c>
      <c r="AE3" s="489"/>
      <c r="AF3" s="489"/>
      <c r="AG3" s="489"/>
      <c r="AH3" s="489"/>
      <c r="AI3" s="489"/>
      <c r="AJ3" s="489"/>
      <c r="AK3" s="489"/>
      <c r="AL3" s="490"/>
      <c r="AM3" s="491" t="s">
        <v>392</v>
      </c>
      <c r="AO3" s="130"/>
      <c r="AP3" s="130" t="str">
        <f t="shared" si="2"/>
        <v xml:space="preserve">Территория действия тарифа</v>
      </c>
      <c r="AQ3" s="130"/>
      <c r="AR3" s="130"/>
      <c r="AS3" s="50">
        <v>0</v>
      </c>
    </row>
    <row r="4" ht="23.25" hidden="1" customHeight="1">
      <c r="A4" s="480"/>
      <c r="B4" s="480"/>
      <c r="C4" s="480"/>
      <c r="D4" s="480"/>
      <c r="E4" s="492"/>
      <c r="F4" s="492"/>
      <c r="G4" s="481">
        <v>1</v>
      </c>
      <c r="H4" s="480"/>
      <c r="I4" s="480"/>
      <c r="J4" s="480"/>
      <c r="K4" s="480"/>
      <c r="L4" s="482"/>
      <c r="M4" s="483"/>
      <c r="N4" s="483"/>
      <c r="O4" s="483"/>
      <c r="P4" s="496"/>
      <c r="Q4" s="493"/>
      <c r="R4" s="494"/>
      <c r="S4" s="485" t="e">
        <f>INDEX(PT_DIFFERENTIATION_NUM_CS,MATCH(C4,PT_DIFFERENTIATION_CS_ID,0))</f>
        <v>#VALUE!</v>
      </c>
      <c r="T4" s="497" t="s">
        <v>393</v>
      </c>
      <c r="U4" s="487"/>
      <c r="V4" s="488"/>
      <c r="W4" s="489"/>
      <c r="X4" s="489"/>
      <c r="Y4" s="489"/>
      <c r="Z4" s="489"/>
      <c r="AA4" s="489"/>
      <c r="AB4" s="489"/>
      <c r="AC4" s="490"/>
      <c r="AD4" s="488" t="e">
        <f>INDEX(PT_DIFFERENTIATION_CS,MATCH(C4,PT_DIFFERENTIATION_CS_ID,0))</f>
        <v>#VALUE!</v>
      </c>
      <c r="AE4" s="489"/>
      <c r="AF4" s="489"/>
      <c r="AG4" s="489"/>
      <c r="AH4" s="489"/>
      <c r="AI4" s="489"/>
      <c r="AJ4" s="489"/>
      <c r="AK4" s="489"/>
      <c r="AL4" s="490"/>
      <c r="AM4" s="491" t="s">
        <v>394</v>
      </c>
      <c r="AO4" s="130"/>
      <c r="AP4" s="130" t="str">
        <f t="shared" si="2"/>
        <v xml:space="preserve">Наименование системы теплоснабжения </v>
      </c>
      <c r="AQ4" s="130"/>
      <c r="AR4" s="130"/>
      <c r="AS4" s="50">
        <v>0</v>
      </c>
    </row>
    <row r="5" ht="21" hidden="1" customHeight="1">
      <c r="A5" s="480"/>
      <c r="B5" s="480"/>
      <c r="C5" s="480"/>
      <c r="D5" s="480"/>
      <c r="E5" s="492"/>
      <c r="F5" s="492"/>
      <c r="G5" s="492"/>
      <c r="H5" s="481">
        <v>1</v>
      </c>
      <c r="I5" s="480"/>
      <c r="J5" s="480"/>
      <c r="K5" s="480"/>
      <c r="L5" s="482"/>
      <c r="M5" s="483"/>
      <c r="N5" s="483"/>
      <c r="O5" s="483"/>
      <c r="P5" s="496"/>
      <c r="Q5" s="493"/>
      <c r="R5" s="494"/>
      <c r="S5" s="485" t="e">
        <f>INDEX(PT_DIFFERENTIATION_NUM_IST_TE,MATCH(D5,PT_DIFFERENTIATION_IST_TE_ID,0))</f>
        <v>#VALUE!</v>
      </c>
      <c r="T5" s="498" t="s">
        <v>395</v>
      </c>
      <c r="U5" s="487"/>
      <c r="V5" s="488"/>
      <c r="W5" s="489"/>
      <c r="X5" s="489"/>
      <c r="Y5" s="489"/>
      <c r="Z5" s="489"/>
      <c r="AA5" s="489"/>
      <c r="AB5" s="489"/>
      <c r="AC5" s="490"/>
      <c r="AD5" s="488" t="e">
        <f>INDEX(PT_DIFFERENTIATION_IST_TE,MATCH(D5,PT_DIFFERENTIATION_IST_TE_ID,0))</f>
        <v>#VALUE!</v>
      </c>
      <c r="AE5" s="489"/>
      <c r="AF5" s="489"/>
      <c r="AG5" s="489"/>
      <c r="AH5" s="489"/>
      <c r="AI5" s="489"/>
      <c r="AJ5" s="489"/>
      <c r="AK5" s="489"/>
      <c r="AL5" s="490"/>
      <c r="AM5" s="491" t="s">
        <v>396</v>
      </c>
      <c r="AO5" s="130"/>
      <c r="AP5" s="130" t="str">
        <f t="shared" si="2"/>
        <v xml:space="preserve">Источник тепловой энергии  </v>
      </c>
      <c r="AQ5" s="130"/>
      <c r="AR5" s="130"/>
      <c r="AS5" s="50">
        <v>0</v>
      </c>
    </row>
    <row r="6" ht="47.25" hidden="1" customHeight="1">
      <c r="A6" s="480"/>
      <c r="B6" s="480"/>
      <c r="C6" s="480"/>
      <c r="D6" s="480"/>
      <c r="E6" s="492"/>
      <c r="F6" s="492"/>
      <c r="G6" s="492"/>
      <c r="H6" s="492"/>
      <c r="I6" s="499" t="e">
        <f>S5&amp;".1"</f>
        <v>#VALUE!</v>
      </c>
      <c r="J6" s="480"/>
      <c r="K6" s="480"/>
      <c r="L6" s="482" t="s">
        <v>397</v>
      </c>
      <c r="M6" s="53"/>
      <c r="P6" s="133">
        <v>1</v>
      </c>
      <c r="Q6" s="133"/>
      <c r="R6" s="500"/>
      <c r="S6" s="485" t="e">
        <f>$I6</f>
        <v>#VALUE!</v>
      </c>
      <c r="T6" s="501" t="s">
        <v>398</v>
      </c>
      <c r="U6" s="487"/>
      <c r="V6" s="432"/>
      <c r="W6" s="502"/>
      <c r="X6" s="502"/>
      <c r="Y6" s="502"/>
      <c r="Z6" s="502"/>
      <c r="AA6" s="502"/>
      <c r="AB6" s="502"/>
      <c r="AC6" s="503"/>
      <c r="AD6" s="432"/>
      <c r="AE6" s="502"/>
      <c r="AF6" s="502"/>
      <c r="AG6" s="502"/>
      <c r="AH6" s="502"/>
      <c r="AI6" s="502"/>
      <c r="AJ6" s="502"/>
      <c r="AK6" s="502"/>
      <c r="AL6" s="503"/>
      <c r="AM6" s="491" t="s">
        <v>399</v>
      </c>
      <c r="AO6" s="130"/>
      <c r="AP6" s="130" t="str">
        <f t="shared" si="2"/>
        <v xml:space="preserve">Схема подключения теплопотребляющей установки к коллектору источника тепловой энергии</v>
      </c>
      <c r="AQ6" s="130"/>
      <c r="AR6" s="130"/>
      <c r="AS6" s="50">
        <v>0</v>
      </c>
    </row>
    <row r="7" ht="21" hidden="1" customHeight="1">
      <c r="A7" s="480"/>
      <c r="B7" s="480"/>
      <c r="C7" s="480"/>
      <c r="D7" s="480"/>
      <c r="E7" s="492"/>
      <c r="F7" s="492"/>
      <c r="G7" s="492"/>
      <c r="H7" s="492"/>
      <c r="I7" s="504"/>
      <c r="J7" s="499" t="e">
        <f>I6&amp;".1"</f>
        <v>#VALUE!</v>
      </c>
      <c r="K7" s="480"/>
      <c r="L7" s="482" t="s">
        <v>400</v>
      </c>
      <c r="M7" s="53"/>
      <c r="N7" s="53"/>
      <c r="P7" s="133"/>
      <c r="Q7" s="133">
        <v>1</v>
      </c>
      <c r="R7" s="505"/>
      <c r="S7" s="485" t="e">
        <f>$J7</f>
        <v>#VALUE!</v>
      </c>
      <c r="T7" s="506" t="s">
        <v>401</v>
      </c>
      <c r="U7" s="487"/>
      <c r="V7" s="432"/>
      <c r="W7" s="502"/>
      <c r="X7" s="502"/>
      <c r="Y7" s="502"/>
      <c r="Z7" s="502"/>
      <c r="AA7" s="502"/>
      <c r="AB7" s="502"/>
      <c r="AC7" s="503"/>
      <c r="AD7" s="432"/>
      <c r="AE7" s="502"/>
      <c r="AF7" s="502"/>
      <c r="AG7" s="502"/>
      <c r="AH7" s="502"/>
      <c r="AI7" s="502"/>
      <c r="AJ7" s="502"/>
      <c r="AK7" s="502"/>
      <c r="AL7" s="503"/>
      <c r="AM7" s="491" t="s">
        <v>402</v>
      </c>
      <c r="AO7" s="130"/>
      <c r="AP7" s="130" t="str">
        <f t="shared" si="2"/>
        <v xml:space="preserve">Группа потребителей</v>
      </c>
      <c r="AQ7" s="130"/>
      <c r="AR7" s="130"/>
      <c r="AS7" s="50">
        <v>0</v>
      </c>
    </row>
    <row r="8" ht="21" hidden="1" customHeight="1">
      <c r="A8" s="480"/>
      <c r="B8" s="480"/>
      <c r="C8" s="480"/>
      <c r="D8" s="480"/>
      <c r="E8" s="492"/>
      <c r="F8" s="492"/>
      <c r="G8" s="492"/>
      <c r="H8" s="492"/>
      <c r="I8" s="504"/>
      <c r="J8" s="504"/>
      <c r="K8" s="499" t="e">
        <f>J7&amp;".1"</f>
        <v>#VALUE!</v>
      </c>
      <c r="L8" s="482" t="s">
        <v>403</v>
      </c>
      <c r="M8" s="53"/>
      <c r="N8" s="53"/>
      <c r="O8" s="53"/>
      <c r="P8" s="133"/>
      <c r="Q8" s="133"/>
      <c r="R8" s="505">
        <v>1</v>
      </c>
      <c r="S8" s="485" t="e">
        <f>$K8</f>
        <v>#VALUE!</v>
      </c>
      <c r="T8" s="507"/>
      <c r="U8" s="487"/>
      <c r="V8" s="508"/>
      <c r="W8" s="509"/>
      <c r="X8" s="508"/>
      <c r="Y8" s="510"/>
      <c r="Z8" s="511"/>
      <c r="AA8" s="225" t="s">
        <v>64</v>
      </c>
      <c r="AB8" s="511"/>
      <c r="AC8" s="225" t="s">
        <v>64</v>
      </c>
      <c r="AD8" s="508"/>
      <c r="AE8" s="509"/>
      <c r="AF8" s="508"/>
      <c r="AG8" s="510"/>
      <c r="AH8" s="511"/>
      <c r="AI8" s="225" t="s">
        <v>64</v>
      </c>
      <c r="AJ8" s="511"/>
      <c r="AK8" s="225" t="s">
        <v>64</v>
      </c>
      <c r="AL8" s="509"/>
      <c r="AM8" s="512" t="s">
        <v>404</v>
      </c>
      <c r="AN8" s="57" t="e">
        <f>STRCHECKDATE(V9:AL9)</f>
        <v>#NAME?</v>
      </c>
      <c r="AO8" s="130"/>
      <c r="AP8" s="130" t="str">
        <f t="shared" si="2"/>
        <v/>
      </c>
      <c r="AQ8" s="130"/>
      <c r="AR8" s="130"/>
      <c r="AS8" s="50">
        <v>0</v>
      </c>
    </row>
    <row r="9" ht="0.75" hidden="1" customHeight="1">
      <c r="A9" s="480"/>
      <c r="B9" s="480"/>
      <c r="C9" s="480"/>
      <c r="D9" s="480"/>
      <c r="E9" s="492"/>
      <c r="F9" s="492"/>
      <c r="G9" s="492"/>
      <c r="H9" s="492"/>
      <c r="I9" s="504"/>
      <c r="J9" s="504"/>
      <c r="K9" s="499"/>
      <c r="L9" s="482"/>
      <c r="M9" s="53"/>
      <c r="N9" s="53"/>
      <c r="O9" s="53"/>
      <c r="P9" s="133"/>
      <c r="Q9" s="133"/>
      <c r="R9" s="505"/>
      <c r="S9" s="459"/>
      <c r="T9" s="487"/>
      <c r="U9" s="487"/>
      <c r="V9" s="509"/>
      <c r="W9" s="509"/>
      <c r="X9" s="509"/>
      <c r="Y9" s="513" t="str">
        <f>Z8&amp;"-"&amp;AB8</f>
        <v>-</v>
      </c>
      <c r="Z9" s="514"/>
      <c r="AA9" s="225"/>
      <c r="AB9" s="514"/>
      <c r="AC9" s="225"/>
      <c r="AD9" s="509"/>
      <c r="AE9" s="509"/>
      <c r="AF9" s="509"/>
      <c r="AG9" s="513" t="str">
        <f>AH8&amp;"-"&amp;AJ8</f>
        <v>-</v>
      </c>
      <c r="AH9" s="514"/>
      <c r="AI9" s="225"/>
      <c r="AJ9" s="514"/>
      <c r="AK9" s="225"/>
      <c r="AL9" s="509"/>
      <c r="AM9" s="515"/>
      <c r="AO9" s="130"/>
      <c r="AP9" s="130" t="str">
        <f t="shared" si="2"/>
        <v/>
      </c>
      <c r="AQ9" s="130"/>
      <c r="AR9" s="130"/>
      <c r="AS9" s="50">
        <v>0</v>
      </c>
    </row>
    <row r="10" ht="15" hidden="1" customHeight="1">
      <c r="A10" s="480"/>
      <c r="B10" s="480"/>
      <c r="C10" s="480"/>
      <c r="D10" s="480"/>
      <c r="E10" s="492"/>
      <c r="F10" s="492"/>
      <c r="G10" s="492"/>
      <c r="H10" s="492"/>
      <c r="I10" s="504"/>
      <c r="J10" s="499"/>
      <c r="K10" s="480"/>
      <c r="L10" s="482"/>
      <c r="M10" s="53"/>
      <c r="N10" s="53"/>
      <c r="P10" s="133"/>
      <c r="Q10" s="133"/>
      <c r="R10" s="500"/>
      <c r="S10" s="516"/>
      <c r="T10" s="517" t="s">
        <v>405</v>
      </c>
      <c r="U10" s="215"/>
      <c r="V10" s="215"/>
      <c r="W10" s="215"/>
      <c r="X10" s="215"/>
      <c r="Y10" s="215"/>
      <c r="Z10" s="215"/>
      <c r="AA10" s="215"/>
      <c r="AB10" s="215"/>
      <c r="AC10" s="215"/>
      <c r="AD10" s="215"/>
      <c r="AE10" s="215"/>
      <c r="AF10" s="215"/>
      <c r="AG10" s="215"/>
      <c r="AH10" s="215"/>
      <c r="AI10" s="215"/>
      <c r="AJ10" s="215"/>
      <c r="AK10" s="215"/>
      <c r="AL10" s="518"/>
      <c r="AM10" s="519"/>
      <c r="AO10" s="130"/>
      <c r="AP10" s="130" t="str">
        <f t="shared" ref="AP10:AP57" si="3">IF(T10="","",T10)</f>
        <v xml:space="preserve">Добавить вид теплоносителя (параметры теплоносителя)</v>
      </c>
      <c r="AQ10" s="130"/>
      <c r="AR10" s="130"/>
      <c r="AS10" s="50">
        <v>0</v>
      </c>
    </row>
    <row r="11" ht="15" hidden="1" customHeight="1">
      <c r="A11" s="480"/>
      <c r="B11" s="480"/>
      <c r="C11" s="480"/>
      <c r="D11" s="480"/>
      <c r="E11" s="492"/>
      <c r="F11" s="492"/>
      <c r="G11" s="492"/>
      <c r="H11" s="492"/>
      <c r="I11" s="499"/>
      <c r="J11" s="480"/>
      <c r="K11" s="480"/>
      <c r="L11" s="482"/>
      <c r="M11" s="53"/>
      <c r="P11" s="133"/>
      <c r="Q11" s="133"/>
      <c r="R11" s="500"/>
      <c r="S11" s="516"/>
      <c r="T11" s="520" t="s">
        <v>406</v>
      </c>
      <c r="U11" s="215"/>
      <c r="V11" s="215"/>
      <c r="W11" s="215"/>
      <c r="X11" s="215"/>
      <c r="Y11" s="215"/>
      <c r="Z11" s="215"/>
      <c r="AA11" s="215"/>
      <c r="AB11" s="215"/>
      <c r="AC11" s="521"/>
      <c r="AD11" s="215"/>
      <c r="AE11" s="215"/>
      <c r="AF11" s="215"/>
      <c r="AG11" s="215"/>
      <c r="AH11" s="215"/>
      <c r="AI11" s="215"/>
      <c r="AJ11" s="215"/>
      <c r="AK11" s="521"/>
      <c r="AL11" s="215"/>
      <c r="AM11" s="522"/>
      <c r="AO11" s="130"/>
      <c r="AP11" s="130" t="str">
        <f t="shared" si="3"/>
        <v xml:space="preserve">Добавить группу потребителей</v>
      </c>
      <c r="AQ11" s="130"/>
      <c r="AR11" s="130"/>
      <c r="AS11" s="50">
        <v>0</v>
      </c>
    </row>
    <row r="12" ht="14.25" hidden="1" customHeight="1">
      <c r="A12" s="480"/>
      <c r="B12" s="480"/>
      <c r="C12" s="480"/>
      <c r="D12" s="480"/>
      <c r="E12" s="492"/>
      <c r="F12" s="492"/>
      <c r="G12" s="492"/>
      <c r="H12" s="481"/>
      <c r="I12" s="480"/>
      <c r="J12" s="480"/>
      <c r="K12" s="480"/>
      <c r="L12" s="482"/>
      <c r="M12" s="483"/>
      <c r="N12" s="483"/>
      <c r="O12" s="53"/>
      <c r="P12" s="144"/>
      <c r="Q12" s="523"/>
      <c r="R12" s="484"/>
      <c r="S12" s="516"/>
      <c r="T12" s="524" t="s">
        <v>407</v>
      </c>
      <c r="U12" s="215"/>
      <c r="V12" s="215"/>
      <c r="W12" s="215"/>
      <c r="X12" s="215"/>
      <c r="Y12" s="215"/>
      <c r="Z12" s="215"/>
      <c r="AA12" s="215"/>
      <c r="AB12" s="215"/>
      <c r="AC12" s="521"/>
      <c r="AD12" s="215"/>
      <c r="AE12" s="215"/>
      <c r="AF12" s="215"/>
      <c r="AG12" s="215"/>
      <c r="AH12" s="215"/>
      <c r="AI12" s="215"/>
      <c r="AJ12" s="215"/>
      <c r="AK12" s="521"/>
      <c r="AL12" s="215"/>
      <c r="AM12" s="522"/>
      <c r="AO12" s="130"/>
      <c r="AP12" s="130" t="str">
        <f t="shared" si="3"/>
        <v xml:space="preserve">Добавить схему подключения</v>
      </c>
      <c r="AQ12" s="130"/>
      <c r="AR12" s="130"/>
      <c r="AS12" s="50">
        <v>0</v>
      </c>
    </row>
    <row r="13" s="57" customFormat="1" ht="0.75" hidden="1" customHeight="1">
      <c r="A13" s="134"/>
      <c r="B13" s="134"/>
      <c r="C13" s="134"/>
      <c r="D13" s="134"/>
      <c r="E13" s="492"/>
      <c r="F13" s="492"/>
      <c r="G13" s="481"/>
      <c r="H13" s="134"/>
      <c r="I13" s="134"/>
      <c r="J13" s="134"/>
      <c r="K13" s="134"/>
      <c r="L13" s="213"/>
      <c r="M13" s="465"/>
      <c r="N13" s="465"/>
      <c r="P13" s="168"/>
      <c r="Q13" s="525"/>
      <c r="R13" s="168"/>
      <c r="S13" s="526"/>
      <c r="T13" s="527" t="s">
        <v>408</v>
      </c>
      <c r="U13" s="528"/>
      <c r="V13" s="528"/>
      <c r="W13" s="528"/>
      <c r="X13" s="528"/>
      <c r="Y13" s="528"/>
      <c r="Z13" s="528"/>
      <c r="AA13" s="528"/>
      <c r="AB13" s="528"/>
      <c r="AC13" s="528"/>
      <c r="AD13" s="528"/>
      <c r="AE13" s="528"/>
      <c r="AF13" s="528"/>
      <c r="AG13" s="528"/>
      <c r="AH13" s="528"/>
      <c r="AI13" s="528"/>
      <c r="AJ13" s="528"/>
      <c r="AK13" s="528"/>
      <c r="AL13" s="528"/>
      <c r="AM13" s="528"/>
      <c r="AO13" s="130"/>
      <c r="AP13" s="130" t="str">
        <f t="shared" si="3"/>
        <v xml:space="preserve">Добавить источник для дифференциации</v>
      </c>
      <c r="AQ13" s="130"/>
      <c r="AR13" s="130"/>
      <c r="AS13" s="57">
        <v>0</v>
      </c>
    </row>
    <row r="14" s="57" customFormat="1" ht="0.75" hidden="1" customHeight="1">
      <c r="A14" s="134"/>
      <c r="B14" s="134"/>
      <c r="C14" s="134"/>
      <c r="D14" s="134"/>
      <c r="E14" s="492"/>
      <c r="F14" s="481"/>
      <c r="G14" s="134"/>
      <c r="H14" s="134"/>
      <c r="I14" s="134"/>
      <c r="J14" s="134"/>
      <c r="K14" s="134"/>
      <c r="L14" s="213"/>
      <c r="M14" s="529"/>
      <c r="N14" s="529"/>
      <c r="P14" s="168"/>
      <c r="Q14" s="525"/>
      <c r="R14" s="168"/>
      <c r="S14" s="530"/>
      <c r="T14" s="531" t="s">
        <v>409</v>
      </c>
      <c r="U14" s="532"/>
      <c r="V14" s="532"/>
      <c r="W14" s="532"/>
      <c r="X14" s="532"/>
      <c r="Y14" s="532"/>
      <c r="Z14" s="532"/>
      <c r="AA14" s="532"/>
      <c r="AB14" s="532"/>
      <c r="AC14" s="532"/>
      <c r="AD14" s="532"/>
      <c r="AE14" s="532"/>
      <c r="AF14" s="532"/>
      <c r="AG14" s="532"/>
      <c r="AH14" s="532"/>
      <c r="AI14" s="532"/>
      <c r="AJ14" s="532"/>
      <c r="AK14" s="532"/>
      <c r="AL14" s="532"/>
      <c r="AM14" s="532"/>
      <c r="AO14" s="130"/>
      <c r="AP14" s="130" t="str">
        <f t="shared" si="3"/>
        <v xml:space="preserve">Добавить централизованную систему для дифференциации</v>
      </c>
      <c r="AQ14" s="130"/>
      <c r="AR14" s="130"/>
      <c r="AS14" s="57">
        <v>0</v>
      </c>
    </row>
    <row r="15" s="57" customFormat="1" ht="0.75" hidden="1" customHeight="1">
      <c r="A15" s="134"/>
      <c r="B15" s="134"/>
      <c r="C15" s="134"/>
      <c r="D15" s="134"/>
      <c r="E15" s="481"/>
      <c r="F15" s="134"/>
      <c r="G15" s="134"/>
      <c r="H15" s="134"/>
      <c r="I15" s="134"/>
      <c r="J15" s="134"/>
      <c r="K15" s="134"/>
      <c r="L15" s="213"/>
      <c r="M15" s="529"/>
      <c r="N15" s="529"/>
      <c r="P15" s="168"/>
      <c r="Q15" s="525"/>
      <c r="R15" s="168"/>
      <c r="S15" s="530"/>
      <c r="T15" s="533" t="s">
        <v>410</v>
      </c>
      <c r="U15" s="532"/>
      <c r="V15" s="532"/>
      <c r="W15" s="532"/>
      <c r="X15" s="532"/>
      <c r="Y15" s="532"/>
      <c r="Z15" s="532"/>
      <c r="AA15" s="532"/>
      <c r="AB15" s="532"/>
      <c r="AC15" s="532"/>
      <c r="AD15" s="532"/>
      <c r="AE15" s="532"/>
      <c r="AF15" s="532"/>
      <c r="AG15" s="532"/>
      <c r="AH15" s="532"/>
      <c r="AI15" s="532"/>
      <c r="AJ15" s="532"/>
      <c r="AK15" s="532"/>
      <c r="AL15" s="532"/>
      <c r="AM15" s="532"/>
      <c r="AO15" s="130"/>
      <c r="AP15" s="130" t="str">
        <f t="shared" si="3"/>
        <v xml:space="preserve">Добавить территорию для дифференциации</v>
      </c>
      <c r="AQ15" s="130"/>
      <c r="AR15" s="130"/>
      <c r="AS15" s="57">
        <v>0</v>
      </c>
    </row>
    <row r="16" ht="14.25" hidden="1" customHeight="1">
      <c r="AC16" s="50"/>
      <c r="AK16" s="50"/>
      <c r="AS16" s="50">
        <v>0</v>
      </c>
    </row>
    <row r="17" ht="14.25" hidden="1" customHeight="1">
      <c r="P17" s="60"/>
      <c r="AD17" s="534"/>
      <c r="AE17" s="534"/>
      <c r="AF17" s="534"/>
      <c r="AG17" s="535"/>
      <c r="AH17" s="536"/>
      <c r="AI17" s="537" t="s">
        <v>64</v>
      </c>
      <c r="AJ17" s="536"/>
      <c r="AK17" s="537" t="s">
        <v>64</v>
      </c>
      <c r="AS17" s="50">
        <v>0</v>
      </c>
    </row>
    <row r="18" ht="14.25" hidden="1" customHeight="1">
      <c r="P18" s="60"/>
      <c r="AD18" s="534"/>
      <c r="AE18" s="534"/>
      <c r="AF18" s="534"/>
      <c r="AG18" s="513" t="str">
        <f>AH17&amp;"-"&amp;AJ17</f>
        <v>-</v>
      </c>
      <c r="AH18" s="537"/>
      <c r="AI18" s="537"/>
      <c r="AJ18" s="537"/>
      <c r="AK18" s="537"/>
      <c r="AS18" s="50">
        <v>0</v>
      </c>
    </row>
    <row r="19" ht="14.25" hidden="1" customHeight="1">
      <c r="P19" s="60"/>
      <c r="AK19" s="50"/>
      <c r="AS19" s="50">
        <v>0</v>
      </c>
    </row>
    <row r="20" s="53" customFormat="1" ht="22.5" hidden="1" customHeight="1">
      <c r="L20" s="114"/>
      <c r="M20" s="61"/>
      <c r="N20" s="61"/>
      <c r="O20" s="538" t="s">
        <v>411</v>
      </c>
      <c r="P20" s="61"/>
      <c r="Q20" s="539"/>
      <c r="R20" s="539"/>
      <c r="S20" s="483"/>
      <c r="Z20" s="538"/>
      <c r="AB20" s="538"/>
      <c r="AC20" s="53"/>
      <c r="AH20" s="538"/>
      <c r="AJ20" s="538"/>
      <c r="AK20" s="53"/>
      <c r="AN20" s="57"/>
      <c r="AO20" s="57"/>
      <c r="AP20" s="57"/>
      <c r="AQ20" s="57"/>
      <c r="AR20" s="57"/>
      <c r="AS20" s="53">
        <v>0</v>
      </c>
    </row>
    <row r="21" s="53" customFormat="1" ht="14.25" hidden="1" customHeight="1">
      <c r="L21" s="114"/>
      <c r="M21" s="61"/>
      <c r="N21" s="61"/>
      <c r="O21" s="61"/>
      <c r="P21" s="61"/>
      <c r="Q21" s="539"/>
      <c r="R21" s="539"/>
      <c r="S21" s="483"/>
      <c r="AC21" s="53"/>
      <c r="AK21" s="53"/>
      <c r="AN21" s="57"/>
      <c r="AO21" s="57"/>
      <c r="AP21" s="57"/>
      <c r="AQ21" s="57"/>
      <c r="AR21" s="57"/>
      <c r="AS21" s="53">
        <v>0</v>
      </c>
    </row>
    <row r="22" s="53" customFormat="1" ht="14.25" hidden="1" customHeight="1">
      <c r="L22" s="114"/>
      <c r="M22" s="61"/>
      <c r="N22" s="61"/>
      <c r="O22" s="482" t="s">
        <v>412</v>
      </c>
      <c r="P22" s="61"/>
      <c r="Q22" s="539"/>
      <c r="R22" s="539"/>
      <c r="S22" s="483"/>
      <c r="T22" s="53" t="s">
        <v>413</v>
      </c>
      <c r="AA22" s="152" t="s">
        <v>414</v>
      </c>
      <c r="AC22" s="152" t="s">
        <v>415</v>
      </c>
      <c r="AD22" s="53" t="s">
        <v>413</v>
      </c>
      <c r="AI22" s="152" t="s">
        <v>416</v>
      </c>
      <c r="AK22" s="152" t="s">
        <v>415</v>
      </c>
      <c r="AN22" s="57"/>
      <c r="AO22" s="57"/>
      <c r="AP22" s="57"/>
      <c r="AQ22" s="57"/>
      <c r="AR22" s="57"/>
      <c r="AS22" s="53">
        <v>0</v>
      </c>
    </row>
    <row r="23" ht="14.25" hidden="1" customHeight="1">
      <c r="O23" s="482"/>
      <c r="P23" s="60"/>
      <c r="AS23" s="50">
        <v>0</v>
      </c>
    </row>
    <row r="24" ht="14.25" hidden="1" customHeight="1">
      <c r="O24" s="482"/>
      <c r="P24" s="60"/>
      <c r="AS24" s="50">
        <v>0</v>
      </c>
    </row>
    <row r="25" ht="14.65" customHeight="1">
      <c r="Q25" s="540"/>
      <c r="R25" s="540"/>
      <c r="S25" s="541"/>
      <c r="T25" s="91"/>
      <c r="U25" s="91"/>
      <c r="V25" s="50"/>
      <c r="W25" s="50"/>
      <c r="X25" s="50"/>
      <c r="Y25" s="50"/>
      <c r="Z25" s="50"/>
      <c r="AA25" s="50"/>
      <c r="AB25" s="50"/>
      <c r="AC25" s="50"/>
      <c r="AD25" s="50"/>
      <c r="AE25" s="50"/>
      <c r="AF25" s="50"/>
      <c r="AG25" s="50"/>
      <c r="AH25" s="50"/>
      <c r="AI25" s="50"/>
      <c r="AJ25" s="50"/>
      <c r="AK25" s="50"/>
      <c r="AS25" s="50">
        <v>14</v>
      </c>
    </row>
    <row r="26" ht="14.65" customHeight="1">
      <c r="Q26" s="540"/>
      <c r="R26" s="540"/>
      <c r="S26" s="453" t="str">
        <f>IF(TEMPLATE_GROUP="P",PT_P_FORM_HEAT_4_NAME_FORM,PT_R_FORM_HEAT_21_NAME_FORM)</f>
        <v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453"/>
      <c r="U26" s="453"/>
      <c r="V26" s="453"/>
      <c r="W26" s="453"/>
      <c r="X26" s="453"/>
      <c r="Y26" s="453"/>
      <c r="Z26" s="453"/>
      <c r="AA26" s="453"/>
      <c r="AB26" s="453"/>
      <c r="AC26" s="453"/>
      <c r="AD26" s="453"/>
      <c r="AE26" s="453"/>
      <c r="AF26" s="453"/>
      <c r="AG26" s="453"/>
      <c r="AH26" s="453"/>
      <c r="AI26" s="453"/>
      <c r="AJ26" s="453"/>
      <c r="AK26" s="241"/>
      <c r="AS26" s="50">
        <v>14</v>
      </c>
    </row>
    <row r="27" ht="14.65" customHeight="1">
      <c r="Q27" s="540"/>
      <c r="R27" s="540"/>
      <c r="S27" s="304" t="str">
        <f>IF(org=0,"Не определено",org)</f>
        <v xml:space="preserve">АО "ДГК" СП "Биробиджанская ТЭЦ"</v>
      </c>
      <c r="T27" s="304"/>
      <c r="U27" s="304"/>
      <c r="V27" s="304"/>
      <c r="W27" s="304"/>
      <c r="X27" s="304"/>
      <c r="Y27" s="304"/>
      <c r="Z27" s="304"/>
      <c r="AA27" s="304"/>
      <c r="AB27" s="304"/>
      <c r="AC27" s="304"/>
      <c r="AD27" s="304"/>
      <c r="AE27" s="304"/>
      <c r="AF27" s="304"/>
      <c r="AG27" s="304"/>
      <c r="AH27" s="304"/>
      <c r="AI27" s="304"/>
      <c r="AJ27" s="304"/>
      <c r="AK27" s="241"/>
      <c r="AS27" s="50">
        <v>14</v>
      </c>
    </row>
    <row r="28" ht="14.25" hidden="1" customHeight="1">
      <c r="Q28" s="540"/>
      <c r="R28" s="540"/>
      <c r="S28" s="541"/>
      <c r="T28" s="91"/>
      <c r="U28" s="91"/>
      <c r="V28" s="542"/>
      <c r="W28" s="542"/>
      <c r="X28" s="542"/>
      <c r="Y28" s="542"/>
      <c r="Z28" s="542"/>
      <c r="AA28" s="542"/>
      <c r="AB28" s="542"/>
      <c r="AC28" s="542"/>
      <c r="AD28" s="542"/>
      <c r="AE28" s="542"/>
      <c r="AF28" s="542"/>
      <c r="AG28" s="542"/>
      <c r="AH28" s="542"/>
      <c r="AI28" s="542"/>
      <c r="AJ28" s="542"/>
      <c r="AK28" s="542"/>
      <c r="AL28" s="50"/>
      <c r="AS28" s="50">
        <v>0</v>
      </c>
    </row>
    <row r="29" s="185" customFormat="1" ht="25.5" hidden="1" customHeight="1">
      <c r="A29" s="152"/>
      <c r="B29" s="152"/>
      <c r="C29" s="152"/>
      <c r="D29" s="152"/>
      <c r="E29" s="152"/>
      <c r="F29" s="152"/>
      <c r="G29" s="152"/>
      <c r="H29" s="152"/>
      <c r="I29" s="152"/>
      <c r="J29" s="152"/>
      <c r="K29" s="152"/>
      <c r="L29" s="482"/>
      <c r="M29" s="152"/>
      <c r="N29" s="152"/>
      <c r="O29" s="152"/>
      <c r="S29" s="543" t="s">
        <v>41</v>
      </c>
      <c r="T29" s="543"/>
      <c r="U29" s="544"/>
      <c r="V29" s="545" t="str">
        <f>IF(TITLE_NAME_OR_PR_CHANGE="",IF(TITLE_NAME_OR_PR="","",TITLE_NAME_OR_PR),TITLE_NAME_OR_PR_CHANGE)</f>
        <v/>
      </c>
      <c r="W29" s="545"/>
      <c r="X29" s="545"/>
      <c r="Y29" s="545"/>
      <c r="Z29" s="545"/>
      <c r="AA29" s="545"/>
      <c r="AB29" s="545"/>
      <c r="AC29" s="50"/>
      <c r="AD29" s="545" t="str">
        <f>IF(TITLE_NAME_OR_PR_CHANGE="",IF(TITLE_NAME_OR_PR="","",TITLE_NAME_OR_PR),TITLE_NAME_OR_PR_CHANGE)</f>
        <v/>
      </c>
      <c r="AE29" s="545"/>
      <c r="AF29" s="545"/>
      <c r="AG29" s="545"/>
      <c r="AH29" s="545"/>
      <c r="AI29" s="545"/>
      <c r="AJ29" s="545"/>
      <c r="AK29" s="50"/>
      <c r="AL29" s="50"/>
      <c r="AM29" s="546"/>
      <c r="AN29" s="130"/>
      <c r="AO29" s="130"/>
      <c r="AP29" s="130"/>
      <c r="AQ29" s="130"/>
      <c r="AR29" s="130"/>
      <c r="AS29" s="185">
        <v>0</v>
      </c>
    </row>
    <row r="30" s="185" customFormat="1" ht="18.75" hidden="1" customHeight="1">
      <c r="A30" s="152"/>
      <c r="B30" s="152"/>
      <c r="C30" s="152"/>
      <c r="D30" s="152"/>
      <c r="E30" s="152"/>
      <c r="F30" s="152"/>
      <c r="G30" s="152"/>
      <c r="H30" s="152"/>
      <c r="I30" s="152"/>
      <c r="J30" s="152"/>
      <c r="K30" s="152"/>
      <c r="L30" s="482"/>
      <c r="M30" s="152"/>
      <c r="N30" s="152"/>
      <c r="O30" s="152"/>
      <c r="S30" s="543" t="s">
        <v>417</v>
      </c>
      <c r="T30" s="543"/>
      <c r="U30" s="544"/>
      <c r="V30" s="547" t="str">
        <f>IF(TITLE_DATE_PR_CHANGE="",IF(TITLE_DATE_PR="","",TITLE_DATE_PR),TITLE_DATE_PR_CHANGE)</f>
        <v/>
      </c>
      <c r="W30" s="547"/>
      <c r="X30" s="547"/>
      <c r="Y30" s="547"/>
      <c r="Z30" s="547"/>
      <c r="AA30" s="547"/>
      <c r="AB30" s="547"/>
      <c r="AC30" s="50"/>
      <c r="AD30" s="547" t="str">
        <f>IF(TITLE_DATE_PR_CHANGE="",IF(TITLE_DATE_PR="","",TITLE_DATE_PR),TITLE_DATE_PR_CHANGE)</f>
        <v/>
      </c>
      <c r="AE30" s="547"/>
      <c r="AF30" s="547"/>
      <c r="AG30" s="547"/>
      <c r="AH30" s="547"/>
      <c r="AI30" s="547"/>
      <c r="AJ30" s="547"/>
      <c r="AK30" s="50"/>
      <c r="AL30" s="50"/>
      <c r="AM30" s="546"/>
      <c r="AN30" s="130"/>
      <c r="AO30" s="130"/>
      <c r="AP30" s="130"/>
      <c r="AQ30" s="130"/>
      <c r="AR30" s="130"/>
      <c r="AS30" s="185">
        <v>0</v>
      </c>
    </row>
    <row r="31" s="185" customFormat="1" ht="18.75" hidden="1" customHeight="1">
      <c r="A31" s="152"/>
      <c r="B31" s="152"/>
      <c r="C31" s="152"/>
      <c r="D31" s="152"/>
      <c r="E31" s="152"/>
      <c r="F31" s="152"/>
      <c r="G31" s="152"/>
      <c r="H31" s="152"/>
      <c r="I31" s="152"/>
      <c r="J31" s="152"/>
      <c r="K31" s="152"/>
      <c r="L31" s="482"/>
      <c r="M31" s="152"/>
      <c r="N31" s="152"/>
      <c r="O31" s="152"/>
      <c r="S31" s="543" t="s">
        <v>418</v>
      </c>
      <c r="T31" s="543"/>
      <c r="U31" s="544"/>
      <c r="V31" s="545" t="str">
        <f>IF(TITLE_NUMBER_PR_CHANGE="",IF(TITLE_NUMBER_PR="","",TITLE_NUMBER_PR),TITLE_NUMBER_PR_CHANGE)</f>
        <v/>
      </c>
      <c r="W31" s="545"/>
      <c r="X31" s="545"/>
      <c r="Y31" s="545"/>
      <c r="Z31" s="545"/>
      <c r="AA31" s="545"/>
      <c r="AB31" s="545"/>
      <c r="AC31" s="50"/>
      <c r="AD31" s="545" t="str">
        <f>IF(TITLE_NUMBER_PR_CHANGE="",IF(TITLE_NUMBER_PR="","",TITLE_NUMBER_PR),TITLE_NUMBER_PR_CHANGE)</f>
        <v/>
      </c>
      <c r="AE31" s="545"/>
      <c r="AF31" s="545"/>
      <c r="AG31" s="545"/>
      <c r="AH31" s="545"/>
      <c r="AI31" s="545"/>
      <c r="AJ31" s="545"/>
      <c r="AK31" s="50"/>
      <c r="AL31" s="50"/>
      <c r="AM31" s="546"/>
      <c r="AN31" s="130"/>
      <c r="AO31" s="130"/>
      <c r="AP31" s="130"/>
      <c r="AQ31" s="130"/>
      <c r="AR31" s="130"/>
      <c r="AS31" s="185">
        <v>0</v>
      </c>
    </row>
    <row r="32" s="185" customFormat="1" ht="18.75" hidden="1" customHeight="1">
      <c r="A32" s="152"/>
      <c r="B32" s="152"/>
      <c r="C32" s="152"/>
      <c r="D32" s="152"/>
      <c r="E32" s="152"/>
      <c r="F32" s="152"/>
      <c r="G32" s="152"/>
      <c r="H32" s="152"/>
      <c r="I32" s="152"/>
      <c r="J32" s="152"/>
      <c r="K32" s="152"/>
      <c r="L32" s="482"/>
      <c r="M32" s="152"/>
      <c r="N32" s="152"/>
      <c r="O32" s="152"/>
      <c r="S32" s="543" t="s">
        <v>42</v>
      </c>
      <c r="T32" s="543"/>
      <c r="U32" s="544"/>
      <c r="V32" s="545" t="str">
        <f>IF(TITLE_IST_PUB_CHANGE="",IF(TITLE_IST_PUB="","",TITLE_IST_PUB),TITLE_IST_PUB_CHANGE)</f>
        <v/>
      </c>
      <c r="W32" s="545"/>
      <c r="X32" s="545"/>
      <c r="Y32" s="545"/>
      <c r="Z32" s="545"/>
      <c r="AA32" s="545"/>
      <c r="AB32" s="545"/>
      <c r="AC32" s="50"/>
      <c r="AD32" s="545" t="str">
        <f>IF(TITLE_IST_PUB_CHANGE="",IF(TITLE_IST_PUB="","",TITLE_IST_PUB),TITLE_IST_PUB_CHANGE)</f>
        <v/>
      </c>
      <c r="AE32" s="545"/>
      <c r="AF32" s="545"/>
      <c r="AG32" s="545"/>
      <c r="AH32" s="545"/>
      <c r="AI32" s="545"/>
      <c r="AJ32" s="545"/>
      <c r="AK32" s="50"/>
      <c r="AL32" s="50"/>
      <c r="AM32" s="546"/>
      <c r="AN32" s="130"/>
      <c r="AO32" s="130"/>
      <c r="AP32" s="130"/>
      <c r="AQ32" s="130"/>
      <c r="AR32" s="130"/>
      <c r="AS32" s="185">
        <v>0</v>
      </c>
    </row>
    <row r="33" ht="14.25" hidden="1" customHeight="1">
      <c r="P33" s="60"/>
      <c r="Q33" s="540"/>
      <c r="R33" s="540"/>
      <c r="S33" s="541"/>
      <c r="T33" s="91"/>
      <c r="U33" s="91"/>
      <c r="V33" s="542"/>
      <c r="W33" s="542"/>
      <c r="X33" s="542"/>
      <c r="Y33" s="542"/>
      <c r="Z33" s="542"/>
      <c r="AA33" s="542"/>
      <c r="AB33" s="542"/>
      <c r="AC33" s="542"/>
      <c r="AD33" s="542"/>
      <c r="AE33" s="542"/>
      <c r="AF33" s="542"/>
      <c r="AG33" s="542"/>
      <c r="AH33" s="542"/>
      <c r="AI33" s="542"/>
      <c r="AJ33" s="542"/>
      <c r="AK33" s="542"/>
      <c r="AL33" s="50"/>
      <c r="AS33" s="50">
        <v>0</v>
      </c>
    </row>
    <row r="34" s="185" customFormat="1" ht="18.75" hidden="1" customHeight="1">
      <c r="A34" s="152"/>
      <c r="B34" s="152"/>
      <c r="C34" s="152"/>
      <c r="D34" s="152"/>
      <c r="E34" s="152"/>
      <c r="F34" s="152"/>
      <c r="G34" s="152"/>
      <c r="H34" s="152"/>
      <c r="I34" s="152"/>
      <c r="J34" s="152"/>
      <c r="K34" s="152"/>
      <c r="L34" s="482"/>
      <c r="M34" s="152"/>
      <c r="N34" s="152"/>
      <c r="O34" s="152"/>
      <c r="S34" s="543" t="s">
        <v>419</v>
      </c>
      <c r="T34" s="543"/>
      <c r="U34" s="544"/>
      <c r="V34" s="547" t="str">
        <f>IF(TITLE_DATE_PR_CHANGE="",IF(TITLE_DATE_PR="","",TITLE_DATE_PR),TITLE_DATE_PR_CHANGE)</f>
        <v/>
      </c>
      <c r="W34" s="547"/>
      <c r="X34" s="547"/>
      <c r="Y34" s="547"/>
      <c r="Z34" s="547"/>
      <c r="AA34" s="547"/>
      <c r="AB34" s="547"/>
      <c r="AC34" s="50"/>
      <c r="AD34" s="547" t="str">
        <f>IF(TITLE_DATE_PR_CHANGE="",IF(TITLE_DATE_PR="","",TITLE_DATE_PR),TITLE_DATE_PR_CHANGE)</f>
        <v/>
      </c>
      <c r="AE34" s="547"/>
      <c r="AF34" s="547"/>
      <c r="AG34" s="547"/>
      <c r="AH34" s="547"/>
      <c r="AI34" s="547"/>
      <c r="AJ34" s="547"/>
      <c r="AK34" s="50"/>
      <c r="AL34" s="50"/>
      <c r="AM34" s="546"/>
      <c r="AN34" s="130"/>
      <c r="AO34" s="130"/>
      <c r="AP34" s="130"/>
      <c r="AQ34" s="130"/>
      <c r="AR34" s="130"/>
      <c r="AS34" s="185">
        <v>0</v>
      </c>
    </row>
    <row r="35" s="185" customFormat="1" ht="18.75" hidden="1" customHeight="1">
      <c r="A35" s="152"/>
      <c r="B35" s="152"/>
      <c r="C35" s="152"/>
      <c r="D35" s="152"/>
      <c r="E35" s="152"/>
      <c r="F35" s="152"/>
      <c r="G35" s="152"/>
      <c r="H35" s="152"/>
      <c r="I35" s="152"/>
      <c r="J35" s="152"/>
      <c r="K35" s="152"/>
      <c r="L35" s="482"/>
      <c r="M35" s="152"/>
      <c r="N35" s="152"/>
      <c r="O35" s="152"/>
      <c r="S35" s="543" t="s">
        <v>420</v>
      </c>
      <c r="T35" s="543"/>
      <c r="U35" s="544"/>
      <c r="V35" s="545" t="str">
        <f>IF(TITLE_NUMBER_PR_CHANGE="",IF(TITLE_NUMBER_PR="","",TITLE_NUMBER_PR),TITLE_NUMBER_PR_CHANGE)</f>
        <v/>
      </c>
      <c r="W35" s="545"/>
      <c r="X35" s="545"/>
      <c r="Y35" s="545"/>
      <c r="Z35" s="545"/>
      <c r="AA35" s="545"/>
      <c r="AB35" s="545"/>
      <c r="AC35" s="50"/>
      <c r="AD35" s="545" t="str">
        <f>IF(TITLE_NUMBER_PR_CHANGE="",IF(TITLE_NUMBER_PR="","",TITLE_NUMBER_PR),TITLE_NUMBER_PR_CHANGE)</f>
        <v/>
      </c>
      <c r="AE35" s="545"/>
      <c r="AF35" s="545"/>
      <c r="AG35" s="545"/>
      <c r="AH35" s="545"/>
      <c r="AI35" s="545"/>
      <c r="AJ35" s="545"/>
      <c r="AK35" s="50"/>
      <c r="AL35" s="50"/>
      <c r="AM35" s="546"/>
      <c r="AN35" s="130"/>
      <c r="AO35" s="130"/>
      <c r="AP35" s="130"/>
      <c r="AQ35" s="130"/>
      <c r="AR35" s="130"/>
      <c r="AS35" s="185">
        <v>0</v>
      </c>
    </row>
    <row r="36" s="185" customFormat="1" ht="0" customHeight="1">
      <c r="A36" s="152"/>
      <c r="B36" s="152"/>
      <c r="C36" s="152"/>
      <c r="D36" s="152"/>
      <c r="E36" s="152"/>
      <c r="F36" s="152"/>
      <c r="G36" s="152"/>
      <c r="H36" s="152"/>
      <c r="I36" s="152"/>
      <c r="J36" s="152"/>
      <c r="K36" s="152"/>
      <c r="L36" s="482"/>
      <c r="M36" s="152"/>
      <c r="N36" s="152"/>
      <c r="O36" s="152"/>
      <c r="S36" s="50"/>
      <c r="T36" s="50"/>
      <c r="U36" s="141"/>
      <c r="V36" s="50"/>
      <c r="W36" s="50"/>
      <c r="X36" s="50"/>
      <c r="Y36" s="50"/>
      <c r="Z36" s="50"/>
      <c r="AA36" s="50"/>
      <c r="AB36" s="50"/>
      <c r="AC36" s="57" t="s">
        <v>421</v>
      </c>
      <c r="AD36" s="50"/>
      <c r="AE36" s="50"/>
      <c r="AF36" s="50"/>
      <c r="AG36" s="50"/>
      <c r="AH36" s="50"/>
      <c r="AI36" s="50"/>
      <c r="AJ36" s="50"/>
      <c r="AK36" s="57" t="s">
        <v>421</v>
      </c>
      <c r="AN36" s="130"/>
      <c r="AO36" s="130"/>
      <c r="AP36" s="130"/>
      <c r="AQ36" s="130"/>
      <c r="AR36" s="130"/>
      <c r="AS36" s="185">
        <v>0</v>
      </c>
    </row>
    <row r="37" ht="14.65" customHeight="1">
      <c r="Q37" s="540"/>
      <c r="R37" s="540"/>
      <c r="S37" s="541"/>
      <c r="T37" s="91"/>
      <c r="U37" s="548"/>
      <c r="V37" s="549"/>
      <c r="W37" s="549"/>
      <c r="X37" s="549"/>
      <c r="Y37" s="549"/>
      <c r="Z37" s="549"/>
      <c r="AA37" s="549"/>
      <c r="AB37" s="549"/>
      <c r="AC37" s="549"/>
      <c r="AD37" s="549"/>
      <c r="AE37" s="549"/>
      <c r="AF37" s="549"/>
      <c r="AG37" s="549"/>
      <c r="AH37" s="549"/>
      <c r="AI37" s="549"/>
      <c r="AJ37" s="549"/>
      <c r="AK37" s="549"/>
      <c r="AS37" s="50">
        <v>14</v>
      </c>
    </row>
    <row r="38" ht="14.65" customHeight="1">
      <c r="Q38" s="540"/>
      <c r="R38" s="540"/>
      <c r="S38" s="158" t="s">
        <v>294</v>
      </c>
      <c r="T38" s="158"/>
      <c r="U38" s="158"/>
      <c r="V38" s="158"/>
      <c r="W38" s="158"/>
      <c r="X38" s="158"/>
      <c r="Y38" s="158"/>
      <c r="Z38" s="158"/>
      <c r="AA38" s="158"/>
      <c r="AB38" s="158"/>
      <c r="AC38" s="158"/>
      <c r="AD38" s="158"/>
      <c r="AE38" s="158"/>
      <c r="AF38" s="158"/>
      <c r="AG38" s="158"/>
      <c r="AH38" s="158"/>
      <c r="AI38" s="158"/>
      <c r="AJ38" s="158"/>
      <c r="AK38" s="158"/>
      <c r="AL38" s="158"/>
      <c r="AM38" s="158" t="s">
        <v>295</v>
      </c>
      <c r="AS38" s="50">
        <v>14</v>
      </c>
    </row>
    <row r="39" ht="14.65" customHeight="1">
      <c r="Q39" s="540"/>
      <c r="R39" s="540"/>
      <c r="S39" s="485" t="s">
        <v>87</v>
      </c>
      <c r="T39" s="348" t="s">
        <v>422</v>
      </c>
      <c r="U39" s="550"/>
      <c r="V39" s="551" t="s">
        <v>423</v>
      </c>
      <c r="W39" s="552"/>
      <c r="X39" s="552"/>
      <c r="Y39" s="552"/>
      <c r="Z39" s="552"/>
      <c r="AA39" s="552"/>
      <c r="AB39" s="553"/>
      <c r="AC39" s="554" t="s">
        <v>424</v>
      </c>
      <c r="AD39" s="551" t="s">
        <v>423</v>
      </c>
      <c r="AE39" s="552"/>
      <c r="AF39" s="552"/>
      <c r="AG39" s="552"/>
      <c r="AH39" s="552"/>
      <c r="AI39" s="552"/>
      <c r="AJ39" s="553"/>
      <c r="AK39" s="554" t="s">
        <v>425</v>
      </c>
      <c r="AL39" s="555" t="s">
        <v>426</v>
      </c>
      <c r="AM39" s="158"/>
      <c r="AS39" s="50">
        <v>14</v>
      </c>
    </row>
    <row r="40" ht="35.649999999999999" customHeight="1">
      <c r="Q40" s="540"/>
      <c r="R40" s="540"/>
      <c r="S40" s="485"/>
      <c r="T40" s="348"/>
      <c r="U40" s="556"/>
      <c r="V40" s="308" t="s">
        <v>427</v>
      </c>
      <c r="W40" s="557" t="s">
        <v>428</v>
      </c>
      <c r="X40" s="73" t="s">
        <v>429</v>
      </c>
      <c r="Y40" s="72"/>
      <c r="Z40" s="73" t="s">
        <v>430</v>
      </c>
      <c r="AA40" s="146"/>
      <c r="AB40" s="72"/>
      <c r="AC40" s="558"/>
      <c r="AD40" s="308" t="s">
        <v>427</v>
      </c>
      <c r="AE40" s="557" t="s">
        <v>428</v>
      </c>
      <c r="AF40" s="73" t="s">
        <v>429</v>
      </c>
      <c r="AG40" s="72"/>
      <c r="AH40" s="73" t="s">
        <v>430</v>
      </c>
      <c r="AI40" s="146"/>
      <c r="AJ40" s="72"/>
      <c r="AK40" s="558"/>
      <c r="AL40" s="559"/>
      <c r="AM40" s="158"/>
      <c r="AS40" s="50">
        <v>34</v>
      </c>
    </row>
    <row r="41" ht="35.649999999999999" customHeight="1">
      <c r="A41" s="152"/>
      <c r="B41" s="152" t="s">
        <v>131</v>
      </c>
      <c r="C41" s="152" t="s">
        <v>132</v>
      </c>
      <c r="D41" s="152" t="s">
        <v>133</v>
      </c>
      <c r="E41" s="482" t="s">
        <v>431</v>
      </c>
      <c r="F41" s="482" t="s">
        <v>432</v>
      </c>
      <c r="G41" s="482" t="s">
        <v>433</v>
      </c>
      <c r="H41" s="482" t="s">
        <v>434</v>
      </c>
      <c r="I41" s="482" t="s">
        <v>435</v>
      </c>
      <c r="J41" s="482" t="s">
        <v>436</v>
      </c>
      <c r="K41" s="482" t="s">
        <v>437</v>
      </c>
      <c r="L41" s="482" t="s">
        <v>412</v>
      </c>
      <c r="Q41" s="540"/>
      <c r="R41" s="540"/>
      <c r="S41" s="485"/>
      <c r="T41" s="348"/>
      <c r="U41" s="560"/>
      <c r="V41" s="163"/>
      <c r="W41" s="561"/>
      <c r="X41" s="247" t="s">
        <v>438</v>
      </c>
      <c r="Y41" s="247" t="s">
        <v>439</v>
      </c>
      <c r="Z41" s="247" t="s">
        <v>440</v>
      </c>
      <c r="AA41" s="416" t="s">
        <v>441</v>
      </c>
      <c r="AB41" s="418"/>
      <c r="AC41" s="562"/>
      <c r="AD41" s="163"/>
      <c r="AE41" s="561"/>
      <c r="AF41" s="247" t="s">
        <v>438</v>
      </c>
      <c r="AG41" s="247" t="s">
        <v>439</v>
      </c>
      <c r="AH41" s="247" t="s">
        <v>440</v>
      </c>
      <c r="AI41" s="416" t="s">
        <v>441</v>
      </c>
      <c r="AJ41" s="418"/>
      <c r="AK41" s="562"/>
      <c r="AL41" s="563"/>
      <c r="AM41" s="158"/>
      <c r="AS41" s="50">
        <v>34</v>
      </c>
    </row>
    <row r="42" s="132" customFormat="1" ht="11.25" hidden="1" customHeight="1">
      <c r="A42" s="152"/>
      <c r="B42" s="152"/>
      <c r="C42" s="152"/>
      <c r="D42" s="152"/>
      <c r="E42" s="152"/>
      <c r="F42" s="152"/>
      <c r="G42" s="152"/>
      <c r="H42" s="152"/>
      <c r="I42" s="152"/>
      <c r="J42" s="152"/>
      <c r="K42" s="152"/>
      <c r="L42" s="482"/>
      <c r="M42" s="61"/>
      <c r="N42" s="61"/>
      <c r="O42" s="61"/>
      <c r="P42" s="564"/>
      <c r="Q42" s="565"/>
      <c r="R42" s="566">
        <v>1</v>
      </c>
      <c r="S42" s="567" t="s">
        <v>105</v>
      </c>
      <c r="T42" s="568" t="s">
        <v>106</v>
      </c>
      <c r="U42" s="569" t="str">
        <f ca="1">OFFSET(U42,0,-1)</f>
        <v>2</v>
      </c>
      <c r="V42" s="570">
        <f ca="1">OFFSET(V42,0,-1)+1</f>
        <v>3</v>
      </c>
      <c r="W42" s="570"/>
      <c r="X42" s="570">
        <f ca="1">OFFSET(X42,0,-1)+1</f>
        <v>1</v>
      </c>
      <c r="Y42" s="570">
        <f ca="1">OFFSET(Y42,0,-1)+1</f>
        <v>2</v>
      </c>
      <c r="Z42" s="570">
        <f ca="1">OFFSET(Z42,0,-1)+1</f>
        <v>3</v>
      </c>
      <c r="AA42" s="570">
        <f ca="1">OFFSET(AA42,0,-1)+1</f>
        <v>4</v>
      </c>
      <c r="AB42" s="570"/>
      <c r="AC42" s="570">
        <f ca="1">OFFSET(AC42,0,-2)+1</f>
        <v>5</v>
      </c>
      <c r="AD42" s="570">
        <f ca="1">OFFSET(AD42,0,-1)+1</f>
        <v>6</v>
      </c>
      <c r="AE42" s="570"/>
      <c r="AF42" s="570">
        <f ca="1">OFFSET(AF42,0,-1)+1</f>
        <v>1</v>
      </c>
      <c r="AG42" s="570">
        <f ca="1">OFFSET(AG42,0,-1)+1</f>
        <v>2</v>
      </c>
      <c r="AH42" s="570">
        <f ca="1">OFFSET(AH42,0,-1)+1</f>
        <v>3</v>
      </c>
      <c r="AI42" s="570">
        <f ca="1">OFFSET(AI42,0,-1)+1</f>
        <v>4</v>
      </c>
      <c r="AJ42" s="570"/>
      <c r="AK42" s="570">
        <f ca="1">OFFSET(AK42,0,-2)+1</f>
        <v>5</v>
      </c>
      <c r="AL42" s="569">
        <f ca="1">OFFSET(AL42,0,-1)</f>
        <v>5</v>
      </c>
      <c r="AM42" s="570">
        <f ca="1">OFFSET(AM42,0,-1)+1</f>
        <v>6</v>
      </c>
      <c r="AN42" s="57"/>
      <c r="AO42" s="57"/>
      <c r="AP42" s="57"/>
      <c r="AQ42" s="57"/>
      <c r="AR42" s="57"/>
      <c r="AS42" s="132">
        <v>0</v>
      </c>
    </row>
    <row r="43" ht="24" customHeight="1">
      <c r="A43" s="480" t="s">
        <v>152</v>
      </c>
      <c r="B43" s="480"/>
      <c r="C43" s="480"/>
      <c r="D43" s="480"/>
      <c r="E43" s="481">
        <v>1</v>
      </c>
      <c r="F43" s="480"/>
      <c r="G43" s="480"/>
      <c r="H43" s="480"/>
      <c r="I43" s="480"/>
      <c r="J43" s="480"/>
      <c r="K43" s="480"/>
      <c r="L43" s="482"/>
      <c r="M43" s="483"/>
      <c r="N43" s="483"/>
      <c r="O43" s="483"/>
      <c r="P43" s="60"/>
      <c r="Q43" s="144"/>
      <c r="R43" s="484"/>
      <c r="S43" s="485">
        <f>INDEX(PT_DIFFERENTIATION_NUM_NTAR,MATCH(A43,PT_DIFFERENTIATION_NTAR_ID,0))</f>
        <v>0</v>
      </c>
      <c r="T43" s="486" t="s">
        <v>119</v>
      </c>
      <c r="U43" s="487"/>
      <c r="V43" s="488"/>
      <c r="W43" s="489"/>
      <c r="X43" s="489"/>
      <c r="Y43" s="489"/>
      <c r="Z43" s="489"/>
      <c r="AA43" s="489"/>
      <c r="AB43" s="489"/>
      <c r="AC43" s="490"/>
      <c r="AD43" s="488" t="str">
        <f>INDEX(PT_DIFFERENTIATION_NTAR,MATCH(A43,PT_DIFFERENTIATION_NTAR_ID,0))</f>
        <v/>
      </c>
      <c r="AE43" s="489"/>
      <c r="AF43" s="489"/>
      <c r="AG43" s="489"/>
      <c r="AH43" s="489"/>
      <c r="AI43" s="489"/>
      <c r="AJ43" s="489"/>
      <c r="AK43" s="489"/>
      <c r="AL43" s="490"/>
      <c r="AM43" s="49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30"/>
      <c r="AP43" s="130" t="str">
        <f t="shared" si="3"/>
        <v xml:space="preserve">Наименование тарифа</v>
      </c>
      <c r="AQ43" s="130"/>
      <c r="AR43" s="130"/>
      <c r="AS43" s="50">
        <v>23</v>
      </c>
    </row>
    <row r="44" ht="24" customHeight="1">
      <c r="A44" s="480" t="s">
        <v>152</v>
      </c>
      <c r="B44" s="480" t="s">
        <v>153</v>
      </c>
      <c r="C44" s="480"/>
      <c r="D44" s="480"/>
      <c r="E44" s="492"/>
      <c r="F44" s="481">
        <v>1</v>
      </c>
      <c r="G44" s="480"/>
      <c r="H44" s="480"/>
      <c r="I44" s="480"/>
      <c r="J44" s="480"/>
      <c r="K44" s="480"/>
      <c r="L44" s="482"/>
      <c r="M44" s="483"/>
      <c r="N44" s="483"/>
      <c r="O44" s="483"/>
      <c r="P44" s="51"/>
      <c r="Q44" s="493"/>
      <c r="R44" s="494"/>
      <c r="S44" s="485" t="str">
        <f>INDEX(PT_DIFFERENTIATION_NUM_TER,MATCH(B44,PT_DIFFERENTIATION_TER_ID,0))</f>
        <v>.</v>
      </c>
      <c r="T44" s="495" t="s">
        <v>391</v>
      </c>
      <c r="U44" s="487"/>
      <c r="V44" s="488"/>
      <c r="W44" s="489"/>
      <c r="X44" s="489"/>
      <c r="Y44" s="489"/>
      <c r="Z44" s="489"/>
      <c r="AA44" s="489"/>
      <c r="AB44" s="489"/>
      <c r="AC44" s="490"/>
      <c r="AD44" s="488" t="str">
        <f>INDEX(PT_DIFFERENTIATION_TER,MATCH(B44,PT_DIFFERENTIATION_TER_ID,0))</f>
        <v/>
      </c>
      <c r="AE44" s="489"/>
      <c r="AF44" s="489"/>
      <c r="AG44" s="489"/>
      <c r="AH44" s="489"/>
      <c r="AI44" s="489"/>
      <c r="AJ44" s="489"/>
      <c r="AK44" s="489"/>
      <c r="AL44" s="490"/>
      <c r="AM44" s="491" t="s">
        <v>392</v>
      </c>
      <c r="AO44" s="130"/>
      <c r="AP44" s="130" t="str">
        <f t="shared" si="3"/>
        <v xml:space="preserve">Территория действия тарифа</v>
      </c>
      <c r="AQ44" s="130"/>
      <c r="AR44" s="130"/>
      <c r="AS44" s="50">
        <v>23</v>
      </c>
    </row>
    <row r="45" ht="24" customHeight="1">
      <c r="A45" s="480" t="s">
        <v>152</v>
      </c>
      <c r="B45" s="480" t="s">
        <v>153</v>
      </c>
      <c r="C45" s="480" t="s">
        <v>154</v>
      </c>
      <c r="D45" s="480"/>
      <c r="E45" s="492"/>
      <c r="F45" s="492"/>
      <c r="G45" s="481">
        <v>1</v>
      </c>
      <c r="H45" s="480"/>
      <c r="I45" s="480"/>
      <c r="J45" s="480"/>
      <c r="K45" s="480"/>
      <c r="L45" s="482"/>
      <c r="M45" s="483"/>
      <c r="N45" s="483"/>
      <c r="O45" s="483"/>
      <c r="P45" s="496"/>
      <c r="Q45" s="493"/>
      <c r="R45" s="494"/>
      <c r="S45" s="485" t="str">
        <f>INDEX(PT_DIFFERENTIATION_NUM_CS,MATCH(C45,PT_DIFFERENTIATION_CS_ID,0))</f>
        <v>..</v>
      </c>
      <c r="T45" s="497" t="s">
        <v>393</v>
      </c>
      <c r="U45" s="487"/>
      <c r="V45" s="488"/>
      <c r="W45" s="489"/>
      <c r="X45" s="489"/>
      <c r="Y45" s="489"/>
      <c r="Z45" s="489"/>
      <c r="AA45" s="489"/>
      <c r="AB45" s="489"/>
      <c r="AC45" s="490"/>
      <c r="AD45" s="488" t="str">
        <f>INDEX(PT_DIFFERENTIATION_CS,MATCH(C45,PT_DIFFERENTIATION_CS_ID,0))</f>
        <v/>
      </c>
      <c r="AE45" s="489"/>
      <c r="AF45" s="489"/>
      <c r="AG45" s="489"/>
      <c r="AH45" s="489"/>
      <c r="AI45" s="489"/>
      <c r="AJ45" s="489"/>
      <c r="AK45" s="489"/>
      <c r="AL45" s="490"/>
      <c r="AM45" s="491" t="s">
        <v>394</v>
      </c>
      <c r="AO45" s="130"/>
      <c r="AP45" s="130" t="str">
        <f t="shared" si="3"/>
        <v xml:space="preserve">Наименование системы теплоснабжения </v>
      </c>
      <c r="AQ45" s="130"/>
      <c r="AR45" s="130"/>
      <c r="AS45" s="50">
        <v>23</v>
      </c>
    </row>
    <row r="46" ht="24" customHeight="1">
      <c r="A46" s="480" t="s">
        <v>152</v>
      </c>
      <c r="B46" s="480" t="s">
        <v>153</v>
      </c>
      <c r="C46" s="480" t="s">
        <v>154</v>
      </c>
      <c r="D46" s="480" t="s">
        <v>155</v>
      </c>
      <c r="E46" s="492"/>
      <c r="F46" s="492"/>
      <c r="G46" s="492"/>
      <c r="H46" s="481">
        <v>1</v>
      </c>
      <c r="I46" s="480"/>
      <c r="J46" s="480"/>
      <c r="K46" s="480"/>
      <c r="L46" s="482"/>
      <c r="M46" s="483"/>
      <c r="N46" s="483"/>
      <c r="O46" s="483"/>
      <c r="P46" s="496"/>
      <c r="Q46" s="493"/>
      <c r="R46" s="494"/>
      <c r="S46" s="485" t="str">
        <f>INDEX(PT_DIFFERENTIATION_NUM_IST_TE,MATCH(D46,PT_DIFFERENTIATION_IST_TE_ID,0))</f>
        <v>...</v>
      </c>
      <c r="T46" s="498" t="s">
        <v>395</v>
      </c>
      <c r="U46" s="487"/>
      <c r="V46" s="488"/>
      <c r="W46" s="489"/>
      <c r="X46" s="489"/>
      <c r="Y46" s="489"/>
      <c r="Z46" s="489"/>
      <c r="AA46" s="489"/>
      <c r="AB46" s="489"/>
      <c r="AC46" s="490"/>
      <c r="AD46" s="488" t="str">
        <f>INDEX(PT_DIFFERENTIATION_IST_TE,MATCH(D46,PT_DIFFERENTIATION_IST_TE_ID,0))</f>
        <v/>
      </c>
      <c r="AE46" s="489"/>
      <c r="AF46" s="489"/>
      <c r="AG46" s="489"/>
      <c r="AH46" s="489"/>
      <c r="AI46" s="489"/>
      <c r="AJ46" s="489"/>
      <c r="AK46" s="489"/>
      <c r="AL46" s="490"/>
      <c r="AM46" s="491" t="s">
        <v>396</v>
      </c>
      <c r="AO46" s="130"/>
      <c r="AP46" s="130" t="str">
        <f t="shared" si="3"/>
        <v xml:space="preserve">Источник тепловой энергии  </v>
      </c>
      <c r="AQ46" s="130"/>
      <c r="AR46" s="130"/>
      <c r="AS46" s="50">
        <v>23</v>
      </c>
    </row>
    <row r="47" ht="49.5" customHeight="1">
      <c r="A47" s="480" t="s">
        <v>152</v>
      </c>
      <c r="B47" s="480" t="s">
        <v>153</v>
      </c>
      <c r="C47" s="480" t="s">
        <v>154</v>
      </c>
      <c r="D47" s="480" t="s">
        <v>155</v>
      </c>
      <c r="E47" s="492"/>
      <c r="F47" s="492"/>
      <c r="G47" s="492"/>
      <c r="H47" s="492"/>
      <c r="I47" s="499" t="str">
        <f>S46&amp;".1"</f>
        <v>....1</v>
      </c>
      <c r="J47" s="480"/>
      <c r="K47" s="480"/>
      <c r="L47" s="482" t="s">
        <v>397</v>
      </c>
      <c r="P47" s="133">
        <v>1</v>
      </c>
      <c r="Q47" s="133"/>
      <c r="R47" s="500"/>
      <c r="S47" s="485" t="str">
        <f>$I47</f>
        <v>....1</v>
      </c>
      <c r="T47" s="501" t="s">
        <v>398</v>
      </c>
      <c r="U47" s="487"/>
      <c r="V47" s="432"/>
      <c r="W47" s="502"/>
      <c r="X47" s="502"/>
      <c r="Y47" s="502"/>
      <c r="Z47" s="502"/>
      <c r="AA47" s="502"/>
      <c r="AB47" s="502"/>
      <c r="AC47" s="503"/>
      <c r="AD47" s="432"/>
      <c r="AE47" s="502"/>
      <c r="AF47" s="502"/>
      <c r="AG47" s="502"/>
      <c r="AH47" s="502"/>
      <c r="AI47" s="502"/>
      <c r="AJ47" s="502"/>
      <c r="AK47" s="502"/>
      <c r="AL47" s="503"/>
      <c r="AM47" s="491" t="s">
        <v>399</v>
      </c>
      <c r="AO47" s="130"/>
      <c r="AP47" s="130" t="str">
        <f t="shared" si="3"/>
        <v xml:space="preserve">Схема подключения теплопотребляющей установки к коллектору источника тепловой энергии</v>
      </c>
      <c r="AQ47" s="130"/>
      <c r="AR47" s="130"/>
      <c r="AS47" s="50">
        <v>47</v>
      </c>
    </row>
    <row r="48" ht="24" customHeight="1">
      <c r="A48" s="480" t="s">
        <v>152</v>
      </c>
      <c r="B48" s="480" t="s">
        <v>153</v>
      </c>
      <c r="C48" s="480" t="s">
        <v>154</v>
      </c>
      <c r="D48" s="480" t="s">
        <v>155</v>
      </c>
      <c r="E48" s="492"/>
      <c r="F48" s="492"/>
      <c r="G48" s="492"/>
      <c r="H48" s="492"/>
      <c r="I48" s="504"/>
      <c r="J48" s="499" t="str">
        <f>I47&amp;".1"</f>
        <v>....1.1</v>
      </c>
      <c r="K48" s="480"/>
      <c r="L48" s="482" t="s">
        <v>400</v>
      </c>
      <c r="P48" s="133"/>
      <c r="Q48" s="133">
        <v>1</v>
      </c>
      <c r="R48" s="505"/>
      <c r="S48" s="485" t="str">
        <f>$J48</f>
        <v>....1.1</v>
      </c>
      <c r="T48" s="506" t="s">
        <v>401</v>
      </c>
      <c r="U48" s="487"/>
      <c r="V48" s="432"/>
      <c r="W48" s="502"/>
      <c r="X48" s="502"/>
      <c r="Y48" s="502"/>
      <c r="Z48" s="502"/>
      <c r="AA48" s="502"/>
      <c r="AB48" s="502"/>
      <c r="AC48" s="503"/>
      <c r="AD48" s="432"/>
      <c r="AE48" s="502"/>
      <c r="AF48" s="502"/>
      <c r="AG48" s="502"/>
      <c r="AH48" s="502"/>
      <c r="AI48" s="502"/>
      <c r="AJ48" s="502"/>
      <c r="AK48" s="502"/>
      <c r="AL48" s="503"/>
      <c r="AM48" s="491" t="s">
        <v>402</v>
      </c>
      <c r="AO48" s="130"/>
      <c r="AP48" s="130" t="str">
        <f t="shared" si="3"/>
        <v xml:space="preserve">Группа потребителей</v>
      </c>
      <c r="AQ48" s="130"/>
      <c r="AR48" s="130"/>
      <c r="AS48" s="50">
        <v>23</v>
      </c>
    </row>
    <row r="49" ht="24" customHeight="1">
      <c r="A49" s="480" t="s">
        <v>152</v>
      </c>
      <c r="B49" s="480" t="s">
        <v>153</v>
      </c>
      <c r="C49" s="480" t="s">
        <v>154</v>
      </c>
      <c r="D49" s="480" t="s">
        <v>155</v>
      </c>
      <c r="E49" s="492"/>
      <c r="F49" s="492"/>
      <c r="G49" s="492"/>
      <c r="H49" s="492"/>
      <c r="I49" s="504"/>
      <c r="J49" s="504"/>
      <c r="K49" s="499" t="str">
        <f>J48&amp;".1"</f>
        <v>....1.1.1</v>
      </c>
      <c r="L49" s="482" t="s">
        <v>403</v>
      </c>
      <c r="P49" s="133"/>
      <c r="Q49" s="133"/>
      <c r="R49" s="505">
        <v>1</v>
      </c>
      <c r="S49" s="485" t="str">
        <f>$K49</f>
        <v>....1.1.1</v>
      </c>
      <c r="T49" s="507"/>
      <c r="U49" s="487"/>
      <c r="V49" s="508"/>
      <c r="W49" s="509"/>
      <c r="X49" s="508"/>
      <c r="Y49" s="510"/>
      <c r="Z49" s="511"/>
      <c r="AA49" s="225" t="s">
        <v>64</v>
      </c>
      <c r="AB49" s="511"/>
      <c r="AC49" s="225" t="s">
        <v>64</v>
      </c>
      <c r="AD49" s="508"/>
      <c r="AE49" s="509"/>
      <c r="AF49" s="508"/>
      <c r="AG49" s="510"/>
      <c r="AH49" s="511"/>
      <c r="AI49" s="225" t="s">
        <v>64</v>
      </c>
      <c r="AJ49" s="571"/>
      <c r="AK49" s="225" t="s">
        <v>64</v>
      </c>
      <c r="AL49" s="572"/>
      <c r="AM49" s="512" t="s">
        <v>404</v>
      </c>
      <c r="AN49" s="57" t="e">
        <f>STRCHECKDATE(V50:AL50)</f>
        <v>#NAME?</v>
      </c>
      <c r="AO49" s="130"/>
      <c r="AP49" s="130" t="str">
        <f t="shared" si="3"/>
        <v/>
      </c>
      <c r="AQ49" s="130"/>
      <c r="AR49" s="130"/>
      <c r="AS49" s="50">
        <v>23</v>
      </c>
    </row>
    <row r="50" ht="1.05" customHeight="1">
      <c r="A50" s="480" t="s">
        <v>152</v>
      </c>
      <c r="B50" s="480" t="s">
        <v>153</v>
      </c>
      <c r="C50" s="480" t="s">
        <v>154</v>
      </c>
      <c r="D50" s="480" t="s">
        <v>155</v>
      </c>
      <c r="E50" s="492"/>
      <c r="F50" s="492"/>
      <c r="G50" s="492"/>
      <c r="H50" s="492"/>
      <c r="I50" s="504"/>
      <c r="J50" s="504"/>
      <c r="K50" s="499"/>
      <c r="L50" s="482"/>
      <c r="P50" s="133"/>
      <c r="Q50" s="133"/>
      <c r="R50" s="505"/>
      <c r="S50" s="459"/>
      <c r="T50" s="487"/>
      <c r="U50" s="487"/>
      <c r="V50" s="509"/>
      <c r="W50" s="509"/>
      <c r="X50" s="509"/>
      <c r="Y50" s="513" t="str">
        <f>Z49&amp;"-"&amp;AB49</f>
        <v>-</v>
      </c>
      <c r="Z50" s="514"/>
      <c r="AA50" s="225"/>
      <c r="AB50" s="514"/>
      <c r="AC50" s="225"/>
      <c r="AD50" s="509"/>
      <c r="AE50" s="509"/>
      <c r="AF50" s="509"/>
      <c r="AG50" s="513" t="str">
        <f>AH49&amp;"-"&amp;AJ49</f>
        <v>-</v>
      </c>
      <c r="AH50" s="514"/>
      <c r="AI50" s="225"/>
      <c r="AJ50" s="573"/>
      <c r="AK50" s="225"/>
      <c r="AL50" s="574"/>
      <c r="AM50" s="515"/>
      <c r="AO50" s="130"/>
      <c r="AP50" s="130" t="str">
        <f t="shared" si="3"/>
        <v/>
      </c>
      <c r="AQ50" s="130"/>
      <c r="AR50" s="130"/>
      <c r="AS50" s="50">
        <v>1</v>
      </c>
    </row>
    <row r="51" ht="11.5" customHeight="1">
      <c r="A51" s="480" t="s">
        <v>152</v>
      </c>
      <c r="B51" s="480" t="s">
        <v>153</v>
      </c>
      <c r="C51" s="480" t="s">
        <v>154</v>
      </c>
      <c r="D51" s="480" t="s">
        <v>155</v>
      </c>
      <c r="E51" s="492"/>
      <c r="F51" s="492"/>
      <c r="G51" s="492"/>
      <c r="H51" s="492"/>
      <c r="I51" s="504"/>
      <c r="J51" s="499"/>
      <c r="K51" s="480"/>
      <c r="L51" s="482"/>
      <c r="P51" s="133"/>
      <c r="Q51" s="133"/>
      <c r="R51" s="500"/>
      <c r="S51" s="516"/>
      <c r="T51" s="517" t="s">
        <v>405</v>
      </c>
      <c r="U51" s="215"/>
      <c r="V51" s="215"/>
      <c r="W51" s="215"/>
      <c r="X51" s="215"/>
      <c r="Y51" s="215"/>
      <c r="Z51" s="215"/>
      <c r="AA51" s="215"/>
      <c r="AB51" s="215"/>
      <c r="AC51" s="215"/>
      <c r="AD51" s="215"/>
      <c r="AE51" s="215"/>
      <c r="AF51" s="215"/>
      <c r="AG51" s="215"/>
      <c r="AH51" s="215"/>
      <c r="AI51" s="215"/>
      <c r="AJ51" s="215"/>
      <c r="AK51" s="215"/>
      <c r="AL51" s="518"/>
      <c r="AM51" s="519"/>
      <c r="AO51" s="130"/>
      <c r="AP51" s="130" t="str">
        <f t="shared" si="3"/>
        <v xml:space="preserve">Добавить вид теплоносителя (параметры теплоносителя)</v>
      </c>
      <c r="AQ51" s="130"/>
      <c r="AR51" s="130"/>
      <c r="AS51" s="50">
        <v>11</v>
      </c>
    </row>
    <row r="52" ht="11.5" customHeight="1">
      <c r="A52" s="480" t="s">
        <v>152</v>
      </c>
      <c r="B52" s="480" t="s">
        <v>153</v>
      </c>
      <c r="C52" s="480" t="s">
        <v>154</v>
      </c>
      <c r="D52" s="480" t="s">
        <v>155</v>
      </c>
      <c r="E52" s="492"/>
      <c r="F52" s="492"/>
      <c r="G52" s="492"/>
      <c r="H52" s="492"/>
      <c r="I52" s="499"/>
      <c r="J52" s="480"/>
      <c r="K52" s="480"/>
      <c r="L52" s="482"/>
      <c r="P52" s="133"/>
      <c r="Q52" s="133"/>
      <c r="R52" s="500"/>
      <c r="S52" s="516"/>
      <c r="T52" s="520" t="s">
        <v>406</v>
      </c>
      <c r="U52" s="215"/>
      <c r="V52" s="215"/>
      <c r="W52" s="215"/>
      <c r="X52" s="215"/>
      <c r="Y52" s="215"/>
      <c r="Z52" s="215"/>
      <c r="AA52" s="215"/>
      <c r="AB52" s="215"/>
      <c r="AC52" s="521"/>
      <c r="AD52" s="215"/>
      <c r="AE52" s="215"/>
      <c r="AF52" s="215"/>
      <c r="AG52" s="215"/>
      <c r="AH52" s="215"/>
      <c r="AI52" s="215"/>
      <c r="AJ52" s="215"/>
      <c r="AK52" s="521"/>
      <c r="AL52" s="215"/>
      <c r="AM52" s="522"/>
      <c r="AO52" s="130"/>
      <c r="AP52" s="130" t="str">
        <f t="shared" si="3"/>
        <v xml:space="preserve">Добавить группу потребителей</v>
      </c>
      <c r="AQ52" s="130"/>
      <c r="AR52" s="130"/>
      <c r="AS52" s="50">
        <v>11</v>
      </c>
    </row>
    <row r="53" ht="14.65" customHeight="1">
      <c r="A53" s="480" t="s">
        <v>152</v>
      </c>
      <c r="B53" s="480" t="s">
        <v>153</v>
      </c>
      <c r="C53" s="480" t="s">
        <v>154</v>
      </c>
      <c r="D53" s="480" t="s">
        <v>155</v>
      </c>
      <c r="E53" s="492"/>
      <c r="F53" s="492"/>
      <c r="G53" s="492"/>
      <c r="H53" s="481"/>
      <c r="I53" s="480"/>
      <c r="J53" s="480"/>
      <c r="K53" s="480"/>
      <c r="L53" s="482"/>
      <c r="M53" s="483"/>
      <c r="N53" s="483"/>
      <c r="O53" s="53"/>
      <c r="P53" s="144"/>
      <c r="Q53" s="523"/>
      <c r="R53" s="484"/>
      <c r="S53" s="516"/>
      <c r="T53" s="524" t="s">
        <v>407</v>
      </c>
      <c r="U53" s="215"/>
      <c r="V53" s="215"/>
      <c r="W53" s="215"/>
      <c r="X53" s="215"/>
      <c r="Y53" s="215"/>
      <c r="Z53" s="215"/>
      <c r="AA53" s="215"/>
      <c r="AB53" s="215"/>
      <c r="AC53" s="521"/>
      <c r="AD53" s="215"/>
      <c r="AE53" s="215"/>
      <c r="AF53" s="215"/>
      <c r="AG53" s="215"/>
      <c r="AH53" s="215"/>
      <c r="AI53" s="215"/>
      <c r="AJ53" s="215"/>
      <c r="AK53" s="521"/>
      <c r="AL53" s="215"/>
      <c r="AM53" s="522"/>
      <c r="AO53" s="130"/>
      <c r="AP53" s="130" t="str">
        <f t="shared" si="3"/>
        <v xml:space="preserve">Добавить схему подключения</v>
      </c>
      <c r="AQ53" s="130"/>
      <c r="AR53" s="130"/>
      <c r="AS53" s="50">
        <v>14</v>
      </c>
    </row>
    <row r="54" s="57" customFormat="1" ht="1.05" customHeight="1">
      <c r="A54" s="134" t="s">
        <v>152</v>
      </c>
      <c r="B54" s="134" t="s">
        <v>153</v>
      </c>
      <c r="C54" s="134" t="s">
        <v>154</v>
      </c>
      <c r="D54" s="134"/>
      <c r="E54" s="492"/>
      <c r="F54" s="492"/>
      <c r="G54" s="481"/>
      <c r="H54" s="134"/>
      <c r="I54" s="134"/>
      <c r="J54" s="134"/>
      <c r="K54" s="134"/>
      <c r="L54" s="213"/>
      <c r="M54" s="465"/>
      <c r="N54" s="465"/>
      <c r="P54" s="168"/>
      <c r="Q54" s="525"/>
      <c r="R54" s="168"/>
      <c r="S54" s="530"/>
      <c r="T54" s="533" t="s">
        <v>408</v>
      </c>
      <c r="U54" s="532"/>
      <c r="V54" s="532"/>
      <c r="W54" s="532"/>
      <c r="X54" s="532"/>
      <c r="Y54" s="532"/>
      <c r="Z54" s="532"/>
      <c r="AA54" s="532"/>
      <c r="AB54" s="532"/>
      <c r="AC54" s="532"/>
      <c r="AD54" s="532"/>
      <c r="AE54" s="532"/>
      <c r="AF54" s="532"/>
      <c r="AG54" s="532"/>
      <c r="AH54" s="532"/>
      <c r="AI54" s="532"/>
      <c r="AJ54" s="532"/>
      <c r="AK54" s="532"/>
      <c r="AL54" s="532"/>
      <c r="AM54" s="532"/>
      <c r="AO54" s="130"/>
      <c r="AP54" s="130" t="str">
        <f t="shared" si="3"/>
        <v xml:space="preserve">Добавить источник для дифференциации</v>
      </c>
      <c r="AQ54" s="130"/>
      <c r="AR54" s="130"/>
      <c r="AS54" s="57">
        <v>1</v>
      </c>
    </row>
    <row r="55" s="57" customFormat="1" ht="1.05" customHeight="1">
      <c r="A55" s="134" t="s">
        <v>152</v>
      </c>
      <c r="B55" s="134" t="s">
        <v>153</v>
      </c>
      <c r="C55" s="134"/>
      <c r="D55" s="134"/>
      <c r="E55" s="492"/>
      <c r="F55" s="481"/>
      <c r="G55" s="134"/>
      <c r="H55" s="134"/>
      <c r="I55" s="134"/>
      <c r="J55" s="134"/>
      <c r="K55" s="134"/>
      <c r="L55" s="213"/>
      <c r="M55" s="529"/>
      <c r="N55" s="529"/>
      <c r="P55" s="168"/>
      <c r="Q55" s="525"/>
      <c r="R55" s="168"/>
      <c r="S55" s="530"/>
      <c r="T55" s="533" t="s">
        <v>409</v>
      </c>
      <c r="U55" s="532"/>
      <c r="V55" s="532"/>
      <c r="W55" s="532"/>
      <c r="X55" s="532"/>
      <c r="Y55" s="532"/>
      <c r="Z55" s="532"/>
      <c r="AA55" s="532"/>
      <c r="AB55" s="532"/>
      <c r="AC55" s="532"/>
      <c r="AD55" s="532"/>
      <c r="AE55" s="532"/>
      <c r="AF55" s="532"/>
      <c r="AG55" s="532"/>
      <c r="AH55" s="532"/>
      <c r="AI55" s="532"/>
      <c r="AJ55" s="532"/>
      <c r="AK55" s="532"/>
      <c r="AL55" s="532"/>
      <c r="AM55" s="532"/>
      <c r="AO55" s="130"/>
      <c r="AP55" s="130" t="str">
        <f t="shared" si="3"/>
        <v xml:space="preserve">Добавить централизованную систему для дифференциации</v>
      </c>
      <c r="AQ55" s="130"/>
      <c r="AR55" s="130"/>
      <c r="AS55" s="57">
        <v>1</v>
      </c>
    </row>
    <row r="56" s="57" customFormat="1" ht="1.05" customHeight="1">
      <c r="A56" s="134" t="s">
        <v>152</v>
      </c>
      <c r="B56" s="134"/>
      <c r="C56" s="134"/>
      <c r="D56" s="134"/>
      <c r="E56" s="481"/>
      <c r="F56" s="134"/>
      <c r="G56" s="134"/>
      <c r="H56" s="134"/>
      <c r="I56" s="134"/>
      <c r="J56" s="134"/>
      <c r="K56" s="134"/>
      <c r="L56" s="213"/>
      <c r="M56" s="529"/>
      <c r="N56" s="529"/>
      <c r="O56" s="57"/>
      <c r="P56" s="168"/>
      <c r="Q56" s="525"/>
      <c r="R56" s="168"/>
      <c r="S56" s="530"/>
      <c r="T56" s="533" t="s">
        <v>410</v>
      </c>
      <c r="U56" s="532"/>
      <c r="V56" s="532"/>
      <c r="W56" s="532"/>
      <c r="X56" s="532"/>
      <c r="Y56" s="532"/>
      <c r="Z56" s="532"/>
      <c r="AA56" s="532"/>
      <c r="AB56" s="532"/>
      <c r="AC56" s="532"/>
      <c r="AD56" s="532"/>
      <c r="AE56" s="532"/>
      <c r="AF56" s="532"/>
      <c r="AG56" s="532"/>
      <c r="AH56" s="532"/>
      <c r="AI56" s="532"/>
      <c r="AJ56" s="532"/>
      <c r="AK56" s="532"/>
      <c r="AL56" s="532"/>
      <c r="AM56" s="532"/>
      <c r="AO56" s="130"/>
      <c r="AP56" s="130" t="str">
        <f t="shared" si="3"/>
        <v xml:space="preserve">Добавить территорию для дифференциации</v>
      </c>
      <c r="AQ56" s="130"/>
      <c r="AR56" s="130"/>
      <c r="AS56" s="57">
        <v>1</v>
      </c>
    </row>
    <row r="57" s="57" customFormat="1" ht="1.05" customHeight="1">
      <c r="A57" s="134"/>
      <c r="B57" s="134"/>
      <c r="C57" s="134"/>
      <c r="D57" s="134"/>
      <c r="E57" s="134"/>
      <c r="F57" s="134"/>
      <c r="G57" s="134"/>
      <c r="H57" s="134"/>
      <c r="I57" s="134"/>
      <c r="J57" s="134"/>
      <c r="K57" s="134"/>
      <c r="L57" s="213"/>
      <c r="M57" s="529"/>
      <c r="N57" s="529"/>
      <c r="P57" s="168"/>
      <c r="Q57" s="525"/>
      <c r="R57" s="168"/>
      <c r="S57" s="530"/>
      <c r="T57" s="533" t="s">
        <v>442</v>
      </c>
      <c r="U57" s="532"/>
      <c r="V57" s="532"/>
      <c r="W57" s="532"/>
      <c r="X57" s="532"/>
      <c r="Y57" s="532"/>
      <c r="Z57" s="532"/>
      <c r="AA57" s="532"/>
      <c r="AB57" s="532"/>
      <c r="AC57" s="532"/>
      <c r="AD57" s="532"/>
      <c r="AE57" s="532"/>
      <c r="AF57" s="532"/>
      <c r="AG57" s="532"/>
      <c r="AH57" s="532"/>
      <c r="AI57" s="532"/>
      <c r="AJ57" s="532"/>
      <c r="AK57" s="532"/>
      <c r="AL57" s="532"/>
      <c r="AM57" s="532"/>
      <c r="AO57" s="130"/>
      <c r="AP57" s="130" t="str">
        <f t="shared" si="3"/>
        <v xml:space="preserve">Добавить наименование тарифа</v>
      </c>
      <c r="AQ57" s="130"/>
      <c r="AR57" s="130"/>
      <c r="AS57" s="57">
        <v>1</v>
      </c>
    </row>
    <row r="58" ht="11.5" customHeight="1">
      <c r="M58" s="53"/>
      <c r="N58" s="53"/>
      <c r="O58" s="53"/>
      <c r="P58" s="50"/>
      <c r="Q58" s="50"/>
      <c r="R58" s="50"/>
      <c r="S58" s="50"/>
      <c r="AN58" s="50"/>
      <c r="AO58" s="50"/>
      <c r="AP58" s="50"/>
      <c r="AQ58" s="50"/>
      <c r="AR58" s="50"/>
      <c r="AS58" s="50">
        <v>11</v>
      </c>
    </row>
    <row r="59" ht="28.5" customHeight="1">
      <c r="O59" s="53"/>
      <c r="S59" s="477"/>
      <c r="T59" s="575"/>
      <c r="U59" s="575"/>
      <c r="V59" s="575"/>
      <c r="W59" s="575"/>
      <c r="X59" s="575"/>
      <c r="Y59" s="575"/>
      <c r="Z59" s="575"/>
      <c r="AA59" s="575"/>
      <c r="AB59" s="575"/>
      <c r="AC59" s="575"/>
      <c r="AD59" s="575"/>
      <c r="AE59" s="575"/>
      <c r="AF59" s="575"/>
      <c r="AG59" s="575"/>
      <c r="AH59" s="575"/>
      <c r="AI59" s="575"/>
      <c r="AJ59" s="575"/>
      <c r="AK59" s="575"/>
      <c r="AL59" s="575"/>
      <c r="AM59" s="575"/>
      <c r="AS59" s="50">
        <v>27</v>
      </c>
    </row>
    <row r="60" ht="67.200000000000003" customHeight="1">
      <c r="O60" s="53"/>
      <c r="P60" s="60"/>
      <c r="T60" s="575"/>
      <c r="U60" s="575"/>
      <c r="V60" s="575"/>
      <c r="W60" s="575"/>
      <c r="X60" s="575"/>
      <c r="Y60" s="575"/>
      <c r="Z60" s="575"/>
      <c r="AA60" s="575"/>
      <c r="AB60" s="575"/>
      <c r="AC60" s="575"/>
      <c r="AD60" s="575"/>
      <c r="AE60" s="575"/>
      <c r="AF60" s="575"/>
      <c r="AG60" s="575"/>
      <c r="AH60" s="575"/>
      <c r="AI60" s="575"/>
      <c r="AJ60" s="575"/>
      <c r="AK60" s="575"/>
      <c r="AL60" s="575"/>
      <c r="AM60" s="575"/>
      <c r="AS60" s="50">
        <v>64</v>
      </c>
    </row>
    <row r="61" ht="14.65" customHeight="1">
      <c r="O61" s="53"/>
      <c r="AS61" s="50">
        <v>14</v>
      </c>
    </row>
    <row r="62" ht="18.75" customHeight="1">
      <c r="O62" s="53"/>
      <c r="P62" s="60"/>
      <c r="S62" s="477"/>
      <c r="T62" s="575"/>
      <c r="U62" s="575"/>
      <c r="V62" s="575"/>
      <c r="W62" s="575"/>
      <c r="X62" s="575"/>
      <c r="Y62" s="575"/>
      <c r="Z62" s="575"/>
      <c r="AA62" s="575"/>
      <c r="AB62" s="575"/>
      <c r="AC62" s="575"/>
      <c r="AD62" s="575"/>
      <c r="AE62" s="575"/>
      <c r="AF62" s="575"/>
      <c r="AG62" s="575"/>
      <c r="AH62" s="575"/>
      <c r="AI62" s="575"/>
      <c r="AJ62" s="575"/>
      <c r="AK62" s="575"/>
      <c r="AL62" s="575"/>
      <c r="AM62" s="575"/>
      <c r="AS62" s="50">
        <v>18</v>
      </c>
    </row>
    <row r="63" ht="18.75" customHeight="1">
      <c r="O63" s="53"/>
      <c r="P63" s="60"/>
      <c r="T63" s="575"/>
      <c r="U63" s="575"/>
      <c r="V63" s="575"/>
      <c r="W63" s="575"/>
      <c r="X63" s="575"/>
      <c r="Y63" s="575"/>
      <c r="Z63" s="575"/>
      <c r="AA63" s="575"/>
      <c r="AB63" s="575"/>
      <c r="AC63" s="575"/>
      <c r="AD63" s="575"/>
      <c r="AE63" s="575"/>
      <c r="AF63" s="575"/>
      <c r="AG63" s="575"/>
      <c r="AH63" s="575"/>
      <c r="AI63" s="575"/>
      <c r="AJ63" s="575"/>
      <c r="AK63" s="575"/>
      <c r="AL63" s="575"/>
      <c r="AM63" s="575"/>
      <c r="AS63" s="50">
        <v>18</v>
      </c>
    </row>
    <row r="64" ht="29.25" customHeight="1">
      <c r="O64" s="53"/>
      <c r="P64" s="60"/>
      <c r="S64" s="477"/>
      <c r="T64" s="575"/>
      <c r="U64" s="575"/>
      <c r="V64" s="575"/>
      <c r="W64" s="575"/>
      <c r="X64" s="575"/>
      <c r="Y64" s="575"/>
      <c r="Z64" s="575"/>
      <c r="AA64" s="575"/>
      <c r="AB64" s="575"/>
      <c r="AC64" s="575"/>
      <c r="AD64" s="575"/>
      <c r="AE64" s="575"/>
      <c r="AF64" s="575"/>
      <c r="AG64" s="575"/>
      <c r="AH64" s="575"/>
      <c r="AI64" s="575"/>
      <c r="AJ64" s="575"/>
      <c r="AK64" s="575"/>
      <c r="AL64" s="575"/>
      <c r="AM64" s="575"/>
      <c r="AS64" s="50">
        <v>28</v>
      </c>
    </row>
    <row r="65" ht="22.5" hidden="1" customHeight="1">
      <c r="A65" s="53" t="s">
        <v>81</v>
      </c>
      <c r="B65" s="53">
        <v>0</v>
      </c>
      <c r="C65" s="53">
        <v>0</v>
      </c>
      <c r="D65" s="53">
        <v>0</v>
      </c>
      <c r="E65" s="53">
        <v>0</v>
      </c>
      <c r="F65" s="53">
        <v>0</v>
      </c>
      <c r="G65" s="53">
        <v>0</v>
      </c>
      <c r="H65" s="53">
        <v>0</v>
      </c>
      <c r="I65" s="53">
        <v>0</v>
      </c>
      <c r="J65" s="53">
        <v>0</v>
      </c>
      <c r="K65" s="53">
        <v>0</v>
      </c>
      <c r="L65" s="114">
        <v>0</v>
      </c>
      <c r="M65" s="61">
        <v>0</v>
      </c>
      <c r="N65" s="61">
        <v>0</v>
      </c>
      <c r="O65" s="61">
        <v>0</v>
      </c>
      <c r="P65" s="60">
        <v>3</v>
      </c>
      <c r="Q65" s="479">
        <v>3</v>
      </c>
      <c r="R65" s="479">
        <v>3</v>
      </c>
      <c r="S65" s="86">
        <v>12</v>
      </c>
      <c r="T65" s="50">
        <v>35</v>
      </c>
      <c r="U65" s="50">
        <v>0</v>
      </c>
      <c r="V65" s="50">
        <v>0</v>
      </c>
      <c r="W65" s="50">
        <v>0</v>
      </c>
      <c r="X65" s="50">
        <v>0</v>
      </c>
      <c r="Y65" s="50">
        <v>0</v>
      </c>
      <c r="Z65" s="50">
        <v>0</v>
      </c>
      <c r="AA65" s="50">
        <v>0</v>
      </c>
      <c r="AB65" s="50">
        <v>0</v>
      </c>
      <c r="AC65" s="50">
        <v>0</v>
      </c>
      <c r="AD65" s="50">
        <v>24</v>
      </c>
      <c r="AE65" s="50">
        <v>0</v>
      </c>
      <c r="AF65" s="50">
        <v>24</v>
      </c>
      <c r="AG65" s="50">
        <v>24</v>
      </c>
      <c r="AH65" s="50">
        <v>11</v>
      </c>
      <c r="AI65" s="50">
        <v>3</v>
      </c>
      <c r="AJ65" s="50">
        <v>11</v>
      </c>
      <c r="AK65" s="50">
        <v>0</v>
      </c>
      <c r="AL65" s="50">
        <v>4</v>
      </c>
      <c r="AM65" s="50">
        <v>115</v>
      </c>
      <c r="AN65" s="57">
        <v>10</v>
      </c>
      <c r="AO65" s="57">
        <v>10</v>
      </c>
      <c r="AP65" s="57">
        <v>10</v>
      </c>
      <c r="AQ65" s="57">
        <v>10</v>
      </c>
      <c r="AR65" s="57">
        <v>10</v>
      </c>
      <c r="AS65" s="50">
        <v>23</v>
      </c>
    </row>
  </sheetData>
  <sheetProtection autoFilter="0" deleteColumns="1" deleteRows="1" formatCells="1" formatColumns="0" formatRows="0" insertColumns="1" insertHyperlinks="1" insertRows="1" objects="0" pivotTables="1" scenarios="0" selectLockedCells="0" selectUnlockedCells="0" sheet="1" sort="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K8:K9"/>
    <mergeCell ref="Z8:Z9"/>
    <mergeCell ref="AA8:AA9"/>
    <mergeCell ref="AB8:AB9"/>
    <mergeCell ref="AC8:AC9"/>
    <mergeCell ref="AH8:AH9"/>
    <mergeCell ref="AI8:AI9"/>
    <mergeCell ref="AJ8:AJ9"/>
    <mergeCell ref="AK8:AK9"/>
    <mergeCell ref="AM8:AM10"/>
    <mergeCell ref="AH17:AH18"/>
    <mergeCell ref="AI17:AI18"/>
    <mergeCell ref="AJ17:AJ18"/>
    <mergeCell ref="AK17:AK18"/>
    <mergeCell ref="S26:AJ26"/>
    <mergeCell ref="S27:AJ27"/>
    <mergeCell ref="S29:T29"/>
    <mergeCell ref="V29:AB29"/>
    <mergeCell ref="AD29:AJ29"/>
    <mergeCell ref="S30:T30"/>
    <mergeCell ref="V30:AB30"/>
    <mergeCell ref="AD30:AJ30"/>
    <mergeCell ref="S31:T31"/>
    <mergeCell ref="V31:AB31"/>
    <mergeCell ref="AD31:AJ31"/>
    <mergeCell ref="S32:T32"/>
    <mergeCell ref="V32:AB32"/>
    <mergeCell ref="AD32:AJ32"/>
    <mergeCell ref="S34:T34"/>
    <mergeCell ref="V34:AB34"/>
    <mergeCell ref="AD34:AJ34"/>
    <mergeCell ref="S35:T35"/>
    <mergeCell ref="V35:AB35"/>
    <mergeCell ref="AD35:AJ35"/>
    <mergeCell ref="V37:AC37"/>
    <mergeCell ref="AD37:AK37"/>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AH40:AJ40"/>
    <mergeCell ref="AA41:AB41"/>
    <mergeCell ref="AI41:AJ41"/>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AM49:AM51"/>
    <mergeCell ref="T59:AM59"/>
    <mergeCell ref="T60:AM60"/>
    <mergeCell ref="T62:AM62"/>
    <mergeCell ref="T63:AM63"/>
    <mergeCell ref="T64:AM64"/>
  </mergeCells>
  <dataValidations count="4" disablePrompts="0">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type="none" allowBlank="1" errorStyle="stop" imeMode="noControl" operator="between" promptTitle="checkPeriodRange" showDropDown="0" showErrorMessage="0" showInputMessage="0"/>
    <dataValidation sqref="S131123:AM131129 S196659:AM196665 S262195:AM262201 S327731:AM327737 S393267:AM393273 S458803:AM458809 S524339:AM524345 S589875:AM589881 S655411:AM655417 S720947:AM720953 S786483:AM786489 S852019:AM852025 S917555:AM917561 S983091:AM983097 S65587:AM65593"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DA0004-00C5-41D1-96DB-00ED00E100CB}" type="list" allowBlank="1" error="Выберите значение из списка" errorStyle="stop" errorTitle="Ошибка" imeMode="noControl" operator="between" showDropDown="0" showErrorMessage="1" showInputMessage="1">
          <x14:formula1>
            <xm:f>kind_of_heat_transfer</xm:f>
          </x14:formula1>
          <xm:sqref>T65585 T131121 T196657 T262193 T327729 T393265 T458801 T524337 T589873 T655409 T720945 T786481 T852017 T917553 T983089</xm:sqref>
        </x14:dataValidation>
        <x14:dataValidation xr:uid="{008800E6-0018-4871-8B7B-000B000F004F}" type="textLength" allowBlank="1" error="Допускается ввод не более 900 символов!" errorStyle="stop" errorTitle="Ошибка" imeMode="noControl" operator="lessThanOrEqual" showDropDown="0"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490048-00F0-428A-87DA-00B700FA0056}" type="list" allowBlank="1" error="Выберите значение из списка" errorStyle="stop" errorTitle="Ошибка" imeMode="noControl" operator="between" showDropDown="0"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E4009A-00DF-4119-A554-0010007100A4}"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9" ySplit="42" topLeftCell="AD43"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4" width="19.140625"/>
    <col customWidth="1" hidden="1" min="13" max="14" style="61" width="12.28125"/>
    <col customWidth="1" hidden="1" min="15" max="15" style="61" width="23.421875"/>
    <col customWidth="1" min="16" max="16" style="60" width="3.00390625"/>
    <col customWidth="1" min="17" max="18" style="479" width="3.00390625"/>
    <col customWidth="1" min="19" max="19" style="86" width="12.00390625"/>
    <col customWidth="1" min="20" max="20" style="50" width="31.00390625"/>
    <col customWidth="1" min="21" max="21" style="50" width="0.140625"/>
    <col customWidth="1" hidden="1" min="22" max="22" style="50" width="24.7109375"/>
    <col customWidth="1" hidden="1" min="23" max="23" style="50" width="0.140625"/>
    <col customWidth="1" hidden="1" min="24" max="25" style="50" width="24.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24.7109375"/>
    <col customWidth="1" min="31" max="31" style="50" width="0.140625"/>
    <col customWidth="1" min="32" max="33" style="50" width="24.00390625"/>
    <col customWidth="1" min="34" max="34" style="50" width="11.00390625"/>
    <col customWidth="1" min="35" max="35" style="50" width="3.7109375"/>
    <col customWidth="1" min="36" max="36" style="50" width="11.00390625"/>
    <col customWidth="1" hidden="1" min="37" max="37" style="50" width="8.57421875"/>
    <col customWidth="1" min="38" max="38" style="50" width="4.00390625"/>
    <col customWidth="1" min="39" max="39" style="50" width="115.00390625"/>
    <col customWidth="1" min="40" max="44" style="57" width="10.00390625"/>
    <col hidden="1" min="45" max="45" style="50" width="10.57421875"/>
  </cols>
  <sheetData>
    <row r="1" ht="22.5" hidden="1" customHeight="1">
      <c r="Y1" s="50"/>
      <c r="Z1" s="50"/>
      <c r="AG1" s="50"/>
      <c r="AH1" s="50"/>
      <c r="AS1" s="50" t="s">
        <v>14</v>
      </c>
    </row>
    <row r="2" ht="21" hidden="1" customHeight="1">
      <c r="A2" s="480"/>
      <c r="B2" s="480"/>
      <c r="C2" s="480"/>
      <c r="D2" s="480"/>
      <c r="E2" s="481">
        <v>1</v>
      </c>
      <c r="F2" s="480"/>
      <c r="G2" s="480"/>
      <c r="H2" s="480"/>
      <c r="I2" s="480"/>
      <c r="J2" s="480"/>
      <c r="K2" s="480"/>
      <c r="L2" s="482"/>
      <c r="M2" s="483"/>
      <c r="N2" s="483"/>
      <c r="O2" s="483"/>
      <c r="P2" s="60"/>
      <c r="Q2" s="144"/>
      <c r="R2" s="484"/>
      <c r="S2" s="485" t="e">
        <f>INDEX(PT_DIFFERENTIATION_NUM_NTAR,MATCH(A2,PT_DIFFERENTIATION_NTAR_ID,0))</f>
        <v>#VALUE!</v>
      </c>
      <c r="T2" s="486" t="s">
        <v>119</v>
      </c>
      <c r="U2" s="487"/>
      <c r="V2" s="488"/>
      <c r="W2" s="489"/>
      <c r="X2" s="489"/>
      <c r="Y2" s="489"/>
      <c r="Z2" s="489"/>
      <c r="AA2" s="489"/>
      <c r="AB2" s="489"/>
      <c r="AC2" s="490"/>
      <c r="AD2" s="488" t="e">
        <f>INDEX(PT_DIFFERENTIATION_NTAR,MATCH(A2,PT_DIFFERENTIATION_NTAR_ID,0))</f>
        <v>#VALUE!</v>
      </c>
      <c r="AE2" s="489"/>
      <c r="AF2" s="489"/>
      <c r="AG2" s="489"/>
      <c r="AH2" s="489"/>
      <c r="AI2" s="489"/>
      <c r="AJ2" s="489"/>
      <c r="AK2" s="489"/>
      <c r="AL2" s="490"/>
      <c r="AM2" s="491" t="s">
        <v>390</v>
      </c>
      <c r="AO2" s="130"/>
      <c r="AP2" s="130" t="str">
        <f t="shared" ref="AP2:AP9" si="4">IF(T2="","",T2)</f>
        <v xml:space="preserve">Наименование тарифа</v>
      </c>
      <c r="AQ2" s="130"/>
      <c r="AR2" s="130"/>
      <c r="AS2" s="50">
        <v>0</v>
      </c>
    </row>
    <row r="3" ht="21" hidden="1" customHeight="1">
      <c r="A3" s="480"/>
      <c r="B3" s="480"/>
      <c r="C3" s="480"/>
      <c r="D3" s="480"/>
      <c r="E3" s="492"/>
      <c r="F3" s="481">
        <v>1</v>
      </c>
      <c r="G3" s="480"/>
      <c r="H3" s="480"/>
      <c r="I3" s="480"/>
      <c r="J3" s="480"/>
      <c r="K3" s="480"/>
      <c r="L3" s="482"/>
      <c r="M3" s="483"/>
      <c r="N3" s="483"/>
      <c r="O3" s="483"/>
      <c r="P3" s="51"/>
      <c r="Q3" s="493"/>
      <c r="R3" s="494"/>
      <c r="S3" s="485" t="e">
        <f>INDEX(PT_DIFFERENTIATION_NUM_TER,MATCH(B3,PT_DIFFERENTIATION_TER_ID,0))</f>
        <v>#VALUE!</v>
      </c>
      <c r="T3" s="495" t="s">
        <v>391</v>
      </c>
      <c r="U3" s="487"/>
      <c r="V3" s="488"/>
      <c r="W3" s="489"/>
      <c r="X3" s="489"/>
      <c r="Y3" s="489"/>
      <c r="Z3" s="489"/>
      <c r="AA3" s="489"/>
      <c r="AB3" s="489"/>
      <c r="AC3" s="490"/>
      <c r="AD3" s="488" t="e">
        <f>INDEX(PT_DIFFERENTIATION_TER,MATCH(B3,PT_DIFFERENTIATION_TER_ID,0))</f>
        <v>#VALUE!</v>
      </c>
      <c r="AE3" s="489"/>
      <c r="AF3" s="489"/>
      <c r="AG3" s="489"/>
      <c r="AH3" s="489"/>
      <c r="AI3" s="489"/>
      <c r="AJ3" s="489"/>
      <c r="AK3" s="489"/>
      <c r="AL3" s="490"/>
      <c r="AM3" s="491" t="s">
        <v>392</v>
      </c>
      <c r="AO3" s="130"/>
      <c r="AP3" s="130" t="str">
        <f t="shared" si="4"/>
        <v xml:space="preserve">Территория действия тарифа</v>
      </c>
      <c r="AQ3" s="130"/>
      <c r="AR3" s="130"/>
      <c r="AS3" s="50">
        <v>0</v>
      </c>
    </row>
    <row r="4" ht="23.25" hidden="1" customHeight="1">
      <c r="A4" s="480"/>
      <c r="B4" s="480"/>
      <c r="C4" s="480"/>
      <c r="D4" s="480"/>
      <c r="E4" s="492"/>
      <c r="F4" s="492"/>
      <c r="G4" s="481">
        <v>1</v>
      </c>
      <c r="H4" s="480"/>
      <c r="I4" s="480"/>
      <c r="J4" s="480"/>
      <c r="K4" s="480"/>
      <c r="L4" s="482"/>
      <c r="M4" s="483"/>
      <c r="N4" s="483"/>
      <c r="O4" s="483"/>
      <c r="P4" s="496"/>
      <c r="Q4" s="493"/>
      <c r="R4" s="494"/>
      <c r="S4" s="485" t="e">
        <f>INDEX(PT_DIFFERENTIATION_NUM_CS,MATCH(C4,PT_DIFFERENTIATION_CS_ID,0))</f>
        <v>#VALUE!</v>
      </c>
      <c r="T4" s="497" t="s">
        <v>393</v>
      </c>
      <c r="U4" s="487"/>
      <c r="V4" s="488"/>
      <c r="W4" s="489"/>
      <c r="X4" s="489"/>
      <c r="Y4" s="489"/>
      <c r="Z4" s="489"/>
      <c r="AA4" s="489"/>
      <c r="AB4" s="489"/>
      <c r="AC4" s="490"/>
      <c r="AD4" s="488" t="e">
        <f>INDEX(PT_DIFFERENTIATION_CS,MATCH(C4,PT_DIFFERENTIATION_CS_ID,0))</f>
        <v>#VALUE!</v>
      </c>
      <c r="AE4" s="489"/>
      <c r="AF4" s="489"/>
      <c r="AG4" s="489"/>
      <c r="AH4" s="489"/>
      <c r="AI4" s="489"/>
      <c r="AJ4" s="489"/>
      <c r="AK4" s="489"/>
      <c r="AL4" s="490"/>
      <c r="AM4" s="491" t="s">
        <v>394</v>
      </c>
      <c r="AO4" s="130"/>
      <c r="AP4" s="130" t="str">
        <f t="shared" si="4"/>
        <v xml:space="preserve">Наименование системы теплоснабжения </v>
      </c>
      <c r="AQ4" s="130"/>
      <c r="AR4" s="130"/>
      <c r="AS4" s="50">
        <v>0</v>
      </c>
    </row>
    <row r="5" ht="21" hidden="1" customHeight="1">
      <c r="A5" s="480"/>
      <c r="B5" s="480"/>
      <c r="C5" s="480"/>
      <c r="D5" s="480"/>
      <c r="E5" s="492"/>
      <c r="F5" s="492"/>
      <c r="G5" s="492"/>
      <c r="H5" s="481">
        <v>1</v>
      </c>
      <c r="I5" s="480"/>
      <c r="J5" s="480"/>
      <c r="K5" s="480"/>
      <c r="L5" s="482"/>
      <c r="M5" s="483"/>
      <c r="N5" s="483"/>
      <c r="O5" s="483"/>
      <c r="P5" s="496"/>
      <c r="Q5" s="493"/>
      <c r="R5" s="494"/>
      <c r="S5" s="485" t="e">
        <f>INDEX(PT_DIFFERENTIATION_NUM_IST_TE,MATCH(D5,PT_DIFFERENTIATION_IST_TE_ID,0))</f>
        <v>#VALUE!</v>
      </c>
      <c r="T5" s="498" t="s">
        <v>395</v>
      </c>
      <c r="U5" s="487"/>
      <c r="V5" s="488"/>
      <c r="W5" s="489"/>
      <c r="X5" s="489"/>
      <c r="Y5" s="489"/>
      <c r="Z5" s="489"/>
      <c r="AA5" s="489"/>
      <c r="AB5" s="489"/>
      <c r="AC5" s="490"/>
      <c r="AD5" s="488" t="e">
        <f>INDEX(PT_DIFFERENTIATION_IST_TE,MATCH(D5,PT_DIFFERENTIATION_IST_TE_ID,0))</f>
        <v>#VALUE!</v>
      </c>
      <c r="AE5" s="489"/>
      <c r="AF5" s="489"/>
      <c r="AG5" s="489"/>
      <c r="AH5" s="489"/>
      <c r="AI5" s="489"/>
      <c r="AJ5" s="489"/>
      <c r="AK5" s="489"/>
      <c r="AL5" s="490"/>
      <c r="AM5" s="491" t="s">
        <v>396</v>
      </c>
      <c r="AO5" s="130"/>
      <c r="AP5" s="130" t="str">
        <f t="shared" si="4"/>
        <v xml:space="preserve">Источник тепловой энергии  </v>
      </c>
      <c r="AQ5" s="130"/>
      <c r="AR5" s="130"/>
      <c r="AS5" s="50">
        <v>0</v>
      </c>
    </row>
    <row r="6" ht="47.25" hidden="1" customHeight="1">
      <c r="A6" s="480"/>
      <c r="B6" s="480"/>
      <c r="C6" s="480"/>
      <c r="D6" s="480"/>
      <c r="E6" s="492"/>
      <c r="F6" s="492"/>
      <c r="G6" s="492"/>
      <c r="H6" s="492"/>
      <c r="I6" s="499" t="e">
        <f>S5&amp;".1"</f>
        <v>#VALUE!</v>
      </c>
      <c r="J6" s="480"/>
      <c r="K6" s="480"/>
      <c r="L6" s="482" t="s">
        <v>397</v>
      </c>
      <c r="M6" s="53"/>
      <c r="P6" s="133">
        <v>1</v>
      </c>
      <c r="Q6" s="133"/>
      <c r="R6" s="500"/>
      <c r="S6" s="485" t="e">
        <f>$I6</f>
        <v>#VALUE!</v>
      </c>
      <c r="T6" s="501" t="s">
        <v>398</v>
      </c>
      <c r="U6" s="487"/>
      <c r="V6" s="432"/>
      <c r="W6" s="502"/>
      <c r="X6" s="502"/>
      <c r="Y6" s="502"/>
      <c r="Z6" s="502"/>
      <c r="AA6" s="502"/>
      <c r="AB6" s="502"/>
      <c r="AC6" s="503"/>
      <c r="AD6" s="432"/>
      <c r="AE6" s="502"/>
      <c r="AF6" s="502"/>
      <c r="AG6" s="502"/>
      <c r="AH6" s="502"/>
      <c r="AI6" s="502"/>
      <c r="AJ6" s="502"/>
      <c r="AK6" s="502"/>
      <c r="AL6" s="503"/>
      <c r="AM6" s="491" t="s">
        <v>399</v>
      </c>
      <c r="AO6" s="130"/>
      <c r="AP6" s="130" t="str">
        <f t="shared" si="4"/>
        <v xml:space="preserve">Схема подключения теплопотребляющей установки к коллектору источника тепловой энергии</v>
      </c>
      <c r="AQ6" s="130"/>
      <c r="AR6" s="130"/>
      <c r="AS6" s="50">
        <v>0</v>
      </c>
    </row>
    <row r="7" ht="21" hidden="1" customHeight="1">
      <c r="A7" s="480"/>
      <c r="B7" s="480"/>
      <c r="C7" s="480"/>
      <c r="D7" s="480"/>
      <c r="E7" s="492"/>
      <c r="F7" s="492"/>
      <c r="G7" s="492"/>
      <c r="H7" s="492"/>
      <c r="I7" s="504"/>
      <c r="J7" s="499" t="e">
        <f>I6&amp;".1"</f>
        <v>#VALUE!</v>
      </c>
      <c r="K7" s="480"/>
      <c r="L7" s="482" t="s">
        <v>400</v>
      </c>
      <c r="M7" s="53"/>
      <c r="N7" s="53"/>
      <c r="P7" s="133"/>
      <c r="Q7" s="133">
        <v>1</v>
      </c>
      <c r="R7" s="505"/>
      <c r="S7" s="485" t="e">
        <f>$J7</f>
        <v>#VALUE!</v>
      </c>
      <c r="T7" s="506" t="s">
        <v>401</v>
      </c>
      <c r="U7" s="487"/>
      <c r="V7" s="432"/>
      <c r="W7" s="502"/>
      <c r="X7" s="502"/>
      <c r="Y7" s="502"/>
      <c r="Z7" s="502"/>
      <c r="AA7" s="502"/>
      <c r="AB7" s="502"/>
      <c r="AC7" s="503"/>
      <c r="AD7" s="432"/>
      <c r="AE7" s="502"/>
      <c r="AF7" s="502"/>
      <c r="AG7" s="502"/>
      <c r="AH7" s="502"/>
      <c r="AI7" s="502"/>
      <c r="AJ7" s="502"/>
      <c r="AK7" s="502"/>
      <c r="AL7" s="503"/>
      <c r="AM7" s="491" t="s">
        <v>402</v>
      </c>
      <c r="AO7" s="130"/>
      <c r="AP7" s="130" t="str">
        <f t="shared" si="4"/>
        <v xml:space="preserve">Группа потребителей</v>
      </c>
      <c r="AQ7" s="130"/>
      <c r="AR7" s="130"/>
      <c r="AS7" s="50">
        <v>0</v>
      </c>
    </row>
    <row r="8" ht="21" hidden="1" customHeight="1">
      <c r="A8" s="480"/>
      <c r="B8" s="480"/>
      <c r="C8" s="480"/>
      <c r="D8" s="480"/>
      <c r="E8" s="492"/>
      <c r="F8" s="492"/>
      <c r="G8" s="492"/>
      <c r="H8" s="492"/>
      <c r="I8" s="504"/>
      <c r="J8" s="504"/>
      <c r="K8" s="499" t="e">
        <f>J7&amp;".1"</f>
        <v>#VALUE!</v>
      </c>
      <c r="L8" s="482" t="s">
        <v>403</v>
      </c>
      <c r="M8" s="53"/>
      <c r="N8" s="53"/>
      <c r="O8" s="53"/>
      <c r="P8" s="133"/>
      <c r="Q8" s="133"/>
      <c r="R8" s="505">
        <v>1</v>
      </c>
      <c r="S8" s="485" t="e">
        <f>$K8</f>
        <v>#VALUE!</v>
      </c>
      <c r="T8" s="507"/>
      <c r="U8" s="487"/>
      <c r="V8" s="508"/>
      <c r="W8" s="509"/>
      <c r="X8" s="508"/>
      <c r="Y8" s="510"/>
      <c r="Z8" s="511"/>
      <c r="AA8" s="225" t="s">
        <v>64</v>
      </c>
      <c r="AB8" s="511"/>
      <c r="AC8" s="225" t="s">
        <v>64</v>
      </c>
      <c r="AD8" s="508"/>
      <c r="AE8" s="509"/>
      <c r="AF8" s="508"/>
      <c r="AG8" s="510"/>
      <c r="AH8" s="511"/>
      <c r="AI8" s="225" t="s">
        <v>64</v>
      </c>
      <c r="AJ8" s="511"/>
      <c r="AK8" s="225" t="s">
        <v>64</v>
      </c>
      <c r="AL8" s="509"/>
      <c r="AM8" s="512" t="s">
        <v>404</v>
      </c>
      <c r="AN8" s="57" t="e">
        <f>STRCHECKDATE(V9:AL9)</f>
        <v>#NAME?</v>
      </c>
      <c r="AO8" s="130"/>
      <c r="AP8" s="130" t="str">
        <f t="shared" si="4"/>
        <v/>
      </c>
      <c r="AQ8" s="130"/>
      <c r="AR8" s="130"/>
      <c r="AS8" s="50">
        <v>0</v>
      </c>
    </row>
    <row r="9" ht="0.75" hidden="1" customHeight="1">
      <c r="A9" s="480"/>
      <c r="B9" s="480"/>
      <c r="C9" s="480"/>
      <c r="D9" s="480"/>
      <c r="E9" s="492"/>
      <c r="F9" s="492"/>
      <c r="G9" s="492"/>
      <c r="H9" s="492"/>
      <c r="I9" s="504"/>
      <c r="J9" s="504"/>
      <c r="K9" s="499"/>
      <c r="L9" s="482"/>
      <c r="M9" s="53"/>
      <c r="N9" s="53"/>
      <c r="O9" s="53"/>
      <c r="P9" s="133"/>
      <c r="Q9" s="133"/>
      <c r="R9" s="505"/>
      <c r="S9" s="459"/>
      <c r="T9" s="487"/>
      <c r="U9" s="487"/>
      <c r="V9" s="509"/>
      <c r="W9" s="509"/>
      <c r="X9" s="509"/>
      <c r="Y9" s="513" t="str">
        <f>Z8&amp;"-"&amp;AB8</f>
        <v>-</v>
      </c>
      <c r="Z9" s="514"/>
      <c r="AA9" s="225"/>
      <c r="AB9" s="514"/>
      <c r="AC9" s="225"/>
      <c r="AD9" s="509"/>
      <c r="AE9" s="509"/>
      <c r="AF9" s="509"/>
      <c r="AG9" s="513" t="str">
        <f>AH8&amp;"-"&amp;AJ8</f>
        <v>-</v>
      </c>
      <c r="AH9" s="514"/>
      <c r="AI9" s="225"/>
      <c r="AJ9" s="514"/>
      <c r="AK9" s="225"/>
      <c r="AL9" s="509"/>
      <c r="AM9" s="515"/>
      <c r="AO9" s="130"/>
      <c r="AP9" s="130" t="str">
        <f t="shared" si="4"/>
        <v/>
      </c>
      <c r="AQ9" s="130"/>
      <c r="AR9" s="130"/>
      <c r="AS9" s="50">
        <v>0</v>
      </c>
    </row>
    <row r="10" ht="15" hidden="1" customHeight="1">
      <c r="A10" s="480"/>
      <c r="B10" s="480"/>
      <c r="C10" s="480"/>
      <c r="D10" s="480"/>
      <c r="E10" s="492"/>
      <c r="F10" s="492"/>
      <c r="G10" s="492"/>
      <c r="H10" s="492"/>
      <c r="I10" s="504"/>
      <c r="J10" s="499"/>
      <c r="K10" s="480"/>
      <c r="L10" s="482"/>
      <c r="M10" s="53"/>
      <c r="N10" s="53"/>
      <c r="P10" s="133"/>
      <c r="Q10" s="133"/>
      <c r="R10" s="500"/>
      <c r="S10" s="516"/>
      <c r="T10" s="517" t="s">
        <v>405</v>
      </c>
      <c r="U10" s="215"/>
      <c r="V10" s="215"/>
      <c r="W10" s="215"/>
      <c r="X10" s="215"/>
      <c r="Y10" s="215"/>
      <c r="Z10" s="215"/>
      <c r="AA10" s="215"/>
      <c r="AB10" s="215"/>
      <c r="AC10" s="215"/>
      <c r="AD10" s="215"/>
      <c r="AE10" s="215"/>
      <c r="AF10" s="215"/>
      <c r="AG10" s="215"/>
      <c r="AH10" s="215"/>
      <c r="AI10" s="215"/>
      <c r="AJ10" s="215"/>
      <c r="AK10" s="215"/>
      <c r="AL10" s="518"/>
      <c r="AM10" s="519"/>
      <c r="AO10" s="130"/>
      <c r="AP10" s="130" t="str">
        <f t="shared" ref="AP10:AP57" si="5">IF(T10="","",T10)</f>
        <v xml:space="preserve">Добавить вид теплоносителя (параметры теплоносителя)</v>
      </c>
      <c r="AQ10" s="130"/>
      <c r="AR10" s="130"/>
      <c r="AS10" s="50">
        <v>0</v>
      </c>
    </row>
    <row r="11" ht="15" hidden="1" customHeight="1">
      <c r="A11" s="480"/>
      <c r="B11" s="480"/>
      <c r="C11" s="480"/>
      <c r="D11" s="480"/>
      <c r="E11" s="492"/>
      <c r="F11" s="492"/>
      <c r="G11" s="492"/>
      <c r="H11" s="492"/>
      <c r="I11" s="499"/>
      <c r="J11" s="480"/>
      <c r="K11" s="480"/>
      <c r="L11" s="482"/>
      <c r="M11" s="53"/>
      <c r="P11" s="133"/>
      <c r="Q11" s="133"/>
      <c r="R11" s="500"/>
      <c r="S11" s="516"/>
      <c r="T11" s="520" t="s">
        <v>406</v>
      </c>
      <c r="U11" s="215"/>
      <c r="V11" s="215"/>
      <c r="W11" s="215"/>
      <c r="X11" s="215"/>
      <c r="Y11" s="215"/>
      <c r="Z11" s="215"/>
      <c r="AA11" s="215"/>
      <c r="AB11" s="215"/>
      <c r="AC11" s="521"/>
      <c r="AD11" s="215"/>
      <c r="AE11" s="215"/>
      <c r="AF11" s="215"/>
      <c r="AG11" s="215"/>
      <c r="AH11" s="215"/>
      <c r="AI11" s="215"/>
      <c r="AJ11" s="215"/>
      <c r="AK11" s="521"/>
      <c r="AL11" s="215"/>
      <c r="AM11" s="522"/>
      <c r="AO11" s="130"/>
      <c r="AP11" s="130" t="str">
        <f t="shared" si="5"/>
        <v xml:space="preserve">Добавить группу потребителей</v>
      </c>
      <c r="AQ11" s="130"/>
      <c r="AR11" s="130"/>
      <c r="AS11" s="50">
        <v>0</v>
      </c>
    </row>
    <row r="12" ht="14.25" hidden="1" customHeight="1">
      <c r="A12" s="480"/>
      <c r="B12" s="480"/>
      <c r="C12" s="480"/>
      <c r="D12" s="480"/>
      <c r="E12" s="492"/>
      <c r="F12" s="492"/>
      <c r="G12" s="492"/>
      <c r="H12" s="481"/>
      <c r="I12" s="480"/>
      <c r="J12" s="480"/>
      <c r="K12" s="480"/>
      <c r="L12" s="482"/>
      <c r="M12" s="483"/>
      <c r="N12" s="483"/>
      <c r="O12" s="53"/>
      <c r="P12" s="144"/>
      <c r="Q12" s="523"/>
      <c r="R12" s="484"/>
      <c r="S12" s="516"/>
      <c r="T12" s="524" t="s">
        <v>407</v>
      </c>
      <c r="U12" s="215"/>
      <c r="V12" s="215"/>
      <c r="W12" s="215"/>
      <c r="X12" s="215"/>
      <c r="Y12" s="215"/>
      <c r="Z12" s="215"/>
      <c r="AA12" s="215"/>
      <c r="AB12" s="215"/>
      <c r="AC12" s="521"/>
      <c r="AD12" s="215"/>
      <c r="AE12" s="215"/>
      <c r="AF12" s="215"/>
      <c r="AG12" s="215"/>
      <c r="AH12" s="215"/>
      <c r="AI12" s="215"/>
      <c r="AJ12" s="215"/>
      <c r="AK12" s="521"/>
      <c r="AL12" s="215"/>
      <c r="AM12" s="522"/>
      <c r="AO12" s="130"/>
      <c r="AP12" s="130" t="str">
        <f t="shared" si="5"/>
        <v xml:space="preserve">Добавить схему подключения</v>
      </c>
      <c r="AQ12" s="130"/>
      <c r="AR12" s="130"/>
      <c r="AS12" s="50">
        <v>0</v>
      </c>
    </row>
    <row r="13" s="57" customFormat="1" ht="0.75" hidden="1" customHeight="1">
      <c r="A13" s="134"/>
      <c r="B13" s="134"/>
      <c r="C13" s="134"/>
      <c r="D13" s="134"/>
      <c r="E13" s="492"/>
      <c r="F13" s="492"/>
      <c r="G13" s="481"/>
      <c r="H13" s="134"/>
      <c r="I13" s="134"/>
      <c r="J13" s="134"/>
      <c r="K13" s="134"/>
      <c r="L13" s="213"/>
      <c r="M13" s="465"/>
      <c r="N13" s="465"/>
      <c r="P13" s="168"/>
      <c r="Q13" s="525"/>
      <c r="R13" s="168"/>
      <c r="S13" s="526"/>
      <c r="T13" s="527" t="s">
        <v>408</v>
      </c>
      <c r="U13" s="528"/>
      <c r="V13" s="528"/>
      <c r="W13" s="528"/>
      <c r="X13" s="528"/>
      <c r="Y13" s="528"/>
      <c r="Z13" s="528"/>
      <c r="AA13" s="528"/>
      <c r="AB13" s="528"/>
      <c r="AC13" s="528"/>
      <c r="AD13" s="528"/>
      <c r="AE13" s="528"/>
      <c r="AF13" s="528"/>
      <c r="AG13" s="528"/>
      <c r="AH13" s="528"/>
      <c r="AI13" s="528"/>
      <c r="AJ13" s="528"/>
      <c r="AK13" s="528"/>
      <c r="AL13" s="528"/>
      <c r="AM13" s="528"/>
      <c r="AO13" s="130"/>
      <c r="AP13" s="130" t="str">
        <f t="shared" si="5"/>
        <v xml:space="preserve">Добавить источник для дифференциации</v>
      </c>
      <c r="AQ13" s="130"/>
      <c r="AR13" s="130"/>
      <c r="AS13" s="57">
        <v>0</v>
      </c>
    </row>
    <row r="14" s="57" customFormat="1" ht="0.75" hidden="1" customHeight="1">
      <c r="A14" s="134"/>
      <c r="B14" s="134"/>
      <c r="C14" s="134"/>
      <c r="D14" s="134"/>
      <c r="E14" s="492"/>
      <c r="F14" s="481"/>
      <c r="G14" s="134"/>
      <c r="H14" s="134"/>
      <c r="I14" s="134"/>
      <c r="J14" s="134"/>
      <c r="K14" s="134"/>
      <c r="L14" s="213"/>
      <c r="M14" s="529"/>
      <c r="N14" s="529"/>
      <c r="P14" s="168"/>
      <c r="Q14" s="525"/>
      <c r="R14" s="168"/>
      <c r="S14" s="530"/>
      <c r="T14" s="531" t="s">
        <v>409</v>
      </c>
      <c r="U14" s="532"/>
      <c r="V14" s="532"/>
      <c r="W14" s="532"/>
      <c r="X14" s="532"/>
      <c r="Y14" s="532"/>
      <c r="Z14" s="532"/>
      <c r="AA14" s="532"/>
      <c r="AB14" s="532"/>
      <c r="AC14" s="532"/>
      <c r="AD14" s="532"/>
      <c r="AE14" s="532"/>
      <c r="AF14" s="532"/>
      <c r="AG14" s="532"/>
      <c r="AH14" s="532"/>
      <c r="AI14" s="532"/>
      <c r="AJ14" s="532"/>
      <c r="AK14" s="532"/>
      <c r="AL14" s="532"/>
      <c r="AM14" s="532"/>
      <c r="AO14" s="130"/>
      <c r="AP14" s="130" t="str">
        <f t="shared" si="5"/>
        <v xml:space="preserve">Добавить централизованную систему для дифференциации</v>
      </c>
      <c r="AQ14" s="130"/>
      <c r="AR14" s="130"/>
      <c r="AS14" s="57">
        <v>0</v>
      </c>
    </row>
    <row r="15" s="57" customFormat="1" ht="0.75" hidden="1" customHeight="1">
      <c r="A15" s="134"/>
      <c r="B15" s="134"/>
      <c r="C15" s="134"/>
      <c r="D15" s="134"/>
      <c r="E15" s="481"/>
      <c r="F15" s="134"/>
      <c r="G15" s="134"/>
      <c r="H15" s="134"/>
      <c r="I15" s="134"/>
      <c r="J15" s="134"/>
      <c r="K15" s="134"/>
      <c r="L15" s="213"/>
      <c r="M15" s="529"/>
      <c r="N15" s="529"/>
      <c r="P15" s="168"/>
      <c r="Q15" s="525"/>
      <c r="R15" s="168"/>
      <c r="S15" s="530"/>
      <c r="T15" s="533" t="s">
        <v>410</v>
      </c>
      <c r="U15" s="532"/>
      <c r="V15" s="532"/>
      <c r="W15" s="532"/>
      <c r="X15" s="532"/>
      <c r="Y15" s="532"/>
      <c r="Z15" s="532"/>
      <c r="AA15" s="532"/>
      <c r="AB15" s="532"/>
      <c r="AC15" s="532"/>
      <c r="AD15" s="532"/>
      <c r="AE15" s="532"/>
      <c r="AF15" s="532"/>
      <c r="AG15" s="532"/>
      <c r="AH15" s="532"/>
      <c r="AI15" s="532"/>
      <c r="AJ15" s="532"/>
      <c r="AK15" s="532"/>
      <c r="AL15" s="532"/>
      <c r="AM15" s="532"/>
      <c r="AO15" s="130"/>
      <c r="AP15" s="130" t="str">
        <f t="shared" si="5"/>
        <v xml:space="preserve">Добавить территорию для дифференциации</v>
      </c>
      <c r="AQ15" s="130"/>
      <c r="AR15" s="130"/>
      <c r="AS15" s="57">
        <v>0</v>
      </c>
    </row>
    <row r="16" ht="14.25" hidden="1" customHeight="1">
      <c r="AC16" s="50"/>
      <c r="AK16" s="50"/>
      <c r="AS16" s="50">
        <v>0</v>
      </c>
    </row>
    <row r="17" ht="14.25" hidden="1" customHeight="1">
      <c r="AD17" s="534"/>
      <c r="AE17" s="534"/>
      <c r="AF17" s="534"/>
      <c r="AG17" s="535"/>
      <c r="AH17" s="536"/>
      <c r="AI17" s="537" t="s">
        <v>64</v>
      </c>
      <c r="AJ17" s="536"/>
      <c r="AK17" s="537" t="s">
        <v>64</v>
      </c>
      <c r="AS17" s="50">
        <v>0</v>
      </c>
    </row>
    <row r="18" ht="14.25" hidden="1" customHeight="1">
      <c r="AD18" s="534"/>
      <c r="AE18" s="534"/>
      <c r="AF18" s="534"/>
      <c r="AG18" s="513" t="str">
        <f>AH17&amp;"-"&amp;AJ17</f>
        <v>-</v>
      </c>
      <c r="AH18" s="537"/>
      <c r="AI18" s="537"/>
      <c r="AJ18" s="537"/>
      <c r="AK18" s="537"/>
      <c r="AS18" s="50">
        <v>0</v>
      </c>
    </row>
    <row r="19" ht="14.25" hidden="1" customHeight="1">
      <c r="AK19" s="50"/>
      <c r="AS19" s="50">
        <v>0</v>
      </c>
    </row>
    <row r="20" s="53" customFormat="1" ht="22.5" hidden="1" customHeight="1">
      <c r="L20" s="114"/>
      <c r="M20" s="61"/>
      <c r="N20" s="61"/>
      <c r="O20" s="538" t="s">
        <v>411</v>
      </c>
      <c r="P20" s="61"/>
      <c r="Q20" s="539"/>
      <c r="R20" s="539"/>
      <c r="S20" s="483"/>
      <c r="Z20" s="538"/>
      <c r="AB20" s="538"/>
      <c r="AC20" s="53"/>
      <c r="AH20" s="538"/>
      <c r="AJ20" s="538"/>
      <c r="AK20" s="53"/>
      <c r="AN20" s="57"/>
      <c r="AO20" s="57"/>
      <c r="AP20" s="57"/>
      <c r="AQ20" s="57"/>
      <c r="AR20" s="57"/>
      <c r="AS20" s="53">
        <v>0</v>
      </c>
    </row>
    <row r="21" s="53" customFormat="1" ht="14.25" hidden="1" customHeight="1">
      <c r="L21" s="114"/>
      <c r="M21" s="61"/>
      <c r="N21" s="61"/>
      <c r="O21" s="61"/>
      <c r="P21" s="61"/>
      <c r="Q21" s="539"/>
      <c r="R21" s="539"/>
      <c r="S21" s="483"/>
      <c r="AC21" s="53"/>
      <c r="AK21" s="53"/>
      <c r="AN21" s="57"/>
      <c r="AO21" s="57"/>
      <c r="AP21" s="57"/>
      <c r="AQ21" s="57"/>
      <c r="AR21" s="57"/>
      <c r="AS21" s="53">
        <v>0</v>
      </c>
    </row>
    <row r="22" s="53" customFormat="1" ht="14.25" hidden="1" customHeight="1">
      <c r="L22" s="114"/>
      <c r="M22" s="61"/>
      <c r="N22" s="61"/>
      <c r="O22" s="482" t="s">
        <v>412</v>
      </c>
      <c r="P22" s="61"/>
      <c r="Q22" s="539"/>
      <c r="R22" s="539"/>
      <c r="S22" s="483"/>
      <c r="T22" s="53" t="s">
        <v>413</v>
      </c>
      <c r="AA22" s="152" t="s">
        <v>414</v>
      </c>
      <c r="AC22" s="152" t="s">
        <v>415</v>
      </c>
      <c r="AD22" s="53" t="s">
        <v>413</v>
      </c>
      <c r="AI22" s="152" t="s">
        <v>416</v>
      </c>
      <c r="AK22" s="152" t="s">
        <v>415</v>
      </c>
      <c r="AN22" s="57"/>
      <c r="AO22" s="57"/>
      <c r="AP22" s="57"/>
      <c r="AQ22" s="57"/>
      <c r="AR22" s="57"/>
      <c r="AS22" s="53">
        <v>0</v>
      </c>
    </row>
    <row r="23" ht="14.25" hidden="1" customHeight="1">
      <c r="O23" s="482"/>
      <c r="AS23" s="50">
        <v>0</v>
      </c>
    </row>
    <row r="24" ht="14.25" hidden="1" customHeight="1">
      <c r="O24" s="482"/>
      <c r="AS24" s="50">
        <v>0</v>
      </c>
    </row>
    <row r="25" ht="14.65" customHeight="1">
      <c r="Q25" s="540"/>
      <c r="R25" s="540"/>
      <c r="S25" s="541"/>
      <c r="T25" s="91"/>
      <c r="U25" s="91"/>
      <c r="V25" s="50"/>
      <c r="W25" s="50"/>
      <c r="X25" s="50"/>
      <c r="Y25" s="50"/>
      <c r="Z25" s="50"/>
      <c r="AA25" s="50"/>
      <c r="AB25" s="50"/>
      <c r="AC25" s="50"/>
      <c r="AD25" s="50"/>
      <c r="AE25" s="50"/>
      <c r="AF25" s="50"/>
      <c r="AG25" s="50"/>
      <c r="AH25" s="50"/>
      <c r="AI25" s="50"/>
      <c r="AJ25" s="50"/>
      <c r="AK25" s="50"/>
      <c r="AS25" s="50">
        <v>14</v>
      </c>
    </row>
    <row r="26" ht="14.65" customHeight="1">
      <c r="Q26" s="540"/>
      <c r="R26" s="540"/>
      <c r="S26" s="453" t="str">
        <f>IF(TEMPLATE_GROUP="P",PT_P_FORM_HEAT_4_NAME_FORM,PT_R_FORM_HEAT_21_NAME_FORM)</f>
        <v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453"/>
      <c r="U26" s="453"/>
      <c r="V26" s="453"/>
      <c r="W26" s="453"/>
      <c r="X26" s="453"/>
      <c r="Y26" s="453"/>
      <c r="Z26" s="453"/>
      <c r="AA26" s="453"/>
      <c r="AB26" s="453"/>
      <c r="AC26" s="453"/>
      <c r="AD26" s="453"/>
      <c r="AE26" s="453"/>
      <c r="AF26" s="453"/>
      <c r="AG26" s="453"/>
      <c r="AH26" s="453"/>
      <c r="AI26" s="453"/>
      <c r="AJ26" s="453"/>
      <c r="AK26" s="241"/>
      <c r="AS26" s="50">
        <v>14</v>
      </c>
    </row>
    <row r="27" ht="14.65" customHeight="1">
      <c r="Q27" s="540"/>
      <c r="R27" s="540"/>
      <c r="S27" s="304" t="str">
        <f>IF(org=0,"Не определено",org)</f>
        <v xml:space="preserve">АО "ДГК" СП "Биробиджанская ТЭЦ"</v>
      </c>
      <c r="T27" s="304"/>
      <c r="U27" s="304"/>
      <c r="V27" s="304"/>
      <c r="W27" s="304"/>
      <c r="X27" s="304"/>
      <c r="Y27" s="304"/>
      <c r="Z27" s="304"/>
      <c r="AA27" s="304"/>
      <c r="AB27" s="304"/>
      <c r="AC27" s="304"/>
      <c r="AD27" s="304"/>
      <c r="AE27" s="304"/>
      <c r="AF27" s="304"/>
      <c r="AG27" s="304"/>
      <c r="AH27" s="304"/>
      <c r="AI27" s="304"/>
      <c r="AJ27" s="304"/>
      <c r="AK27" s="241"/>
      <c r="AS27" s="50">
        <v>14</v>
      </c>
    </row>
    <row r="28" ht="14.25" hidden="1" customHeight="1">
      <c r="Q28" s="540"/>
      <c r="R28" s="540"/>
      <c r="S28" s="541"/>
      <c r="T28" s="91"/>
      <c r="U28" s="91"/>
      <c r="V28" s="542"/>
      <c r="W28" s="542"/>
      <c r="X28" s="542"/>
      <c r="Y28" s="542"/>
      <c r="Z28" s="542"/>
      <c r="AA28" s="542"/>
      <c r="AB28" s="542"/>
      <c r="AC28" s="542"/>
      <c r="AD28" s="542"/>
      <c r="AE28" s="542"/>
      <c r="AF28" s="542"/>
      <c r="AG28" s="542"/>
      <c r="AH28" s="542"/>
      <c r="AI28" s="542"/>
      <c r="AJ28" s="542"/>
      <c r="AK28" s="542"/>
      <c r="AL28" s="50"/>
      <c r="AS28" s="50">
        <v>0</v>
      </c>
    </row>
    <row r="29" s="185" customFormat="1" ht="25.5" hidden="1" customHeight="1">
      <c r="A29" s="152"/>
      <c r="B29" s="152"/>
      <c r="C29" s="152"/>
      <c r="D29" s="152"/>
      <c r="E29" s="152"/>
      <c r="F29" s="152"/>
      <c r="G29" s="152"/>
      <c r="H29" s="152"/>
      <c r="I29" s="152"/>
      <c r="J29" s="152"/>
      <c r="K29" s="152"/>
      <c r="L29" s="482"/>
      <c r="M29" s="152"/>
      <c r="N29" s="152"/>
      <c r="O29" s="152"/>
      <c r="S29" s="543" t="s">
        <v>41</v>
      </c>
      <c r="T29" s="543"/>
      <c r="U29" s="544"/>
      <c r="V29" s="545" t="str">
        <f>IF(TITLE_NAME_OR_PR_CHANGE="",IF(TITLE_NAME_OR_PR="","",TITLE_NAME_OR_PR),TITLE_NAME_OR_PR_CHANGE)</f>
        <v/>
      </c>
      <c r="W29" s="545"/>
      <c r="X29" s="545"/>
      <c r="Y29" s="545"/>
      <c r="Z29" s="545"/>
      <c r="AA29" s="545"/>
      <c r="AB29" s="545"/>
      <c r="AC29" s="50"/>
      <c r="AD29" s="545" t="str">
        <f>IF(TITLE_NAME_OR_PR_CHANGE="",IF(TITLE_NAME_OR_PR="","",TITLE_NAME_OR_PR),TITLE_NAME_OR_PR_CHANGE)</f>
        <v/>
      </c>
      <c r="AE29" s="545"/>
      <c r="AF29" s="545"/>
      <c r="AG29" s="545"/>
      <c r="AH29" s="545"/>
      <c r="AI29" s="545"/>
      <c r="AJ29" s="545"/>
      <c r="AK29" s="50"/>
      <c r="AL29" s="50"/>
      <c r="AM29" s="546"/>
      <c r="AN29" s="130"/>
      <c r="AO29" s="130"/>
      <c r="AP29" s="130"/>
      <c r="AQ29" s="130"/>
      <c r="AR29" s="130"/>
      <c r="AS29" s="185">
        <v>0</v>
      </c>
    </row>
    <row r="30" s="185" customFormat="1" ht="18.75" hidden="1" customHeight="1">
      <c r="A30" s="152"/>
      <c r="B30" s="152"/>
      <c r="C30" s="152"/>
      <c r="D30" s="152"/>
      <c r="E30" s="152"/>
      <c r="F30" s="152"/>
      <c r="G30" s="152"/>
      <c r="H30" s="152"/>
      <c r="I30" s="152"/>
      <c r="J30" s="152"/>
      <c r="K30" s="152"/>
      <c r="L30" s="482"/>
      <c r="M30" s="152"/>
      <c r="N30" s="152"/>
      <c r="O30" s="152"/>
      <c r="S30" s="543" t="s">
        <v>417</v>
      </c>
      <c r="T30" s="543"/>
      <c r="U30" s="544"/>
      <c r="V30" s="547" t="str">
        <f>IF(TITLE_DATE_PR_CHANGE="",IF(TITLE_DATE_PR="","",TITLE_DATE_PR),TITLE_DATE_PR_CHANGE)</f>
        <v/>
      </c>
      <c r="W30" s="547"/>
      <c r="X30" s="547"/>
      <c r="Y30" s="547"/>
      <c r="Z30" s="547"/>
      <c r="AA30" s="547"/>
      <c r="AB30" s="547"/>
      <c r="AC30" s="50"/>
      <c r="AD30" s="547" t="str">
        <f>IF(TITLE_DATE_PR_CHANGE="",IF(TITLE_DATE_PR="","",TITLE_DATE_PR),TITLE_DATE_PR_CHANGE)</f>
        <v/>
      </c>
      <c r="AE30" s="547"/>
      <c r="AF30" s="547"/>
      <c r="AG30" s="547"/>
      <c r="AH30" s="547"/>
      <c r="AI30" s="547"/>
      <c r="AJ30" s="547"/>
      <c r="AK30" s="50"/>
      <c r="AL30" s="50"/>
      <c r="AM30" s="546"/>
      <c r="AN30" s="130"/>
      <c r="AO30" s="130"/>
      <c r="AP30" s="130"/>
      <c r="AQ30" s="130"/>
      <c r="AR30" s="130"/>
      <c r="AS30" s="185">
        <v>0</v>
      </c>
    </row>
    <row r="31" s="185" customFormat="1" ht="18.75" hidden="1" customHeight="1">
      <c r="A31" s="152"/>
      <c r="B31" s="152"/>
      <c r="C31" s="152"/>
      <c r="D31" s="152"/>
      <c r="E31" s="152"/>
      <c r="F31" s="152"/>
      <c r="G31" s="152"/>
      <c r="H31" s="152"/>
      <c r="I31" s="152"/>
      <c r="J31" s="152"/>
      <c r="K31" s="152"/>
      <c r="L31" s="482"/>
      <c r="M31" s="152"/>
      <c r="N31" s="152"/>
      <c r="O31" s="152"/>
      <c r="S31" s="543" t="s">
        <v>418</v>
      </c>
      <c r="T31" s="543"/>
      <c r="U31" s="544"/>
      <c r="V31" s="545" t="str">
        <f>IF(TITLE_NUMBER_PR_CHANGE="",IF(TITLE_NUMBER_PR="","",TITLE_NUMBER_PR),TITLE_NUMBER_PR_CHANGE)</f>
        <v/>
      </c>
      <c r="W31" s="545"/>
      <c r="X31" s="545"/>
      <c r="Y31" s="545"/>
      <c r="Z31" s="545"/>
      <c r="AA31" s="545"/>
      <c r="AB31" s="545"/>
      <c r="AC31" s="50"/>
      <c r="AD31" s="545" t="str">
        <f>IF(TITLE_NUMBER_PR_CHANGE="",IF(TITLE_NUMBER_PR="","",TITLE_NUMBER_PR),TITLE_NUMBER_PR_CHANGE)</f>
        <v/>
      </c>
      <c r="AE31" s="545"/>
      <c r="AF31" s="545"/>
      <c r="AG31" s="545"/>
      <c r="AH31" s="545"/>
      <c r="AI31" s="545"/>
      <c r="AJ31" s="545"/>
      <c r="AK31" s="50"/>
      <c r="AL31" s="50"/>
      <c r="AM31" s="546"/>
      <c r="AN31" s="130"/>
      <c r="AO31" s="130"/>
      <c r="AP31" s="130"/>
      <c r="AQ31" s="130"/>
      <c r="AR31" s="130"/>
      <c r="AS31" s="185">
        <v>0</v>
      </c>
    </row>
    <row r="32" s="185" customFormat="1" ht="18.75" hidden="1" customHeight="1">
      <c r="A32" s="152"/>
      <c r="B32" s="152"/>
      <c r="C32" s="152"/>
      <c r="D32" s="152"/>
      <c r="E32" s="152"/>
      <c r="F32" s="152"/>
      <c r="G32" s="152"/>
      <c r="H32" s="152"/>
      <c r="I32" s="152"/>
      <c r="J32" s="152"/>
      <c r="K32" s="152"/>
      <c r="L32" s="482"/>
      <c r="M32" s="152"/>
      <c r="N32" s="152"/>
      <c r="O32" s="152"/>
      <c r="S32" s="543" t="s">
        <v>42</v>
      </c>
      <c r="T32" s="543"/>
      <c r="U32" s="544"/>
      <c r="V32" s="545" t="str">
        <f>IF(TITLE_IST_PUB_CHANGE="",IF(TITLE_IST_PUB="","",TITLE_IST_PUB),TITLE_IST_PUB_CHANGE)</f>
        <v/>
      </c>
      <c r="W32" s="545"/>
      <c r="X32" s="545"/>
      <c r="Y32" s="545"/>
      <c r="Z32" s="545"/>
      <c r="AA32" s="545"/>
      <c r="AB32" s="545"/>
      <c r="AC32" s="50"/>
      <c r="AD32" s="545" t="str">
        <f>IF(TITLE_IST_PUB_CHANGE="",IF(TITLE_IST_PUB="","",TITLE_IST_PUB),TITLE_IST_PUB_CHANGE)</f>
        <v/>
      </c>
      <c r="AE32" s="545"/>
      <c r="AF32" s="545"/>
      <c r="AG32" s="545"/>
      <c r="AH32" s="545"/>
      <c r="AI32" s="545"/>
      <c r="AJ32" s="545"/>
      <c r="AK32" s="50"/>
      <c r="AL32" s="50"/>
      <c r="AM32" s="546"/>
      <c r="AN32" s="130"/>
      <c r="AO32" s="130"/>
      <c r="AP32" s="130"/>
      <c r="AQ32" s="130"/>
      <c r="AR32" s="130"/>
      <c r="AS32" s="185">
        <v>0</v>
      </c>
    </row>
    <row r="33" ht="14.25" hidden="1" customHeight="1">
      <c r="Q33" s="540"/>
      <c r="R33" s="540"/>
      <c r="S33" s="541"/>
      <c r="T33" s="91"/>
      <c r="U33" s="91"/>
      <c r="V33" s="542"/>
      <c r="W33" s="542"/>
      <c r="X33" s="542"/>
      <c r="Y33" s="542"/>
      <c r="Z33" s="542"/>
      <c r="AA33" s="542"/>
      <c r="AB33" s="542"/>
      <c r="AC33" s="542"/>
      <c r="AD33" s="542"/>
      <c r="AE33" s="542"/>
      <c r="AF33" s="542"/>
      <c r="AG33" s="542"/>
      <c r="AH33" s="542"/>
      <c r="AI33" s="542"/>
      <c r="AJ33" s="542"/>
      <c r="AK33" s="542"/>
      <c r="AL33" s="50"/>
      <c r="AS33" s="50">
        <v>0</v>
      </c>
    </row>
    <row r="34" s="185" customFormat="1" ht="18.75" hidden="1" customHeight="1">
      <c r="A34" s="152"/>
      <c r="B34" s="152"/>
      <c r="C34" s="152"/>
      <c r="D34" s="152"/>
      <c r="E34" s="152"/>
      <c r="F34" s="152"/>
      <c r="G34" s="152"/>
      <c r="H34" s="152"/>
      <c r="I34" s="152"/>
      <c r="J34" s="152"/>
      <c r="K34" s="152"/>
      <c r="L34" s="482"/>
      <c r="M34" s="152"/>
      <c r="N34" s="152"/>
      <c r="O34" s="152"/>
      <c r="S34" s="543" t="s">
        <v>419</v>
      </c>
      <c r="T34" s="543"/>
      <c r="U34" s="544"/>
      <c r="V34" s="547" t="str">
        <f>IF(TITLE_DATE_PR_CHANGE="",IF(TITLE_DATE_PR="","",TITLE_DATE_PR),TITLE_DATE_PR_CHANGE)</f>
        <v/>
      </c>
      <c r="W34" s="547"/>
      <c r="X34" s="547"/>
      <c r="Y34" s="547"/>
      <c r="Z34" s="547"/>
      <c r="AA34" s="547"/>
      <c r="AB34" s="547"/>
      <c r="AC34" s="50"/>
      <c r="AD34" s="547" t="str">
        <f>IF(TITLE_DATE_PR_CHANGE="",IF(TITLE_DATE_PR="","",TITLE_DATE_PR),TITLE_DATE_PR_CHANGE)</f>
        <v/>
      </c>
      <c r="AE34" s="547"/>
      <c r="AF34" s="547"/>
      <c r="AG34" s="547"/>
      <c r="AH34" s="547"/>
      <c r="AI34" s="547"/>
      <c r="AJ34" s="547"/>
      <c r="AK34" s="50"/>
      <c r="AL34" s="50"/>
      <c r="AM34" s="546"/>
      <c r="AN34" s="130"/>
      <c r="AO34" s="130"/>
      <c r="AP34" s="130"/>
      <c r="AQ34" s="130"/>
      <c r="AR34" s="130"/>
      <c r="AS34" s="185">
        <v>0</v>
      </c>
    </row>
    <row r="35" s="185" customFormat="1" ht="18.75" hidden="1" customHeight="1">
      <c r="A35" s="152"/>
      <c r="B35" s="152"/>
      <c r="C35" s="152"/>
      <c r="D35" s="152"/>
      <c r="E35" s="152"/>
      <c r="F35" s="152"/>
      <c r="G35" s="152"/>
      <c r="H35" s="152"/>
      <c r="I35" s="152"/>
      <c r="J35" s="152"/>
      <c r="K35" s="152"/>
      <c r="L35" s="482"/>
      <c r="M35" s="152"/>
      <c r="N35" s="152"/>
      <c r="O35" s="152"/>
      <c r="S35" s="543" t="s">
        <v>420</v>
      </c>
      <c r="T35" s="543"/>
      <c r="U35" s="544"/>
      <c r="V35" s="545" t="str">
        <f>IF(TITLE_NUMBER_PR_CHANGE="",IF(TITLE_NUMBER_PR="","",TITLE_NUMBER_PR),TITLE_NUMBER_PR_CHANGE)</f>
        <v/>
      </c>
      <c r="W35" s="545"/>
      <c r="X35" s="545"/>
      <c r="Y35" s="545"/>
      <c r="Z35" s="545"/>
      <c r="AA35" s="545"/>
      <c r="AB35" s="545"/>
      <c r="AC35" s="50"/>
      <c r="AD35" s="545" t="str">
        <f>IF(TITLE_NUMBER_PR_CHANGE="",IF(TITLE_NUMBER_PR="","",TITLE_NUMBER_PR),TITLE_NUMBER_PR_CHANGE)</f>
        <v/>
      </c>
      <c r="AE35" s="545"/>
      <c r="AF35" s="545"/>
      <c r="AG35" s="545"/>
      <c r="AH35" s="545"/>
      <c r="AI35" s="545"/>
      <c r="AJ35" s="545"/>
      <c r="AK35" s="50"/>
      <c r="AL35" s="50"/>
      <c r="AM35" s="546"/>
      <c r="AN35" s="130"/>
      <c r="AO35" s="130"/>
      <c r="AP35" s="130"/>
      <c r="AQ35" s="130"/>
      <c r="AR35" s="130"/>
      <c r="AS35" s="185">
        <v>0</v>
      </c>
    </row>
    <row r="36" s="185" customFormat="1" ht="0" customHeight="1">
      <c r="A36" s="152"/>
      <c r="B36" s="152"/>
      <c r="C36" s="152"/>
      <c r="D36" s="152"/>
      <c r="E36" s="152"/>
      <c r="F36" s="152"/>
      <c r="G36" s="152"/>
      <c r="H36" s="152"/>
      <c r="I36" s="152"/>
      <c r="J36" s="152"/>
      <c r="K36" s="152"/>
      <c r="L36" s="482"/>
      <c r="M36" s="152"/>
      <c r="N36" s="152"/>
      <c r="O36" s="152"/>
      <c r="S36" s="50"/>
      <c r="T36" s="50"/>
      <c r="U36" s="141"/>
      <c r="V36" s="50"/>
      <c r="W36" s="50"/>
      <c r="X36" s="50"/>
      <c r="Y36" s="50"/>
      <c r="Z36" s="50"/>
      <c r="AA36" s="50"/>
      <c r="AB36" s="50"/>
      <c r="AC36" s="57" t="s">
        <v>421</v>
      </c>
      <c r="AD36" s="50"/>
      <c r="AE36" s="50"/>
      <c r="AF36" s="50"/>
      <c r="AG36" s="50"/>
      <c r="AH36" s="50"/>
      <c r="AI36" s="50"/>
      <c r="AJ36" s="50"/>
      <c r="AK36" s="57" t="s">
        <v>421</v>
      </c>
      <c r="AN36" s="130"/>
      <c r="AO36" s="130"/>
      <c r="AP36" s="130"/>
      <c r="AQ36" s="130"/>
      <c r="AR36" s="130"/>
      <c r="AS36" s="185">
        <v>0</v>
      </c>
    </row>
    <row r="37" ht="14.65" customHeight="1">
      <c r="Q37" s="540"/>
      <c r="R37" s="540"/>
      <c r="S37" s="541"/>
      <c r="T37" s="91"/>
      <c r="U37" s="548"/>
      <c r="V37" s="549"/>
      <c r="W37" s="549"/>
      <c r="X37" s="549"/>
      <c r="Y37" s="549"/>
      <c r="Z37" s="549"/>
      <c r="AA37" s="549"/>
      <c r="AB37" s="549"/>
      <c r="AC37" s="549"/>
      <c r="AD37" s="549"/>
      <c r="AE37" s="549"/>
      <c r="AF37" s="549"/>
      <c r="AG37" s="549"/>
      <c r="AH37" s="549"/>
      <c r="AI37" s="549"/>
      <c r="AJ37" s="549"/>
      <c r="AK37" s="549"/>
      <c r="AS37" s="50">
        <v>14</v>
      </c>
    </row>
    <row r="38" ht="14.65" customHeight="1">
      <c r="Q38" s="540"/>
      <c r="R38" s="540"/>
      <c r="S38" s="158" t="s">
        <v>294</v>
      </c>
      <c r="T38" s="158"/>
      <c r="U38" s="158"/>
      <c r="V38" s="158"/>
      <c r="W38" s="158"/>
      <c r="X38" s="158"/>
      <c r="Y38" s="158"/>
      <c r="Z38" s="158"/>
      <c r="AA38" s="158"/>
      <c r="AB38" s="158"/>
      <c r="AC38" s="158"/>
      <c r="AD38" s="158"/>
      <c r="AE38" s="158"/>
      <c r="AF38" s="158"/>
      <c r="AG38" s="158"/>
      <c r="AH38" s="158"/>
      <c r="AI38" s="158"/>
      <c r="AJ38" s="158"/>
      <c r="AK38" s="158"/>
      <c r="AL38" s="158"/>
      <c r="AM38" s="158" t="s">
        <v>295</v>
      </c>
      <c r="AS38" s="50">
        <v>14</v>
      </c>
    </row>
    <row r="39" ht="14.65" customHeight="1">
      <c r="Q39" s="540"/>
      <c r="R39" s="540"/>
      <c r="S39" s="485" t="s">
        <v>87</v>
      </c>
      <c r="T39" s="348" t="s">
        <v>422</v>
      </c>
      <c r="U39" s="550"/>
      <c r="V39" s="551" t="s">
        <v>423</v>
      </c>
      <c r="W39" s="552"/>
      <c r="X39" s="552"/>
      <c r="Y39" s="552"/>
      <c r="Z39" s="552"/>
      <c r="AA39" s="552"/>
      <c r="AB39" s="553"/>
      <c r="AC39" s="554" t="s">
        <v>424</v>
      </c>
      <c r="AD39" s="551" t="s">
        <v>423</v>
      </c>
      <c r="AE39" s="552"/>
      <c r="AF39" s="552"/>
      <c r="AG39" s="552"/>
      <c r="AH39" s="552"/>
      <c r="AI39" s="552"/>
      <c r="AJ39" s="553"/>
      <c r="AK39" s="554" t="s">
        <v>425</v>
      </c>
      <c r="AL39" s="555" t="s">
        <v>426</v>
      </c>
      <c r="AM39" s="158"/>
      <c r="AS39" s="50">
        <v>14</v>
      </c>
    </row>
    <row r="40" ht="35.649999999999999" customHeight="1">
      <c r="Q40" s="540"/>
      <c r="R40" s="540"/>
      <c r="S40" s="485"/>
      <c r="T40" s="348"/>
      <c r="U40" s="556"/>
      <c r="V40" s="308" t="s">
        <v>427</v>
      </c>
      <c r="W40" s="557" t="s">
        <v>428</v>
      </c>
      <c r="X40" s="73" t="s">
        <v>429</v>
      </c>
      <c r="Y40" s="72"/>
      <c r="Z40" s="73" t="s">
        <v>443</v>
      </c>
      <c r="AA40" s="146"/>
      <c r="AB40" s="72"/>
      <c r="AC40" s="558"/>
      <c r="AD40" s="308" t="s">
        <v>427</v>
      </c>
      <c r="AE40" s="557" t="s">
        <v>428</v>
      </c>
      <c r="AF40" s="73" t="s">
        <v>429</v>
      </c>
      <c r="AG40" s="72"/>
      <c r="AH40" s="73" t="s">
        <v>430</v>
      </c>
      <c r="AI40" s="146"/>
      <c r="AJ40" s="72"/>
      <c r="AK40" s="558"/>
      <c r="AL40" s="559"/>
      <c r="AM40" s="158"/>
      <c r="AS40" s="50">
        <v>34</v>
      </c>
    </row>
    <row r="41" ht="35.649999999999999" customHeight="1">
      <c r="A41" s="152"/>
      <c r="B41" s="152" t="s">
        <v>131</v>
      </c>
      <c r="C41" s="152" t="s">
        <v>132</v>
      </c>
      <c r="D41" s="152" t="s">
        <v>133</v>
      </c>
      <c r="E41" s="482" t="s">
        <v>431</v>
      </c>
      <c r="F41" s="482" t="s">
        <v>432</v>
      </c>
      <c r="G41" s="482" t="s">
        <v>433</v>
      </c>
      <c r="H41" s="482" t="s">
        <v>434</v>
      </c>
      <c r="I41" s="482" t="s">
        <v>435</v>
      </c>
      <c r="J41" s="482" t="s">
        <v>436</v>
      </c>
      <c r="K41" s="482" t="s">
        <v>437</v>
      </c>
      <c r="L41" s="482" t="s">
        <v>412</v>
      </c>
      <c r="Q41" s="540"/>
      <c r="R41" s="540"/>
      <c r="S41" s="485"/>
      <c r="T41" s="348"/>
      <c r="U41" s="560"/>
      <c r="V41" s="163"/>
      <c r="W41" s="561"/>
      <c r="X41" s="247" t="s">
        <v>438</v>
      </c>
      <c r="Y41" s="247" t="s">
        <v>439</v>
      </c>
      <c r="Z41" s="247" t="s">
        <v>440</v>
      </c>
      <c r="AA41" s="416" t="s">
        <v>441</v>
      </c>
      <c r="AB41" s="418"/>
      <c r="AC41" s="562"/>
      <c r="AD41" s="163"/>
      <c r="AE41" s="561"/>
      <c r="AF41" s="247" t="s">
        <v>438</v>
      </c>
      <c r="AG41" s="247" t="s">
        <v>439</v>
      </c>
      <c r="AH41" s="247" t="s">
        <v>440</v>
      </c>
      <c r="AI41" s="416" t="s">
        <v>441</v>
      </c>
      <c r="AJ41" s="418"/>
      <c r="AK41" s="562"/>
      <c r="AL41" s="563"/>
      <c r="AM41" s="158"/>
      <c r="AS41" s="50">
        <v>34</v>
      </c>
    </row>
    <row r="42" s="132" customFormat="1" ht="11.25" hidden="1" customHeight="1">
      <c r="A42" s="152"/>
      <c r="B42" s="152"/>
      <c r="C42" s="152"/>
      <c r="D42" s="152"/>
      <c r="E42" s="152"/>
      <c r="F42" s="152"/>
      <c r="G42" s="152"/>
      <c r="H42" s="152"/>
      <c r="I42" s="152"/>
      <c r="J42" s="152"/>
      <c r="K42" s="152"/>
      <c r="L42" s="482"/>
      <c r="M42" s="61"/>
      <c r="N42" s="61"/>
      <c r="O42" s="61"/>
      <c r="P42" s="564"/>
      <c r="Q42" s="565"/>
      <c r="R42" s="566">
        <v>1</v>
      </c>
      <c r="S42" s="567" t="s">
        <v>105</v>
      </c>
      <c r="T42" s="568" t="s">
        <v>106</v>
      </c>
      <c r="U42" s="569" t="str">
        <f ca="1">OFFSET(U42,0,-1)</f>
        <v>2</v>
      </c>
      <c r="V42" s="570">
        <f ca="1">OFFSET(V42,0,-1)+1</f>
        <v>3</v>
      </c>
      <c r="W42" s="570"/>
      <c r="X42" s="570">
        <f ca="1">OFFSET(X42,0,-1)+1</f>
        <v>1</v>
      </c>
      <c r="Y42" s="570">
        <f ca="1">OFFSET(Y42,0,-1)+1</f>
        <v>2</v>
      </c>
      <c r="Z42" s="570">
        <f ca="1">OFFSET(Z42,0,-1)+1</f>
        <v>3</v>
      </c>
      <c r="AA42" s="570">
        <f ca="1">OFFSET(AA42,0,-1)+1</f>
        <v>4</v>
      </c>
      <c r="AB42" s="570"/>
      <c r="AC42" s="570">
        <f ca="1">OFFSET(AC42,0,-2)+1</f>
        <v>5</v>
      </c>
      <c r="AD42" s="570">
        <f ca="1">OFFSET(AD42,0,-1)+1</f>
        <v>6</v>
      </c>
      <c r="AE42" s="570"/>
      <c r="AF42" s="570">
        <f ca="1">OFFSET(AF42,0,-1)+1</f>
        <v>1</v>
      </c>
      <c r="AG42" s="570">
        <f ca="1">OFFSET(AG42,0,-1)+1</f>
        <v>2</v>
      </c>
      <c r="AH42" s="570">
        <f ca="1">OFFSET(AH42,0,-1)+1</f>
        <v>3</v>
      </c>
      <c r="AI42" s="570">
        <f ca="1">OFFSET(AI42,0,-1)+1</f>
        <v>4</v>
      </c>
      <c r="AJ42" s="570"/>
      <c r="AK42" s="570">
        <f ca="1">OFFSET(AK42,0,-2)+1</f>
        <v>5</v>
      </c>
      <c r="AL42" s="569">
        <f ca="1">OFFSET(AL42,0,-1)</f>
        <v>5</v>
      </c>
      <c r="AM42" s="570">
        <f ca="1">OFFSET(AM42,0,-1)+1</f>
        <v>6</v>
      </c>
      <c r="AN42" s="57"/>
      <c r="AO42" s="57"/>
      <c r="AP42" s="57"/>
      <c r="AQ42" s="57"/>
      <c r="AR42" s="57"/>
      <c r="AS42" s="132">
        <v>0</v>
      </c>
    </row>
    <row r="43" ht="22" customHeight="1">
      <c r="A43" s="480" t="s">
        <v>157</v>
      </c>
      <c r="B43" s="480"/>
      <c r="C43" s="480"/>
      <c r="D43" s="480"/>
      <c r="E43" s="481">
        <v>1</v>
      </c>
      <c r="F43" s="480"/>
      <c r="G43" s="480"/>
      <c r="H43" s="480"/>
      <c r="I43" s="480"/>
      <c r="J43" s="480"/>
      <c r="K43" s="480"/>
      <c r="L43" s="482"/>
      <c r="M43" s="483"/>
      <c r="N43" s="483"/>
      <c r="O43" s="483"/>
      <c r="P43" s="60"/>
      <c r="Q43" s="144"/>
      <c r="R43" s="484"/>
      <c r="S43" s="485">
        <f>INDEX(PT_DIFFERENTIATION_NUM_NTAR,MATCH(A43,PT_DIFFERENTIATION_NTAR_ID,0))</f>
        <v>0</v>
      </c>
      <c r="T43" s="486" t="s">
        <v>119</v>
      </c>
      <c r="U43" s="487"/>
      <c r="V43" s="488"/>
      <c r="W43" s="489"/>
      <c r="X43" s="489"/>
      <c r="Y43" s="489"/>
      <c r="Z43" s="489"/>
      <c r="AA43" s="489"/>
      <c r="AB43" s="489"/>
      <c r="AC43" s="490"/>
      <c r="AD43" s="488" t="str">
        <f>INDEX(PT_DIFFERENTIATION_NTAR,MATCH(A43,PT_DIFFERENTIATION_NTAR_ID,0))</f>
        <v/>
      </c>
      <c r="AE43" s="489"/>
      <c r="AF43" s="489"/>
      <c r="AG43" s="489"/>
      <c r="AH43" s="489"/>
      <c r="AI43" s="489"/>
      <c r="AJ43" s="489"/>
      <c r="AK43" s="489"/>
      <c r="AL43" s="490"/>
      <c r="AM43" s="49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30"/>
      <c r="AP43" s="130" t="str">
        <f t="shared" si="5"/>
        <v xml:space="preserve">Наименование тарифа</v>
      </c>
      <c r="AQ43" s="130"/>
      <c r="AR43" s="130"/>
      <c r="AS43" s="50">
        <v>21</v>
      </c>
    </row>
    <row r="44" ht="22" customHeight="1">
      <c r="A44" s="480" t="s">
        <v>157</v>
      </c>
      <c r="B44" s="480" t="s">
        <v>158</v>
      </c>
      <c r="C44" s="480"/>
      <c r="D44" s="480"/>
      <c r="E44" s="492"/>
      <c r="F44" s="481">
        <v>1</v>
      </c>
      <c r="G44" s="480"/>
      <c r="H44" s="480"/>
      <c r="I44" s="480"/>
      <c r="J44" s="480"/>
      <c r="K44" s="480"/>
      <c r="L44" s="482"/>
      <c r="M44" s="483"/>
      <c r="N44" s="483"/>
      <c r="O44" s="483"/>
      <c r="P44" s="51"/>
      <c r="Q44" s="493"/>
      <c r="R44" s="494"/>
      <c r="S44" s="485" t="str">
        <f>INDEX(PT_DIFFERENTIATION_NUM_TER,MATCH(B44,PT_DIFFERENTIATION_TER_ID,0))</f>
        <v>.</v>
      </c>
      <c r="T44" s="495" t="s">
        <v>391</v>
      </c>
      <c r="U44" s="487"/>
      <c r="V44" s="488"/>
      <c r="W44" s="489"/>
      <c r="X44" s="489"/>
      <c r="Y44" s="489"/>
      <c r="Z44" s="489"/>
      <c r="AA44" s="489"/>
      <c r="AB44" s="489"/>
      <c r="AC44" s="490"/>
      <c r="AD44" s="488" t="str">
        <f>INDEX(PT_DIFFERENTIATION_TER,MATCH(B44,PT_DIFFERENTIATION_TER_ID,0))</f>
        <v/>
      </c>
      <c r="AE44" s="489"/>
      <c r="AF44" s="489"/>
      <c r="AG44" s="489"/>
      <c r="AH44" s="489"/>
      <c r="AI44" s="489"/>
      <c r="AJ44" s="489"/>
      <c r="AK44" s="489"/>
      <c r="AL44" s="490"/>
      <c r="AM44" s="491" t="s">
        <v>392</v>
      </c>
      <c r="AO44" s="130"/>
      <c r="AP44" s="130" t="str">
        <f t="shared" si="5"/>
        <v xml:space="preserve">Территория действия тарифа</v>
      </c>
      <c r="AQ44" s="130"/>
      <c r="AR44" s="130"/>
      <c r="AS44" s="50">
        <v>21</v>
      </c>
    </row>
    <row r="45" ht="24" customHeight="1">
      <c r="A45" s="480" t="s">
        <v>157</v>
      </c>
      <c r="B45" s="480" t="s">
        <v>158</v>
      </c>
      <c r="C45" s="480" t="s">
        <v>159</v>
      </c>
      <c r="D45" s="480"/>
      <c r="E45" s="492"/>
      <c r="F45" s="492"/>
      <c r="G45" s="481">
        <v>1</v>
      </c>
      <c r="H45" s="480"/>
      <c r="I45" s="480"/>
      <c r="J45" s="480"/>
      <c r="K45" s="480"/>
      <c r="L45" s="482"/>
      <c r="M45" s="483"/>
      <c r="N45" s="483"/>
      <c r="O45" s="483"/>
      <c r="P45" s="496"/>
      <c r="Q45" s="493"/>
      <c r="R45" s="494"/>
      <c r="S45" s="485" t="str">
        <f>INDEX(PT_DIFFERENTIATION_NUM_CS,MATCH(C45,PT_DIFFERENTIATION_CS_ID,0))</f>
        <v>..</v>
      </c>
      <c r="T45" s="497" t="s">
        <v>393</v>
      </c>
      <c r="U45" s="487"/>
      <c r="V45" s="488"/>
      <c r="W45" s="489"/>
      <c r="X45" s="489"/>
      <c r="Y45" s="489"/>
      <c r="Z45" s="489"/>
      <c r="AA45" s="489"/>
      <c r="AB45" s="489"/>
      <c r="AC45" s="490"/>
      <c r="AD45" s="488" t="str">
        <f>INDEX(PT_DIFFERENTIATION_CS,MATCH(C45,PT_DIFFERENTIATION_CS_ID,0))</f>
        <v/>
      </c>
      <c r="AE45" s="489"/>
      <c r="AF45" s="489"/>
      <c r="AG45" s="489"/>
      <c r="AH45" s="489"/>
      <c r="AI45" s="489"/>
      <c r="AJ45" s="489"/>
      <c r="AK45" s="489"/>
      <c r="AL45" s="490"/>
      <c r="AM45" s="491" t="s">
        <v>394</v>
      </c>
      <c r="AO45" s="130"/>
      <c r="AP45" s="130" t="str">
        <f t="shared" si="5"/>
        <v xml:space="preserve">Наименование системы теплоснабжения </v>
      </c>
      <c r="AQ45" s="130"/>
      <c r="AR45" s="130"/>
      <c r="AS45" s="50">
        <v>23</v>
      </c>
    </row>
    <row r="46" ht="22" customHeight="1">
      <c r="A46" s="480" t="s">
        <v>157</v>
      </c>
      <c r="B46" s="480" t="s">
        <v>158</v>
      </c>
      <c r="C46" s="480" t="s">
        <v>159</v>
      </c>
      <c r="D46" s="480" t="s">
        <v>160</v>
      </c>
      <c r="E46" s="492"/>
      <c r="F46" s="492"/>
      <c r="G46" s="492"/>
      <c r="H46" s="481">
        <v>1</v>
      </c>
      <c r="I46" s="480"/>
      <c r="J46" s="480"/>
      <c r="K46" s="480"/>
      <c r="L46" s="482"/>
      <c r="M46" s="483"/>
      <c r="N46" s="483"/>
      <c r="O46" s="483"/>
      <c r="P46" s="496"/>
      <c r="Q46" s="493"/>
      <c r="R46" s="494"/>
      <c r="S46" s="485" t="str">
        <f>INDEX(PT_DIFFERENTIATION_NUM_IST_TE,MATCH(D46,PT_DIFFERENTIATION_IST_TE_ID,0))</f>
        <v>...</v>
      </c>
      <c r="T46" s="498" t="s">
        <v>395</v>
      </c>
      <c r="U46" s="487"/>
      <c r="V46" s="488"/>
      <c r="W46" s="489"/>
      <c r="X46" s="489"/>
      <c r="Y46" s="489"/>
      <c r="Z46" s="489"/>
      <c r="AA46" s="489"/>
      <c r="AB46" s="489"/>
      <c r="AC46" s="490"/>
      <c r="AD46" s="488" t="str">
        <f>INDEX(PT_DIFFERENTIATION_IST_TE,MATCH(D46,PT_DIFFERENTIATION_IST_TE_ID,0))</f>
        <v/>
      </c>
      <c r="AE46" s="489"/>
      <c r="AF46" s="489"/>
      <c r="AG46" s="489"/>
      <c r="AH46" s="489"/>
      <c r="AI46" s="489"/>
      <c r="AJ46" s="489"/>
      <c r="AK46" s="489"/>
      <c r="AL46" s="490"/>
      <c r="AM46" s="491" t="s">
        <v>396</v>
      </c>
      <c r="AO46" s="130"/>
      <c r="AP46" s="130" t="str">
        <f t="shared" si="5"/>
        <v xml:space="preserve">Источник тепловой энергии  </v>
      </c>
      <c r="AQ46" s="130"/>
      <c r="AR46" s="130"/>
      <c r="AS46" s="50">
        <v>21</v>
      </c>
    </row>
    <row r="47" ht="49.5" customHeight="1">
      <c r="A47" s="480" t="s">
        <v>157</v>
      </c>
      <c r="B47" s="480" t="s">
        <v>158</v>
      </c>
      <c r="C47" s="480" t="s">
        <v>159</v>
      </c>
      <c r="D47" s="480" t="s">
        <v>160</v>
      </c>
      <c r="E47" s="492"/>
      <c r="F47" s="492"/>
      <c r="G47" s="492"/>
      <c r="H47" s="492"/>
      <c r="I47" s="499" t="str">
        <f>S46&amp;".1"</f>
        <v>....1</v>
      </c>
      <c r="J47" s="480"/>
      <c r="K47" s="480"/>
      <c r="L47" s="482" t="s">
        <v>397</v>
      </c>
      <c r="P47" s="133">
        <v>1</v>
      </c>
      <c r="Q47" s="133"/>
      <c r="R47" s="500"/>
      <c r="S47" s="485" t="str">
        <f>$I47</f>
        <v>....1</v>
      </c>
      <c r="T47" s="501" t="s">
        <v>398</v>
      </c>
      <c r="U47" s="487"/>
      <c r="V47" s="432"/>
      <c r="W47" s="502"/>
      <c r="X47" s="502"/>
      <c r="Y47" s="502"/>
      <c r="Z47" s="502"/>
      <c r="AA47" s="502"/>
      <c r="AB47" s="502"/>
      <c r="AC47" s="503"/>
      <c r="AD47" s="432"/>
      <c r="AE47" s="502"/>
      <c r="AF47" s="502"/>
      <c r="AG47" s="502"/>
      <c r="AH47" s="502"/>
      <c r="AI47" s="502"/>
      <c r="AJ47" s="502"/>
      <c r="AK47" s="502"/>
      <c r="AL47" s="503"/>
      <c r="AM47" s="491" t="s">
        <v>399</v>
      </c>
      <c r="AO47" s="130"/>
      <c r="AP47" s="130" t="str">
        <f t="shared" si="5"/>
        <v xml:space="preserve">Схема подключения теплопотребляющей установки к коллектору источника тепловой энергии</v>
      </c>
      <c r="AQ47" s="130"/>
      <c r="AR47" s="130"/>
      <c r="AS47" s="50">
        <v>47</v>
      </c>
    </row>
    <row r="48" ht="22" customHeight="1">
      <c r="A48" s="480" t="s">
        <v>157</v>
      </c>
      <c r="B48" s="480" t="s">
        <v>158</v>
      </c>
      <c r="C48" s="480" t="s">
        <v>159</v>
      </c>
      <c r="D48" s="480" t="s">
        <v>160</v>
      </c>
      <c r="E48" s="492"/>
      <c r="F48" s="492"/>
      <c r="G48" s="492"/>
      <c r="H48" s="492"/>
      <c r="I48" s="504"/>
      <c r="J48" s="499" t="str">
        <f>I47&amp;".1"</f>
        <v>....1.1</v>
      </c>
      <c r="K48" s="480"/>
      <c r="L48" s="482" t="s">
        <v>400</v>
      </c>
      <c r="P48" s="133"/>
      <c r="Q48" s="133">
        <v>1</v>
      </c>
      <c r="R48" s="505"/>
      <c r="S48" s="485" t="str">
        <f>$J48</f>
        <v>....1.1</v>
      </c>
      <c r="T48" s="506" t="s">
        <v>401</v>
      </c>
      <c r="U48" s="487"/>
      <c r="V48" s="432"/>
      <c r="W48" s="502"/>
      <c r="X48" s="502"/>
      <c r="Y48" s="502"/>
      <c r="Z48" s="502"/>
      <c r="AA48" s="502"/>
      <c r="AB48" s="502"/>
      <c r="AC48" s="503"/>
      <c r="AD48" s="432"/>
      <c r="AE48" s="502"/>
      <c r="AF48" s="502"/>
      <c r="AG48" s="502"/>
      <c r="AH48" s="502"/>
      <c r="AI48" s="502"/>
      <c r="AJ48" s="502"/>
      <c r="AK48" s="502"/>
      <c r="AL48" s="503"/>
      <c r="AM48" s="491" t="s">
        <v>402</v>
      </c>
      <c r="AO48" s="130"/>
      <c r="AP48" s="130" t="str">
        <f t="shared" si="5"/>
        <v xml:space="preserve">Группа потребителей</v>
      </c>
      <c r="AQ48" s="130"/>
      <c r="AR48" s="130"/>
      <c r="AS48" s="50">
        <v>21</v>
      </c>
    </row>
    <row r="49" ht="22" customHeight="1">
      <c r="A49" s="480" t="s">
        <v>157</v>
      </c>
      <c r="B49" s="480" t="s">
        <v>158</v>
      </c>
      <c r="C49" s="480" t="s">
        <v>159</v>
      </c>
      <c r="D49" s="480" t="s">
        <v>160</v>
      </c>
      <c r="E49" s="492"/>
      <c r="F49" s="492"/>
      <c r="G49" s="492"/>
      <c r="H49" s="492"/>
      <c r="I49" s="504"/>
      <c r="J49" s="504"/>
      <c r="K49" s="499" t="str">
        <f>J48&amp;".1"</f>
        <v>....1.1.1</v>
      </c>
      <c r="L49" s="482" t="s">
        <v>403</v>
      </c>
      <c r="P49" s="133"/>
      <c r="Q49" s="133"/>
      <c r="R49" s="505">
        <v>1</v>
      </c>
      <c r="S49" s="485" t="str">
        <f>$K49</f>
        <v>....1.1.1</v>
      </c>
      <c r="T49" s="507"/>
      <c r="U49" s="487"/>
      <c r="V49" s="508"/>
      <c r="W49" s="509"/>
      <c r="X49" s="508"/>
      <c r="Y49" s="510"/>
      <c r="Z49" s="511"/>
      <c r="AA49" s="225" t="s">
        <v>64</v>
      </c>
      <c r="AB49" s="511"/>
      <c r="AC49" s="225" t="s">
        <v>64</v>
      </c>
      <c r="AD49" s="508"/>
      <c r="AE49" s="509"/>
      <c r="AF49" s="508"/>
      <c r="AG49" s="510"/>
      <c r="AH49" s="511"/>
      <c r="AI49" s="225" t="s">
        <v>64</v>
      </c>
      <c r="AJ49" s="571"/>
      <c r="AK49" s="225" t="s">
        <v>64</v>
      </c>
      <c r="AL49" s="572"/>
      <c r="AM49" s="512" t="s">
        <v>404</v>
      </c>
      <c r="AN49" s="57" t="e">
        <f>STRCHECKDATE(V50:AL50)</f>
        <v>#NAME?</v>
      </c>
      <c r="AO49" s="130"/>
      <c r="AP49" s="130" t="str">
        <f t="shared" si="5"/>
        <v/>
      </c>
      <c r="AQ49" s="130"/>
      <c r="AR49" s="130"/>
      <c r="AS49" s="50">
        <v>21</v>
      </c>
    </row>
    <row r="50" ht="1.05" customHeight="1">
      <c r="A50" s="480" t="s">
        <v>157</v>
      </c>
      <c r="B50" s="480" t="s">
        <v>158</v>
      </c>
      <c r="C50" s="480" t="s">
        <v>159</v>
      </c>
      <c r="D50" s="480" t="s">
        <v>160</v>
      </c>
      <c r="E50" s="492"/>
      <c r="F50" s="492"/>
      <c r="G50" s="492"/>
      <c r="H50" s="492"/>
      <c r="I50" s="504"/>
      <c r="J50" s="504"/>
      <c r="K50" s="499"/>
      <c r="L50" s="482"/>
      <c r="P50" s="133"/>
      <c r="Q50" s="133"/>
      <c r="R50" s="505"/>
      <c r="S50" s="459"/>
      <c r="T50" s="487"/>
      <c r="U50" s="487"/>
      <c r="V50" s="509"/>
      <c r="W50" s="509"/>
      <c r="X50" s="509"/>
      <c r="Y50" s="513" t="str">
        <f>Z49&amp;"-"&amp;AB49</f>
        <v>-</v>
      </c>
      <c r="Z50" s="514"/>
      <c r="AA50" s="225"/>
      <c r="AB50" s="514"/>
      <c r="AC50" s="225"/>
      <c r="AD50" s="509"/>
      <c r="AE50" s="509"/>
      <c r="AF50" s="509"/>
      <c r="AG50" s="513" t="str">
        <f>AH49&amp;"-"&amp;AJ49</f>
        <v>-</v>
      </c>
      <c r="AH50" s="514"/>
      <c r="AI50" s="225"/>
      <c r="AJ50" s="573"/>
      <c r="AK50" s="225"/>
      <c r="AL50" s="574"/>
      <c r="AM50" s="515"/>
      <c r="AO50" s="130"/>
      <c r="AP50" s="130" t="str">
        <f t="shared" si="5"/>
        <v/>
      </c>
      <c r="AQ50" s="130"/>
      <c r="AR50" s="130"/>
      <c r="AS50" s="50">
        <v>1</v>
      </c>
    </row>
    <row r="51" ht="11.5" customHeight="1">
      <c r="A51" s="480" t="s">
        <v>157</v>
      </c>
      <c r="B51" s="480" t="s">
        <v>158</v>
      </c>
      <c r="C51" s="480" t="s">
        <v>159</v>
      </c>
      <c r="D51" s="480" t="s">
        <v>160</v>
      </c>
      <c r="E51" s="492"/>
      <c r="F51" s="492"/>
      <c r="G51" s="492"/>
      <c r="H51" s="492"/>
      <c r="I51" s="504"/>
      <c r="J51" s="499"/>
      <c r="K51" s="480"/>
      <c r="L51" s="482"/>
      <c r="P51" s="133"/>
      <c r="Q51" s="133"/>
      <c r="R51" s="500"/>
      <c r="S51" s="516"/>
      <c r="T51" s="517" t="s">
        <v>405</v>
      </c>
      <c r="U51" s="215"/>
      <c r="V51" s="215"/>
      <c r="W51" s="215"/>
      <c r="X51" s="215"/>
      <c r="Y51" s="215"/>
      <c r="Z51" s="215"/>
      <c r="AA51" s="215"/>
      <c r="AB51" s="215"/>
      <c r="AC51" s="215"/>
      <c r="AD51" s="215"/>
      <c r="AE51" s="215"/>
      <c r="AF51" s="215"/>
      <c r="AG51" s="215"/>
      <c r="AH51" s="215"/>
      <c r="AI51" s="215"/>
      <c r="AJ51" s="215"/>
      <c r="AK51" s="215"/>
      <c r="AL51" s="518"/>
      <c r="AM51" s="519"/>
      <c r="AO51" s="130"/>
      <c r="AP51" s="130" t="str">
        <f t="shared" si="5"/>
        <v xml:space="preserve">Добавить вид теплоносителя (параметры теплоносителя)</v>
      </c>
      <c r="AQ51" s="130"/>
      <c r="AR51" s="130"/>
      <c r="AS51" s="50">
        <v>11</v>
      </c>
    </row>
    <row r="52" ht="11.5" customHeight="1">
      <c r="A52" s="480" t="s">
        <v>157</v>
      </c>
      <c r="B52" s="480" t="s">
        <v>158</v>
      </c>
      <c r="C52" s="480" t="s">
        <v>159</v>
      </c>
      <c r="D52" s="480" t="s">
        <v>160</v>
      </c>
      <c r="E52" s="492"/>
      <c r="F52" s="492"/>
      <c r="G52" s="492"/>
      <c r="H52" s="492"/>
      <c r="I52" s="499"/>
      <c r="J52" s="480"/>
      <c r="K52" s="480"/>
      <c r="L52" s="482"/>
      <c r="P52" s="133"/>
      <c r="Q52" s="133"/>
      <c r="R52" s="500"/>
      <c r="S52" s="516"/>
      <c r="T52" s="520" t="s">
        <v>406</v>
      </c>
      <c r="U52" s="215"/>
      <c r="V52" s="215"/>
      <c r="W52" s="215"/>
      <c r="X52" s="215"/>
      <c r="Y52" s="215"/>
      <c r="Z52" s="215"/>
      <c r="AA52" s="215"/>
      <c r="AB52" s="215"/>
      <c r="AC52" s="521"/>
      <c r="AD52" s="215"/>
      <c r="AE52" s="215"/>
      <c r="AF52" s="215"/>
      <c r="AG52" s="215"/>
      <c r="AH52" s="215"/>
      <c r="AI52" s="215"/>
      <c r="AJ52" s="215"/>
      <c r="AK52" s="521"/>
      <c r="AL52" s="215"/>
      <c r="AM52" s="522"/>
      <c r="AO52" s="130"/>
      <c r="AP52" s="130" t="str">
        <f t="shared" si="5"/>
        <v xml:space="preserve">Добавить группу потребителей</v>
      </c>
      <c r="AQ52" s="130"/>
      <c r="AR52" s="130"/>
      <c r="AS52" s="50">
        <v>11</v>
      </c>
    </row>
    <row r="53" ht="14.65" customHeight="1">
      <c r="A53" s="480" t="s">
        <v>157</v>
      </c>
      <c r="B53" s="480" t="s">
        <v>158</v>
      </c>
      <c r="C53" s="480" t="s">
        <v>159</v>
      </c>
      <c r="D53" s="480" t="s">
        <v>160</v>
      </c>
      <c r="E53" s="492"/>
      <c r="F53" s="492"/>
      <c r="G53" s="492"/>
      <c r="H53" s="481"/>
      <c r="I53" s="480"/>
      <c r="J53" s="480"/>
      <c r="K53" s="480"/>
      <c r="L53" s="482"/>
      <c r="M53" s="483"/>
      <c r="N53" s="483"/>
      <c r="O53" s="53"/>
      <c r="P53" s="144"/>
      <c r="Q53" s="523"/>
      <c r="R53" s="484"/>
      <c r="S53" s="516"/>
      <c r="T53" s="524" t="s">
        <v>407</v>
      </c>
      <c r="U53" s="215"/>
      <c r="V53" s="215"/>
      <c r="W53" s="215"/>
      <c r="X53" s="215"/>
      <c r="Y53" s="215"/>
      <c r="Z53" s="215"/>
      <c r="AA53" s="215"/>
      <c r="AB53" s="215"/>
      <c r="AC53" s="521"/>
      <c r="AD53" s="215"/>
      <c r="AE53" s="215"/>
      <c r="AF53" s="215"/>
      <c r="AG53" s="215"/>
      <c r="AH53" s="215"/>
      <c r="AI53" s="215"/>
      <c r="AJ53" s="215"/>
      <c r="AK53" s="521"/>
      <c r="AL53" s="215"/>
      <c r="AM53" s="522"/>
      <c r="AO53" s="130"/>
      <c r="AP53" s="130" t="str">
        <f t="shared" si="5"/>
        <v xml:space="preserve">Добавить схему подключения</v>
      </c>
      <c r="AQ53" s="130"/>
      <c r="AR53" s="130"/>
      <c r="AS53" s="50">
        <v>14</v>
      </c>
    </row>
    <row r="54" s="57" customFormat="1" ht="1.05" customHeight="1">
      <c r="A54" s="134" t="s">
        <v>157</v>
      </c>
      <c r="B54" s="134" t="s">
        <v>158</v>
      </c>
      <c r="C54" s="134" t="s">
        <v>159</v>
      </c>
      <c r="D54" s="134"/>
      <c r="E54" s="492"/>
      <c r="F54" s="492"/>
      <c r="G54" s="481"/>
      <c r="H54" s="134"/>
      <c r="I54" s="134"/>
      <c r="J54" s="134"/>
      <c r="K54" s="134"/>
      <c r="L54" s="213"/>
      <c r="M54" s="465"/>
      <c r="N54" s="465"/>
      <c r="P54" s="168"/>
      <c r="Q54" s="525"/>
      <c r="R54" s="168"/>
      <c r="S54" s="530"/>
      <c r="T54" s="533" t="s">
        <v>408</v>
      </c>
      <c r="U54" s="532"/>
      <c r="V54" s="532"/>
      <c r="W54" s="532"/>
      <c r="X54" s="532"/>
      <c r="Y54" s="532"/>
      <c r="Z54" s="532"/>
      <c r="AA54" s="532"/>
      <c r="AB54" s="532"/>
      <c r="AC54" s="532"/>
      <c r="AD54" s="532"/>
      <c r="AE54" s="532"/>
      <c r="AF54" s="532"/>
      <c r="AG54" s="532"/>
      <c r="AH54" s="532"/>
      <c r="AI54" s="532"/>
      <c r="AJ54" s="532"/>
      <c r="AK54" s="532"/>
      <c r="AL54" s="532"/>
      <c r="AM54" s="532"/>
      <c r="AO54" s="130"/>
      <c r="AP54" s="130" t="str">
        <f t="shared" si="5"/>
        <v xml:space="preserve">Добавить источник для дифференциации</v>
      </c>
      <c r="AQ54" s="130"/>
      <c r="AR54" s="130"/>
      <c r="AS54" s="57">
        <v>1</v>
      </c>
    </row>
    <row r="55" s="57" customFormat="1" ht="1.05" customHeight="1">
      <c r="A55" s="134" t="s">
        <v>157</v>
      </c>
      <c r="B55" s="134" t="s">
        <v>158</v>
      </c>
      <c r="C55" s="134"/>
      <c r="D55" s="134"/>
      <c r="E55" s="492"/>
      <c r="F55" s="481"/>
      <c r="G55" s="134"/>
      <c r="H55" s="134"/>
      <c r="I55" s="134"/>
      <c r="J55" s="134"/>
      <c r="K55" s="134"/>
      <c r="L55" s="213"/>
      <c r="M55" s="529"/>
      <c r="N55" s="529"/>
      <c r="P55" s="168"/>
      <c r="Q55" s="525"/>
      <c r="R55" s="168"/>
      <c r="S55" s="530"/>
      <c r="T55" s="533" t="s">
        <v>409</v>
      </c>
      <c r="U55" s="532"/>
      <c r="V55" s="532"/>
      <c r="W55" s="532"/>
      <c r="X55" s="532"/>
      <c r="Y55" s="532"/>
      <c r="Z55" s="532"/>
      <c r="AA55" s="532"/>
      <c r="AB55" s="532"/>
      <c r="AC55" s="532"/>
      <c r="AD55" s="532"/>
      <c r="AE55" s="532"/>
      <c r="AF55" s="532"/>
      <c r="AG55" s="532"/>
      <c r="AH55" s="532"/>
      <c r="AI55" s="532"/>
      <c r="AJ55" s="532"/>
      <c r="AK55" s="532"/>
      <c r="AL55" s="532"/>
      <c r="AM55" s="532"/>
      <c r="AO55" s="130"/>
      <c r="AP55" s="130" t="str">
        <f t="shared" si="5"/>
        <v xml:space="preserve">Добавить централизованную систему для дифференциации</v>
      </c>
      <c r="AQ55" s="130"/>
      <c r="AR55" s="130"/>
      <c r="AS55" s="57">
        <v>1</v>
      </c>
    </row>
    <row r="56" s="57" customFormat="1" ht="1.05" customHeight="1">
      <c r="A56" s="134" t="s">
        <v>157</v>
      </c>
      <c r="B56" s="134"/>
      <c r="C56" s="134"/>
      <c r="D56" s="134"/>
      <c r="E56" s="481"/>
      <c r="F56" s="134"/>
      <c r="G56" s="134"/>
      <c r="H56" s="134"/>
      <c r="I56" s="134"/>
      <c r="J56" s="134"/>
      <c r="K56" s="134"/>
      <c r="L56" s="213"/>
      <c r="M56" s="529"/>
      <c r="N56" s="529"/>
      <c r="O56" s="57"/>
      <c r="P56" s="168"/>
      <c r="Q56" s="525"/>
      <c r="R56" s="168"/>
      <c r="S56" s="530"/>
      <c r="T56" s="533" t="s">
        <v>410</v>
      </c>
      <c r="U56" s="532"/>
      <c r="V56" s="532"/>
      <c r="W56" s="532"/>
      <c r="X56" s="532"/>
      <c r="Y56" s="532"/>
      <c r="Z56" s="532"/>
      <c r="AA56" s="532"/>
      <c r="AB56" s="532"/>
      <c r="AC56" s="532"/>
      <c r="AD56" s="532"/>
      <c r="AE56" s="532"/>
      <c r="AF56" s="532"/>
      <c r="AG56" s="532"/>
      <c r="AH56" s="532"/>
      <c r="AI56" s="532"/>
      <c r="AJ56" s="532"/>
      <c r="AK56" s="532"/>
      <c r="AL56" s="532"/>
      <c r="AM56" s="532"/>
      <c r="AO56" s="130"/>
      <c r="AP56" s="130" t="str">
        <f t="shared" si="5"/>
        <v xml:space="preserve">Добавить территорию для дифференциации</v>
      </c>
      <c r="AQ56" s="130"/>
      <c r="AR56" s="130"/>
      <c r="AS56" s="57">
        <v>1</v>
      </c>
    </row>
    <row r="57" s="57" customFormat="1" ht="1.05" customHeight="1">
      <c r="A57" s="134"/>
      <c r="B57" s="134"/>
      <c r="C57" s="134"/>
      <c r="D57" s="134"/>
      <c r="E57" s="134"/>
      <c r="F57" s="134"/>
      <c r="G57" s="134"/>
      <c r="H57" s="134"/>
      <c r="I57" s="134"/>
      <c r="J57" s="134"/>
      <c r="K57" s="134"/>
      <c r="L57" s="213"/>
      <c r="M57" s="529"/>
      <c r="N57" s="529"/>
      <c r="P57" s="168"/>
      <c r="Q57" s="525"/>
      <c r="R57" s="168"/>
      <c r="S57" s="530"/>
      <c r="T57" s="533" t="s">
        <v>442</v>
      </c>
      <c r="U57" s="532"/>
      <c r="V57" s="532"/>
      <c r="W57" s="532"/>
      <c r="X57" s="532"/>
      <c r="Y57" s="532"/>
      <c r="Z57" s="532"/>
      <c r="AA57" s="532"/>
      <c r="AB57" s="532"/>
      <c r="AC57" s="532"/>
      <c r="AD57" s="532"/>
      <c r="AE57" s="532"/>
      <c r="AF57" s="532"/>
      <c r="AG57" s="532"/>
      <c r="AH57" s="532"/>
      <c r="AI57" s="532"/>
      <c r="AJ57" s="532"/>
      <c r="AK57" s="532"/>
      <c r="AL57" s="532"/>
      <c r="AM57" s="532"/>
      <c r="AO57" s="130"/>
      <c r="AP57" s="130" t="str">
        <f t="shared" si="5"/>
        <v xml:space="preserve">Добавить наименование тарифа</v>
      </c>
      <c r="AQ57" s="130"/>
      <c r="AR57" s="130"/>
      <c r="AS57" s="57">
        <v>1</v>
      </c>
    </row>
    <row r="58" ht="11.5" customHeight="1">
      <c r="M58" s="53"/>
      <c r="N58" s="53"/>
      <c r="O58" s="53"/>
      <c r="P58" s="50"/>
      <c r="Q58" s="50"/>
      <c r="R58" s="50"/>
      <c r="S58" s="50"/>
      <c r="AN58" s="50"/>
      <c r="AO58" s="50"/>
      <c r="AP58" s="50"/>
      <c r="AQ58" s="50"/>
      <c r="AR58" s="50"/>
      <c r="AS58" s="50">
        <v>11</v>
      </c>
    </row>
    <row r="59" ht="28.5" customHeight="1">
      <c r="O59" s="53"/>
      <c r="S59" s="477"/>
      <c r="T59" s="575"/>
      <c r="U59" s="575"/>
      <c r="V59" s="575"/>
      <c r="W59" s="575"/>
      <c r="X59" s="575"/>
      <c r="Y59" s="575"/>
      <c r="Z59" s="575"/>
      <c r="AA59" s="575"/>
      <c r="AB59" s="575"/>
      <c r="AC59" s="575"/>
      <c r="AD59" s="575"/>
      <c r="AE59" s="575"/>
      <c r="AF59" s="575"/>
      <c r="AG59" s="575"/>
      <c r="AH59" s="575"/>
      <c r="AI59" s="575"/>
      <c r="AJ59" s="575"/>
      <c r="AK59" s="575"/>
      <c r="AL59" s="575"/>
      <c r="AM59" s="575"/>
      <c r="AS59" s="50">
        <v>27</v>
      </c>
    </row>
    <row r="60" ht="65.25" customHeight="1">
      <c r="O60" s="53"/>
      <c r="T60" s="575"/>
      <c r="U60" s="575"/>
      <c r="V60" s="575"/>
      <c r="W60" s="575"/>
      <c r="X60" s="575"/>
      <c r="Y60" s="575"/>
      <c r="Z60" s="575"/>
      <c r="AA60" s="575"/>
      <c r="AB60" s="575"/>
      <c r="AC60" s="575"/>
      <c r="AD60" s="575"/>
      <c r="AE60" s="575"/>
      <c r="AF60" s="575"/>
      <c r="AG60" s="575"/>
      <c r="AH60" s="575"/>
      <c r="AI60" s="575"/>
      <c r="AJ60" s="575"/>
      <c r="AK60" s="575"/>
      <c r="AL60" s="575"/>
      <c r="AM60" s="575"/>
      <c r="AS60" s="50">
        <v>62</v>
      </c>
    </row>
    <row r="61" ht="14.65" customHeight="1">
      <c r="O61" s="53"/>
      <c r="AS61" s="50">
        <v>14</v>
      </c>
    </row>
    <row r="62" ht="18.75" customHeight="1">
      <c r="O62" s="53"/>
      <c r="S62" s="477"/>
      <c r="T62" s="575"/>
      <c r="U62" s="575"/>
      <c r="V62" s="575"/>
      <c r="W62" s="575"/>
      <c r="X62" s="575"/>
      <c r="Y62" s="575"/>
      <c r="Z62" s="575"/>
      <c r="AA62" s="575"/>
      <c r="AB62" s="575"/>
      <c r="AC62" s="575"/>
      <c r="AD62" s="575"/>
      <c r="AE62" s="575"/>
      <c r="AF62" s="575"/>
      <c r="AG62" s="575"/>
      <c r="AH62" s="575"/>
      <c r="AI62" s="575"/>
      <c r="AJ62" s="575"/>
      <c r="AK62" s="575"/>
      <c r="AL62" s="575"/>
      <c r="AM62" s="575"/>
      <c r="AS62" s="50">
        <v>18</v>
      </c>
    </row>
    <row r="63" ht="18.75" customHeight="1">
      <c r="O63" s="53"/>
      <c r="T63" s="575"/>
      <c r="U63" s="575"/>
      <c r="V63" s="575"/>
      <c r="W63" s="575"/>
      <c r="X63" s="575"/>
      <c r="Y63" s="575"/>
      <c r="Z63" s="575"/>
      <c r="AA63" s="575"/>
      <c r="AB63" s="575"/>
      <c r="AC63" s="575"/>
      <c r="AD63" s="575"/>
      <c r="AE63" s="575"/>
      <c r="AF63" s="575"/>
      <c r="AG63" s="575"/>
      <c r="AH63" s="575"/>
      <c r="AI63" s="575"/>
      <c r="AJ63" s="575"/>
      <c r="AK63" s="575"/>
      <c r="AL63" s="575"/>
      <c r="AM63" s="575"/>
      <c r="AS63" s="50">
        <v>18</v>
      </c>
    </row>
    <row r="64" ht="29.25" customHeight="1">
      <c r="O64" s="53"/>
      <c r="S64" s="477"/>
      <c r="T64" s="575"/>
      <c r="U64" s="575"/>
      <c r="V64" s="575"/>
      <c r="W64" s="575"/>
      <c r="X64" s="575"/>
      <c r="Y64" s="575"/>
      <c r="Z64" s="575"/>
      <c r="AA64" s="575"/>
      <c r="AB64" s="575"/>
      <c r="AC64" s="575"/>
      <c r="AD64" s="575"/>
      <c r="AE64" s="575"/>
      <c r="AF64" s="575"/>
      <c r="AG64" s="575"/>
      <c r="AH64" s="575"/>
      <c r="AI64" s="575"/>
      <c r="AJ64" s="575"/>
      <c r="AK64" s="575"/>
      <c r="AL64" s="575"/>
      <c r="AM64" s="575"/>
      <c r="AS64" s="50">
        <v>28</v>
      </c>
    </row>
    <row r="65" ht="22.5" hidden="1" customHeight="1">
      <c r="A65" s="53" t="s">
        <v>81</v>
      </c>
      <c r="B65" s="53">
        <v>0</v>
      </c>
      <c r="C65" s="53">
        <v>0</v>
      </c>
      <c r="D65" s="53">
        <v>0</v>
      </c>
      <c r="E65" s="53">
        <v>0</v>
      </c>
      <c r="F65" s="53">
        <v>0</v>
      </c>
      <c r="G65" s="53">
        <v>0</v>
      </c>
      <c r="H65" s="53">
        <v>0</v>
      </c>
      <c r="I65" s="53">
        <v>0</v>
      </c>
      <c r="J65" s="53">
        <v>0</v>
      </c>
      <c r="K65" s="53">
        <v>0</v>
      </c>
      <c r="L65" s="114">
        <v>0</v>
      </c>
      <c r="M65" s="61">
        <v>0</v>
      </c>
      <c r="N65" s="61">
        <v>0</v>
      </c>
      <c r="O65" s="61">
        <v>0</v>
      </c>
      <c r="P65" s="60">
        <v>3</v>
      </c>
      <c r="Q65" s="479">
        <v>3</v>
      </c>
      <c r="R65" s="479">
        <v>3</v>
      </c>
      <c r="S65" s="86">
        <v>12</v>
      </c>
      <c r="T65" s="50">
        <v>31</v>
      </c>
      <c r="U65" s="50">
        <v>0</v>
      </c>
      <c r="V65" s="50">
        <v>0</v>
      </c>
      <c r="W65" s="50">
        <v>0</v>
      </c>
      <c r="X65" s="50">
        <v>0</v>
      </c>
      <c r="Y65" s="50">
        <v>0</v>
      </c>
      <c r="Z65" s="50">
        <v>0</v>
      </c>
      <c r="AA65" s="50">
        <v>0</v>
      </c>
      <c r="AB65" s="50">
        <v>0</v>
      </c>
      <c r="AC65" s="50">
        <v>0</v>
      </c>
      <c r="AD65" s="50">
        <v>24</v>
      </c>
      <c r="AE65" s="50">
        <v>0</v>
      </c>
      <c r="AF65" s="50">
        <v>24</v>
      </c>
      <c r="AG65" s="50">
        <v>24</v>
      </c>
      <c r="AH65" s="50">
        <v>11</v>
      </c>
      <c r="AI65" s="50">
        <v>3</v>
      </c>
      <c r="AJ65" s="50">
        <v>11</v>
      </c>
      <c r="AK65" s="50">
        <v>0</v>
      </c>
      <c r="AL65" s="50">
        <v>4</v>
      </c>
      <c r="AM65" s="50">
        <v>115</v>
      </c>
      <c r="AN65" s="57">
        <v>10</v>
      </c>
      <c r="AO65" s="57">
        <v>10</v>
      </c>
      <c r="AP65" s="57">
        <v>10</v>
      </c>
      <c r="AQ65" s="57">
        <v>10</v>
      </c>
      <c r="AR65" s="57">
        <v>10</v>
      </c>
      <c r="AS65" s="50">
        <v>23</v>
      </c>
    </row>
  </sheetData>
  <sheetProtection autoFilter="0" deleteColumns="1" deleteRows="1" formatCells="1" formatColumns="0" formatRows="0" insertColumns="1" insertHyperlinks="1" insertRows="1" objects="0" pivotTables="1" scenarios="0" selectLockedCells="0" selectUnlockedCells="0" sheet="1" sort="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K8:K9"/>
    <mergeCell ref="Z8:Z9"/>
    <mergeCell ref="AA8:AA9"/>
    <mergeCell ref="AB8:AB9"/>
    <mergeCell ref="AC8:AC9"/>
    <mergeCell ref="AH8:AH9"/>
    <mergeCell ref="AI8:AI9"/>
    <mergeCell ref="AJ8:AJ9"/>
    <mergeCell ref="AK8:AK9"/>
    <mergeCell ref="AM8:AM10"/>
    <mergeCell ref="AH17:AH18"/>
    <mergeCell ref="AI17:AI18"/>
    <mergeCell ref="AJ17:AJ18"/>
    <mergeCell ref="AK17:AK18"/>
    <mergeCell ref="S26:AJ26"/>
    <mergeCell ref="S27:AJ27"/>
    <mergeCell ref="S29:T29"/>
    <mergeCell ref="V29:AB29"/>
    <mergeCell ref="AD29:AJ29"/>
    <mergeCell ref="S30:T30"/>
    <mergeCell ref="V30:AB30"/>
    <mergeCell ref="AD30:AJ30"/>
    <mergeCell ref="S31:T31"/>
    <mergeCell ref="V31:AB31"/>
    <mergeCell ref="AD31:AJ31"/>
    <mergeCell ref="S32:T32"/>
    <mergeCell ref="V32:AB32"/>
    <mergeCell ref="AD32:AJ32"/>
    <mergeCell ref="S34:T34"/>
    <mergeCell ref="V34:AB34"/>
    <mergeCell ref="AD34:AJ34"/>
    <mergeCell ref="S35:T35"/>
    <mergeCell ref="V35:AB35"/>
    <mergeCell ref="AD35:AJ35"/>
    <mergeCell ref="V37:AC37"/>
    <mergeCell ref="AD37:AK37"/>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AH40:AJ40"/>
    <mergeCell ref="AA41:AB41"/>
    <mergeCell ref="AI41:AJ41"/>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AM49:AM51"/>
    <mergeCell ref="T59:AM59"/>
    <mergeCell ref="T60:AM60"/>
    <mergeCell ref="T62:AM62"/>
    <mergeCell ref="T63:AM63"/>
    <mergeCell ref="T64:AM64"/>
  </mergeCells>
  <dataValidations count="4" disablePrompts="0">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type="none" allowBlank="1" errorStyle="stop" imeMode="noControl" operator="between" promptTitle="checkPeriodRange" showDropDown="0" showErrorMessage="0" showInputMessage="0"/>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S131123:AM131129 S196659:AM196665 S262195:AM262201 S327731:AM327737 S393267:AM393273 S458803:AM458809 S524339:AM524345 S589875:AM589881 S655411:AM655417 S720947:AM720953 S786483:AM786489 S852019:AM852025 S917555:AM917561 S983091:AM983097 S65587:AM65593"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9C006B-002F-4E4C-9AC1-002B008700C0}" type="list" allowBlank="1" error="Выберите значение из списка" errorStyle="stop" errorTitle="Ошибка" imeMode="noControl" operator="between" showDropDown="0" showErrorMessage="1" showInputMessage="1">
          <x14:formula1>
            <xm:f>kind_of_heat_transfer</xm:f>
          </x14:formula1>
          <xm:sqref>T65585 T131121 T196657 T262193 T327729 T393265 T458801 T524337 T589873 T655409 T720945 T786481 T852017 T917553 T983089</xm:sqref>
        </x14:dataValidation>
        <x14:dataValidation xr:uid="{00E40037-0068-448E-898F-00820076003E}" type="textLength" allowBlank="1" error="Допускается ввод не более 900 символов!" errorStyle="stop" errorTitle="Ошибка" imeMode="noControl" operator="lessThanOrEqual" showDropDown="0"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830036-0057-4EDF-9272-000F00EE0062}" type="list" allowBlank="1" error="Выберите значение из списка" errorStyle="stop" errorTitle="Ошибка" imeMode="noControl" operator="between" showDropDown="0"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E600C6-00BE-4626-92D0-0024004700C8}"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9" ySplit="42" topLeftCell="AD43" activePane="bottomRight" state="frozen"/>
      <selection activeCell="A1" activeCellId="0" sqref="A1"/>
    </sheetView>
  </sheetViews>
  <sheetFormatPr defaultColWidth="10.57421875" defaultRowHeight="14.25" customHeight="1"/>
  <cols>
    <col hidden="1" min="1" max="1" style="50" width="10.57421875"/>
    <col customWidth="1" hidden="1" min="2" max="2" style="50" width="11.00390625"/>
    <col hidden="1" min="3" max="3" style="50" width="10.57421875"/>
    <col customWidth="1" hidden="1" min="4" max="4" style="50" width="11.8515625"/>
    <col customWidth="1" hidden="1" min="5" max="5" style="50" width="10.00390625"/>
    <col customWidth="1" hidden="1" min="6" max="6" style="50" width="8.7109375"/>
    <col customWidth="1" hidden="1" min="7" max="7" style="50" width="7.57421875"/>
    <col customWidth="1" hidden="1" min="8" max="8" style="50" width="11.421875"/>
    <col customWidth="1" hidden="1" min="9" max="9" style="50" width="12.00390625"/>
    <col customWidth="1" hidden="1" min="10" max="10" style="50" width="9.8515625"/>
    <col customWidth="1" hidden="1" min="11" max="11" style="50" width="11.421875"/>
    <col customWidth="1" hidden="1" min="12" max="12" style="51" width="19.140625"/>
    <col customWidth="1" hidden="1" min="13" max="14" style="60" width="12.28125"/>
    <col customWidth="1" hidden="1" min="15" max="15" style="60" width="23.421875"/>
    <col customWidth="1" min="16" max="16" style="60" width="3.00390625"/>
    <col customWidth="1" min="17" max="18" style="479" width="3.00390625"/>
    <col customWidth="1" min="19" max="19" style="86" width="12.00390625"/>
    <col customWidth="1" min="20" max="20" style="50" width="31.00390625"/>
    <col customWidth="1" min="21" max="21" style="50" width="0.140625"/>
    <col customWidth="1" hidden="1" min="22" max="22" style="50" width="24.7109375"/>
    <col customWidth="1" hidden="1" min="23" max="23" style="50" width="0.140625"/>
    <col customWidth="1" hidden="1" min="24" max="25" style="50" width="24.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24.7109375"/>
    <col customWidth="1" min="31" max="31" style="50" width="0.140625"/>
    <col customWidth="1" min="32" max="33" style="50" width="24.00390625"/>
    <col customWidth="1" min="34" max="34" style="50" width="11.00390625"/>
    <col customWidth="1" min="35" max="35" style="50" width="3.7109375"/>
    <col customWidth="1" min="36" max="36" style="50" width="11.00390625"/>
    <col customWidth="1" hidden="1" min="37" max="37" style="50" width="8.57421875"/>
    <col customWidth="1" min="38" max="38" style="50" width="4.00390625"/>
    <col customWidth="1" min="39" max="39" style="50" width="115.00390625"/>
    <col customWidth="1" min="40" max="44" style="57" width="10.00390625"/>
    <col hidden="1" min="45" max="45" style="50" width="10.57421875"/>
  </cols>
  <sheetData>
    <row r="1" ht="22.5" hidden="1" customHeight="1">
      <c r="AS1" s="50" t="s">
        <v>14</v>
      </c>
    </row>
    <row r="2" ht="21" hidden="1" customHeight="1">
      <c r="A2" s="265"/>
      <c r="B2" s="265"/>
      <c r="C2" s="265"/>
      <c r="D2" s="265"/>
      <c r="E2" s="576">
        <v>1</v>
      </c>
      <c r="F2" s="265"/>
      <c r="G2" s="265"/>
      <c r="H2" s="265"/>
      <c r="I2" s="265"/>
      <c r="J2" s="265"/>
      <c r="K2" s="265"/>
      <c r="L2" s="323"/>
      <c r="M2" s="86"/>
      <c r="N2" s="86"/>
      <c r="O2" s="86"/>
      <c r="P2" s="60"/>
      <c r="Q2" s="144"/>
      <c r="R2" s="484"/>
      <c r="S2" s="485" t="e">
        <f>INDEX(PT_DIFFERENTIATION_NUM_NTAR,MATCH(A2,PT_DIFFERENTIATION_NTAR_ID,0))</f>
        <v>#VALUE!</v>
      </c>
      <c r="T2" s="486" t="s">
        <v>119</v>
      </c>
      <c r="U2" s="487"/>
      <c r="V2" s="488"/>
      <c r="W2" s="489"/>
      <c r="X2" s="489"/>
      <c r="Y2" s="489"/>
      <c r="Z2" s="489"/>
      <c r="AA2" s="489"/>
      <c r="AB2" s="489"/>
      <c r="AC2" s="490"/>
      <c r="AD2" s="488" t="e">
        <f>INDEX(PT_DIFFERENTIATION_NTAR,MATCH(A2,PT_DIFFERENTIATION_NTAR_ID,0))</f>
        <v>#VALUE!</v>
      </c>
      <c r="AE2" s="489"/>
      <c r="AF2" s="489"/>
      <c r="AG2" s="489"/>
      <c r="AH2" s="489"/>
      <c r="AI2" s="489"/>
      <c r="AJ2" s="489"/>
      <c r="AK2" s="489"/>
      <c r="AL2" s="490"/>
      <c r="AM2" s="491" t="s">
        <v>390</v>
      </c>
      <c r="AO2" s="130"/>
      <c r="AP2" s="130" t="str">
        <f t="shared" ref="AP2:AP9" si="6">IF(T2="","",T2)</f>
        <v xml:space="preserve">Наименование тарифа</v>
      </c>
      <c r="AQ2" s="130"/>
      <c r="AR2" s="130"/>
      <c r="AS2" s="50">
        <v>0</v>
      </c>
    </row>
    <row r="3" ht="21" hidden="1" customHeight="1">
      <c r="A3" s="265"/>
      <c r="B3" s="265"/>
      <c r="C3" s="265"/>
      <c r="D3" s="265"/>
      <c r="E3" s="577"/>
      <c r="F3" s="576">
        <v>1</v>
      </c>
      <c r="G3" s="265"/>
      <c r="H3" s="265"/>
      <c r="I3" s="265"/>
      <c r="J3" s="265"/>
      <c r="K3" s="265"/>
      <c r="L3" s="323"/>
      <c r="M3" s="86"/>
      <c r="N3" s="86"/>
      <c r="O3" s="86"/>
      <c r="P3" s="51"/>
      <c r="Q3" s="493"/>
      <c r="R3" s="494"/>
      <c r="S3" s="485" t="e">
        <f>INDEX(PT_DIFFERENTIATION_NUM_TER,MATCH(B3,PT_DIFFERENTIATION_TER_ID,0))</f>
        <v>#VALUE!</v>
      </c>
      <c r="T3" s="495" t="s">
        <v>391</v>
      </c>
      <c r="U3" s="487"/>
      <c r="V3" s="488"/>
      <c r="W3" s="489"/>
      <c r="X3" s="489"/>
      <c r="Y3" s="489"/>
      <c r="Z3" s="489"/>
      <c r="AA3" s="489"/>
      <c r="AB3" s="489"/>
      <c r="AC3" s="490"/>
      <c r="AD3" s="488" t="e">
        <f>INDEX(PT_DIFFERENTIATION_TER,MATCH(B3,PT_DIFFERENTIATION_TER_ID,0))</f>
        <v>#VALUE!</v>
      </c>
      <c r="AE3" s="489"/>
      <c r="AF3" s="489"/>
      <c r="AG3" s="489"/>
      <c r="AH3" s="489"/>
      <c r="AI3" s="489"/>
      <c r="AJ3" s="489"/>
      <c r="AK3" s="489"/>
      <c r="AL3" s="490"/>
      <c r="AM3" s="491" t="s">
        <v>392</v>
      </c>
      <c r="AO3" s="130"/>
      <c r="AP3" s="130" t="str">
        <f t="shared" si="6"/>
        <v xml:space="preserve">Территория действия тарифа</v>
      </c>
      <c r="AQ3" s="130"/>
      <c r="AR3" s="130"/>
      <c r="AS3" s="50">
        <v>0</v>
      </c>
    </row>
    <row r="4" ht="23.25" hidden="1" customHeight="1">
      <c r="A4" s="265"/>
      <c r="B4" s="265"/>
      <c r="C4" s="265"/>
      <c r="D4" s="265"/>
      <c r="E4" s="577"/>
      <c r="F4" s="577"/>
      <c r="G4" s="576">
        <v>1</v>
      </c>
      <c r="H4" s="265"/>
      <c r="I4" s="265"/>
      <c r="J4" s="265"/>
      <c r="K4" s="265"/>
      <c r="L4" s="323"/>
      <c r="M4" s="86"/>
      <c r="N4" s="86"/>
      <c r="O4" s="86"/>
      <c r="P4" s="496"/>
      <c r="Q4" s="493"/>
      <c r="R4" s="494"/>
      <c r="S4" s="485" t="e">
        <f>INDEX(PT_DIFFERENTIATION_NUM_CS,MATCH(C4,PT_DIFFERENTIATION_CS_ID,0))</f>
        <v>#VALUE!</v>
      </c>
      <c r="T4" s="497" t="s">
        <v>393</v>
      </c>
      <c r="U4" s="487"/>
      <c r="V4" s="488"/>
      <c r="W4" s="489"/>
      <c r="X4" s="489"/>
      <c r="Y4" s="489"/>
      <c r="Z4" s="489"/>
      <c r="AA4" s="489"/>
      <c r="AB4" s="489"/>
      <c r="AC4" s="490"/>
      <c r="AD4" s="488" t="e">
        <f>INDEX(PT_DIFFERENTIATION_CS,MATCH(C4,PT_DIFFERENTIATION_CS_ID,0))</f>
        <v>#VALUE!</v>
      </c>
      <c r="AE4" s="489"/>
      <c r="AF4" s="489"/>
      <c r="AG4" s="489"/>
      <c r="AH4" s="489"/>
      <c r="AI4" s="489"/>
      <c r="AJ4" s="489"/>
      <c r="AK4" s="489"/>
      <c r="AL4" s="490"/>
      <c r="AM4" s="491" t="s">
        <v>394</v>
      </c>
      <c r="AO4" s="130"/>
      <c r="AP4" s="130" t="str">
        <f t="shared" si="6"/>
        <v xml:space="preserve">Наименование системы теплоснабжения </v>
      </c>
      <c r="AQ4" s="130"/>
      <c r="AR4" s="130"/>
      <c r="AS4" s="50">
        <v>0</v>
      </c>
    </row>
    <row r="5" ht="21" hidden="1" customHeight="1">
      <c r="A5" s="265"/>
      <c r="B5" s="265"/>
      <c r="C5" s="265"/>
      <c r="D5" s="265"/>
      <c r="E5" s="577"/>
      <c r="F5" s="577"/>
      <c r="G5" s="577"/>
      <c r="H5" s="576">
        <v>1</v>
      </c>
      <c r="I5" s="265"/>
      <c r="J5" s="265"/>
      <c r="K5" s="265"/>
      <c r="L5" s="323"/>
      <c r="M5" s="86"/>
      <c r="N5" s="86"/>
      <c r="O5" s="86"/>
      <c r="P5" s="496"/>
      <c r="Q5" s="493"/>
      <c r="R5" s="494"/>
      <c r="S5" s="485" t="e">
        <f>INDEX(PT_DIFFERENTIATION_NUM_IST_TE,MATCH(D5,PT_DIFFERENTIATION_IST_TE_ID,0))</f>
        <v>#VALUE!</v>
      </c>
      <c r="T5" s="498" t="s">
        <v>395</v>
      </c>
      <c r="U5" s="487"/>
      <c r="V5" s="488"/>
      <c r="W5" s="489"/>
      <c r="X5" s="489"/>
      <c r="Y5" s="489"/>
      <c r="Z5" s="489"/>
      <c r="AA5" s="489"/>
      <c r="AB5" s="489"/>
      <c r="AC5" s="490"/>
      <c r="AD5" s="488" t="e">
        <f>INDEX(PT_DIFFERENTIATION_IST_TE,MATCH(D5,PT_DIFFERENTIATION_IST_TE_ID,0))</f>
        <v>#VALUE!</v>
      </c>
      <c r="AE5" s="489"/>
      <c r="AF5" s="489"/>
      <c r="AG5" s="489"/>
      <c r="AH5" s="489"/>
      <c r="AI5" s="489"/>
      <c r="AJ5" s="489"/>
      <c r="AK5" s="489"/>
      <c r="AL5" s="490"/>
      <c r="AM5" s="491" t="s">
        <v>396</v>
      </c>
      <c r="AO5" s="130"/>
      <c r="AP5" s="130" t="str">
        <f t="shared" si="6"/>
        <v xml:space="preserve">Источник тепловой энергии  </v>
      </c>
      <c r="AQ5" s="130"/>
      <c r="AR5" s="130"/>
      <c r="AS5" s="50">
        <v>0</v>
      </c>
    </row>
    <row r="6" ht="47.25" hidden="1" customHeight="1">
      <c r="A6" s="265"/>
      <c r="B6" s="265"/>
      <c r="C6" s="265"/>
      <c r="D6" s="265"/>
      <c r="E6" s="577"/>
      <c r="F6" s="577"/>
      <c r="G6" s="577"/>
      <c r="H6" s="577"/>
      <c r="I6" s="158" t="e">
        <f>S5&amp;".1"</f>
        <v>#VALUE!</v>
      </c>
      <c r="J6" s="265"/>
      <c r="K6" s="265"/>
      <c r="L6" s="323" t="s">
        <v>397</v>
      </c>
      <c r="M6" s="50"/>
      <c r="P6" s="133">
        <v>1</v>
      </c>
      <c r="Q6" s="133"/>
      <c r="R6" s="500"/>
      <c r="S6" s="485" t="e">
        <f>$I6</f>
        <v>#VALUE!</v>
      </c>
      <c r="T6" s="501" t="s">
        <v>398</v>
      </c>
      <c r="U6" s="487"/>
      <c r="V6" s="432"/>
      <c r="W6" s="502"/>
      <c r="X6" s="502"/>
      <c r="Y6" s="502"/>
      <c r="Z6" s="502"/>
      <c r="AA6" s="502"/>
      <c r="AB6" s="502"/>
      <c r="AC6" s="503"/>
      <c r="AD6" s="432"/>
      <c r="AE6" s="502"/>
      <c r="AF6" s="502"/>
      <c r="AG6" s="502"/>
      <c r="AH6" s="502"/>
      <c r="AI6" s="502"/>
      <c r="AJ6" s="502"/>
      <c r="AK6" s="502"/>
      <c r="AL6" s="503"/>
      <c r="AM6" s="491" t="s">
        <v>399</v>
      </c>
      <c r="AO6" s="130"/>
      <c r="AP6" s="130" t="str">
        <f t="shared" si="6"/>
        <v xml:space="preserve">Схема подключения теплопотребляющей установки к коллектору источника тепловой энергии</v>
      </c>
      <c r="AQ6" s="130"/>
      <c r="AR6" s="130"/>
      <c r="AS6" s="50">
        <v>0</v>
      </c>
    </row>
    <row r="7" ht="21" hidden="1" customHeight="1">
      <c r="A7" s="265"/>
      <c r="B7" s="265"/>
      <c r="C7" s="265"/>
      <c r="D7" s="265"/>
      <c r="E7" s="577"/>
      <c r="F7" s="577"/>
      <c r="G7" s="577"/>
      <c r="H7" s="577"/>
      <c r="I7" s="73"/>
      <c r="J7" s="158" t="e">
        <f>I6&amp;".1"</f>
        <v>#VALUE!</v>
      </c>
      <c r="K7" s="265"/>
      <c r="L7" s="323" t="s">
        <v>400</v>
      </c>
      <c r="M7" s="50"/>
      <c r="N7" s="50"/>
      <c r="P7" s="133"/>
      <c r="Q7" s="133">
        <v>1</v>
      </c>
      <c r="R7" s="505"/>
      <c r="S7" s="485" t="e">
        <f>$J7</f>
        <v>#VALUE!</v>
      </c>
      <c r="T7" s="506" t="s">
        <v>401</v>
      </c>
      <c r="U7" s="487"/>
      <c r="V7" s="432"/>
      <c r="W7" s="502"/>
      <c r="X7" s="502"/>
      <c r="Y7" s="502"/>
      <c r="Z7" s="502"/>
      <c r="AA7" s="502"/>
      <c r="AB7" s="502"/>
      <c r="AC7" s="503"/>
      <c r="AD7" s="432"/>
      <c r="AE7" s="502"/>
      <c r="AF7" s="502"/>
      <c r="AG7" s="502"/>
      <c r="AH7" s="502"/>
      <c r="AI7" s="502"/>
      <c r="AJ7" s="502"/>
      <c r="AK7" s="502"/>
      <c r="AL7" s="503"/>
      <c r="AM7" s="491" t="s">
        <v>402</v>
      </c>
      <c r="AO7" s="130"/>
      <c r="AP7" s="130" t="str">
        <f t="shared" si="6"/>
        <v xml:space="preserve">Группа потребителей</v>
      </c>
      <c r="AQ7" s="130"/>
      <c r="AR7" s="130"/>
      <c r="AS7" s="50">
        <v>0</v>
      </c>
    </row>
    <row r="8" ht="21" hidden="1" customHeight="1">
      <c r="A8" s="265"/>
      <c r="B8" s="265"/>
      <c r="C8" s="265"/>
      <c r="D8" s="265"/>
      <c r="E8" s="577"/>
      <c r="F8" s="577"/>
      <c r="G8" s="577"/>
      <c r="H8" s="577"/>
      <c r="I8" s="73"/>
      <c r="J8" s="73"/>
      <c r="K8" s="158" t="e">
        <f>J7&amp;".1"</f>
        <v>#VALUE!</v>
      </c>
      <c r="L8" s="323" t="s">
        <v>403</v>
      </c>
      <c r="M8" s="50"/>
      <c r="N8" s="50"/>
      <c r="O8" s="50"/>
      <c r="P8" s="133"/>
      <c r="Q8" s="133"/>
      <c r="R8" s="505">
        <v>1</v>
      </c>
      <c r="S8" s="485" t="e">
        <f>$K8</f>
        <v>#VALUE!</v>
      </c>
      <c r="T8" s="507"/>
      <c r="U8" s="487"/>
      <c r="V8" s="508"/>
      <c r="W8" s="509"/>
      <c r="X8" s="508"/>
      <c r="Y8" s="510"/>
      <c r="Z8" s="511"/>
      <c r="AA8" s="225" t="s">
        <v>64</v>
      </c>
      <c r="AB8" s="511"/>
      <c r="AC8" s="225" t="s">
        <v>64</v>
      </c>
      <c r="AD8" s="508"/>
      <c r="AE8" s="509"/>
      <c r="AF8" s="508"/>
      <c r="AG8" s="510"/>
      <c r="AH8" s="511"/>
      <c r="AI8" s="225" t="s">
        <v>64</v>
      </c>
      <c r="AJ8" s="511"/>
      <c r="AK8" s="225" t="s">
        <v>64</v>
      </c>
      <c r="AL8" s="509"/>
      <c r="AM8" s="512" t="s">
        <v>404</v>
      </c>
      <c r="AN8" s="57" t="e">
        <f>STRCHECKDATE(V9:AL9)</f>
        <v>#NAME?</v>
      </c>
      <c r="AO8" s="130"/>
      <c r="AP8" s="130" t="str">
        <f t="shared" si="6"/>
        <v/>
      </c>
      <c r="AQ8" s="130"/>
      <c r="AR8" s="130"/>
      <c r="AS8" s="50">
        <v>0</v>
      </c>
    </row>
    <row r="9" ht="0.75" hidden="1" customHeight="1">
      <c r="A9" s="265"/>
      <c r="B9" s="265"/>
      <c r="C9" s="265"/>
      <c r="D9" s="265"/>
      <c r="E9" s="577"/>
      <c r="F9" s="577"/>
      <c r="G9" s="577"/>
      <c r="H9" s="577"/>
      <c r="I9" s="73"/>
      <c r="J9" s="73"/>
      <c r="K9" s="158"/>
      <c r="L9" s="323"/>
      <c r="M9" s="50"/>
      <c r="N9" s="50"/>
      <c r="O9" s="50"/>
      <c r="P9" s="133"/>
      <c r="Q9" s="133"/>
      <c r="R9" s="505"/>
      <c r="S9" s="459"/>
      <c r="T9" s="487"/>
      <c r="U9" s="487"/>
      <c r="V9" s="509"/>
      <c r="W9" s="509"/>
      <c r="X9" s="509"/>
      <c r="Y9" s="513" t="str">
        <f>Z8&amp;"-"&amp;AB8</f>
        <v>-</v>
      </c>
      <c r="Z9" s="514"/>
      <c r="AA9" s="225"/>
      <c r="AB9" s="514"/>
      <c r="AC9" s="225"/>
      <c r="AD9" s="509"/>
      <c r="AE9" s="509"/>
      <c r="AF9" s="509"/>
      <c r="AG9" s="513" t="str">
        <f>AH8&amp;"-"&amp;AJ8</f>
        <v>-</v>
      </c>
      <c r="AH9" s="514"/>
      <c r="AI9" s="225"/>
      <c r="AJ9" s="514"/>
      <c r="AK9" s="225"/>
      <c r="AL9" s="509"/>
      <c r="AM9" s="515"/>
      <c r="AO9" s="130"/>
      <c r="AP9" s="130" t="str">
        <f t="shared" si="6"/>
        <v/>
      </c>
      <c r="AQ9" s="130"/>
      <c r="AR9" s="130"/>
      <c r="AS9" s="50">
        <v>0</v>
      </c>
    </row>
    <row r="10" ht="15" hidden="1" customHeight="1">
      <c r="A10" s="265"/>
      <c r="B10" s="265"/>
      <c r="C10" s="265"/>
      <c r="D10" s="265"/>
      <c r="E10" s="577"/>
      <c r="F10" s="577"/>
      <c r="G10" s="577"/>
      <c r="H10" s="577"/>
      <c r="I10" s="73"/>
      <c r="J10" s="158"/>
      <c r="K10" s="265"/>
      <c r="L10" s="323"/>
      <c r="M10" s="50"/>
      <c r="N10" s="50"/>
      <c r="P10" s="133"/>
      <c r="Q10" s="133"/>
      <c r="R10" s="500"/>
      <c r="S10" s="516"/>
      <c r="T10" s="517" t="s">
        <v>405</v>
      </c>
      <c r="U10" s="215"/>
      <c r="V10" s="215"/>
      <c r="W10" s="215"/>
      <c r="X10" s="215"/>
      <c r="Y10" s="215"/>
      <c r="Z10" s="215"/>
      <c r="AA10" s="215"/>
      <c r="AB10" s="215"/>
      <c r="AC10" s="215"/>
      <c r="AD10" s="215"/>
      <c r="AE10" s="215"/>
      <c r="AF10" s="215"/>
      <c r="AG10" s="215"/>
      <c r="AH10" s="215"/>
      <c r="AI10" s="215"/>
      <c r="AJ10" s="215"/>
      <c r="AK10" s="215"/>
      <c r="AL10" s="518"/>
      <c r="AM10" s="519"/>
      <c r="AO10" s="130"/>
      <c r="AP10" s="130" t="str">
        <f t="shared" ref="AP10:AP57" si="7">IF(T10="","",T10)</f>
        <v xml:space="preserve">Добавить вид теплоносителя (параметры теплоносителя)</v>
      </c>
      <c r="AQ10" s="130"/>
      <c r="AR10" s="130"/>
      <c r="AS10" s="50">
        <v>0</v>
      </c>
    </row>
    <row r="11" ht="15" hidden="1" customHeight="1">
      <c r="A11" s="265"/>
      <c r="B11" s="265"/>
      <c r="C11" s="265"/>
      <c r="D11" s="265"/>
      <c r="E11" s="577"/>
      <c r="F11" s="577"/>
      <c r="G11" s="577"/>
      <c r="H11" s="577"/>
      <c r="I11" s="158"/>
      <c r="J11" s="265"/>
      <c r="K11" s="265"/>
      <c r="L11" s="323"/>
      <c r="M11" s="50"/>
      <c r="P11" s="133"/>
      <c r="Q11" s="133"/>
      <c r="R11" s="500"/>
      <c r="S11" s="516"/>
      <c r="T11" s="520" t="s">
        <v>406</v>
      </c>
      <c r="U11" s="215"/>
      <c r="V11" s="215"/>
      <c r="W11" s="215"/>
      <c r="X11" s="215"/>
      <c r="Y11" s="215"/>
      <c r="Z11" s="215"/>
      <c r="AA11" s="215"/>
      <c r="AB11" s="215"/>
      <c r="AC11" s="521"/>
      <c r="AD11" s="215"/>
      <c r="AE11" s="215"/>
      <c r="AF11" s="215"/>
      <c r="AG11" s="215"/>
      <c r="AH11" s="215"/>
      <c r="AI11" s="215"/>
      <c r="AJ11" s="215"/>
      <c r="AK11" s="521"/>
      <c r="AL11" s="215"/>
      <c r="AM11" s="522"/>
      <c r="AO11" s="130"/>
      <c r="AP11" s="130" t="str">
        <f t="shared" si="7"/>
        <v xml:space="preserve">Добавить группу потребителей</v>
      </c>
      <c r="AQ11" s="130"/>
      <c r="AR11" s="130"/>
      <c r="AS11" s="50">
        <v>0</v>
      </c>
    </row>
    <row r="12" ht="14.25" hidden="1" customHeight="1">
      <c r="A12" s="265"/>
      <c r="B12" s="265"/>
      <c r="C12" s="265"/>
      <c r="D12" s="265"/>
      <c r="E12" s="577"/>
      <c r="F12" s="577"/>
      <c r="G12" s="577"/>
      <c r="H12" s="576"/>
      <c r="I12" s="265"/>
      <c r="J12" s="265"/>
      <c r="K12" s="265"/>
      <c r="L12" s="323"/>
      <c r="M12" s="86"/>
      <c r="N12" s="86"/>
      <c r="O12" s="50"/>
      <c r="P12" s="144"/>
      <c r="Q12" s="523"/>
      <c r="R12" s="484"/>
      <c r="S12" s="516"/>
      <c r="T12" s="524" t="s">
        <v>407</v>
      </c>
      <c r="U12" s="215"/>
      <c r="V12" s="215"/>
      <c r="W12" s="215"/>
      <c r="X12" s="215"/>
      <c r="Y12" s="215"/>
      <c r="Z12" s="215"/>
      <c r="AA12" s="215"/>
      <c r="AB12" s="215"/>
      <c r="AC12" s="521"/>
      <c r="AD12" s="215"/>
      <c r="AE12" s="215"/>
      <c r="AF12" s="215"/>
      <c r="AG12" s="215"/>
      <c r="AH12" s="215"/>
      <c r="AI12" s="215"/>
      <c r="AJ12" s="215"/>
      <c r="AK12" s="521"/>
      <c r="AL12" s="215"/>
      <c r="AM12" s="522"/>
      <c r="AO12" s="130"/>
      <c r="AP12" s="130" t="str">
        <f t="shared" si="7"/>
        <v xml:space="preserve">Добавить схему подключения</v>
      </c>
      <c r="AQ12" s="130"/>
      <c r="AR12" s="130"/>
      <c r="AS12" s="50">
        <v>0</v>
      </c>
    </row>
    <row r="13" s="57" customFormat="1" ht="0.75" hidden="1" customHeight="1">
      <c r="A13" s="578"/>
      <c r="B13" s="578"/>
      <c r="C13" s="578"/>
      <c r="D13" s="578"/>
      <c r="E13" s="577"/>
      <c r="F13" s="577"/>
      <c r="G13" s="576"/>
      <c r="H13" s="578"/>
      <c r="I13" s="578"/>
      <c r="J13" s="578"/>
      <c r="K13" s="578"/>
      <c r="L13" s="579"/>
      <c r="M13" s="580"/>
      <c r="N13" s="580"/>
      <c r="O13" s="132"/>
      <c r="P13" s="168"/>
      <c r="Q13" s="525"/>
      <c r="R13" s="168"/>
      <c r="S13" s="526"/>
      <c r="T13" s="527" t="s">
        <v>408</v>
      </c>
      <c r="U13" s="528"/>
      <c r="V13" s="528"/>
      <c r="W13" s="528"/>
      <c r="X13" s="528"/>
      <c r="Y13" s="528"/>
      <c r="Z13" s="528"/>
      <c r="AA13" s="528"/>
      <c r="AB13" s="528"/>
      <c r="AC13" s="528"/>
      <c r="AD13" s="528"/>
      <c r="AE13" s="528"/>
      <c r="AF13" s="528"/>
      <c r="AG13" s="528"/>
      <c r="AH13" s="528"/>
      <c r="AI13" s="528"/>
      <c r="AJ13" s="528"/>
      <c r="AK13" s="528"/>
      <c r="AL13" s="528"/>
      <c r="AM13" s="528"/>
      <c r="AO13" s="130"/>
      <c r="AP13" s="130" t="str">
        <f t="shared" si="7"/>
        <v xml:space="preserve">Добавить источник для дифференциации</v>
      </c>
      <c r="AQ13" s="130"/>
      <c r="AR13" s="130"/>
      <c r="AS13" s="57">
        <v>0</v>
      </c>
    </row>
    <row r="14" s="57" customFormat="1" ht="0.75" hidden="1" customHeight="1">
      <c r="A14" s="578"/>
      <c r="B14" s="578"/>
      <c r="C14" s="578"/>
      <c r="D14" s="578"/>
      <c r="E14" s="577"/>
      <c r="F14" s="576"/>
      <c r="G14" s="578"/>
      <c r="H14" s="578"/>
      <c r="I14" s="578"/>
      <c r="J14" s="578"/>
      <c r="K14" s="578"/>
      <c r="L14" s="579"/>
      <c r="M14" s="581"/>
      <c r="N14" s="581"/>
      <c r="O14" s="132"/>
      <c r="P14" s="168"/>
      <c r="Q14" s="525"/>
      <c r="R14" s="168"/>
      <c r="S14" s="530"/>
      <c r="T14" s="531" t="s">
        <v>409</v>
      </c>
      <c r="U14" s="532"/>
      <c r="V14" s="532"/>
      <c r="W14" s="532"/>
      <c r="X14" s="532"/>
      <c r="Y14" s="532"/>
      <c r="Z14" s="532"/>
      <c r="AA14" s="532"/>
      <c r="AB14" s="532"/>
      <c r="AC14" s="532"/>
      <c r="AD14" s="532"/>
      <c r="AE14" s="532"/>
      <c r="AF14" s="532"/>
      <c r="AG14" s="532"/>
      <c r="AH14" s="532"/>
      <c r="AI14" s="532"/>
      <c r="AJ14" s="532"/>
      <c r="AK14" s="532"/>
      <c r="AL14" s="532"/>
      <c r="AM14" s="532"/>
      <c r="AO14" s="130"/>
      <c r="AP14" s="130" t="str">
        <f t="shared" si="7"/>
        <v xml:space="preserve">Добавить централизованную систему для дифференциации</v>
      </c>
      <c r="AQ14" s="130"/>
      <c r="AR14" s="130"/>
      <c r="AS14" s="57">
        <v>0</v>
      </c>
    </row>
    <row r="15" s="57" customFormat="1" ht="0.75" hidden="1" customHeight="1">
      <c r="A15" s="578"/>
      <c r="B15" s="578"/>
      <c r="C15" s="578"/>
      <c r="D15" s="578"/>
      <c r="E15" s="576"/>
      <c r="F15" s="578"/>
      <c r="G15" s="578"/>
      <c r="H15" s="578"/>
      <c r="I15" s="578"/>
      <c r="J15" s="578"/>
      <c r="K15" s="578"/>
      <c r="L15" s="579"/>
      <c r="M15" s="581"/>
      <c r="N15" s="581"/>
      <c r="O15" s="132"/>
      <c r="P15" s="168"/>
      <c r="Q15" s="525"/>
      <c r="R15" s="168"/>
      <c r="S15" s="530"/>
      <c r="T15" s="533" t="s">
        <v>410</v>
      </c>
      <c r="U15" s="532"/>
      <c r="V15" s="532"/>
      <c r="W15" s="532"/>
      <c r="X15" s="532"/>
      <c r="Y15" s="532"/>
      <c r="Z15" s="532"/>
      <c r="AA15" s="532"/>
      <c r="AB15" s="532"/>
      <c r="AC15" s="532"/>
      <c r="AD15" s="532"/>
      <c r="AE15" s="532"/>
      <c r="AF15" s="532"/>
      <c r="AG15" s="532"/>
      <c r="AH15" s="532"/>
      <c r="AI15" s="532"/>
      <c r="AJ15" s="532"/>
      <c r="AK15" s="532"/>
      <c r="AL15" s="532"/>
      <c r="AM15" s="532"/>
      <c r="AO15" s="130"/>
      <c r="AP15" s="130" t="str">
        <f t="shared" si="7"/>
        <v xml:space="preserve">Добавить территорию для дифференциации</v>
      </c>
      <c r="AQ15" s="130"/>
      <c r="AR15" s="130"/>
      <c r="AS15" s="57">
        <v>0</v>
      </c>
    </row>
    <row r="16" ht="14.25" hidden="1" customHeight="1">
      <c r="AS16" s="50">
        <v>0</v>
      </c>
    </row>
    <row r="17" ht="14.25" hidden="1" customHeight="1">
      <c r="AD17" s="534"/>
      <c r="AE17" s="534"/>
      <c r="AF17" s="534"/>
      <c r="AG17" s="535"/>
      <c r="AH17" s="536"/>
      <c r="AI17" s="537" t="s">
        <v>64</v>
      </c>
      <c r="AJ17" s="536"/>
      <c r="AK17" s="537" t="s">
        <v>64</v>
      </c>
      <c r="AS17" s="50">
        <v>0</v>
      </c>
    </row>
    <row r="18" ht="14.25" hidden="1" customHeight="1">
      <c r="AD18" s="534"/>
      <c r="AE18" s="534"/>
      <c r="AF18" s="534"/>
      <c r="AG18" s="513" t="str">
        <f>AH17&amp;"-"&amp;AJ17</f>
        <v>-</v>
      </c>
      <c r="AH18" s="537"/>
      <c r="AI18" s="537"/>
      <c r="AJ18" s="537"/>
      <c r="AK18" s="537"/>
      <c r="AS18" s="50">
        <v>0</v>
      </c>
    </row>
    <row r="19" ht="14.25" hidden="1" customHeight="1">
      <c r="AS19" s="50">
        <v>0</v>
      </c>
    </row>
    <row r="20" s="53" customFormat="1" ht="14.25" hidden="1" customHeight="1">
      <c r="A20" s="50"/>
      <c r="B20" s="50"/>
      <c r="C20" s="50"/>
      <c r="D20" s="50"/>
      <c r="E20" s="50"/>
      <c r="F20" s="50"/>
      <c r="G20" s="50"/>
      <c r="H20" s="50"/>
      <c r="I20" s="50"/>
      <c r="J20" s="50"/>
      <c r="K20" s="50"/>
      <c r="L20" s="51"/>
      <c r="M20" s="60"/>
      <c r="N20" s="60"/>
      <c r="O20" s="582" t="s">
        <v>411</v>
      </c>
      <c r="P20" s="61"/>
      <c r="Q20" s="539"/>
      <c r="R20" s="539"/>
      <c r="S20" s="483"/>
      <c r="Z20" s="538"/>
      <c r="AB20" s="538"/>
      <c r="AH20" s="538"/>
      <c r="AJ20" s="538"/>
      <c r="AN20" s="57"/>
      <c r="AO20" s="57"/>
      <c r="AP20" s="57"/>
      <c r="AQ20" s="57"/>
      <c r="AR20" s="57"/>
      <c r="AS20" s="53">
        <v>0</v>
      </c>
    </row>
    <row r="21" s="53" customFormat="1" ht="14.25" hidden="1" customHeight="1">
      <c r="A21" s="50"/>
      <c r="B21" s="50"/>
      <c r="C21" s="50"/>
      <c r="D21" s="50"/>
      <c r="E21" s="50"/>
      <c r="F21" s="50"/>
      <c r="G21" s="50"/>
      <c r="H21" s="50"/>
      <c r="I21" s="50"/>
      <c r="J21" s="50"/>
      <c r="K21" s="50"/>
      <c r="L21" s="51"/>
      <c r="M21" s="60"/>
      <c r="N21" s="60"/>
      <c r="O21" s="60"/>
      <c r="P21" s="61"/>
      <c r="Q21" s="539"/>
      <c r="R21" s="539"/>
      <c r="S21" s="483"/>
      <c r="AN21" s="57"/>
      <c r="AO21" s="57"/>
      <c r="AP21" s="57"/>
      <c r="AQ21" s="57"/>
      <c r="AR21" s="57"/>
      <c r="AS21" s="53">
        <v>0</v>
      </c>
    </row>
    <row r="22" s="53" customFormat="1" ht="14.25" hidden="1" customHeight="1">
      <c r="A22" s="50"/>
      <c r="B22" s="50"/>
      <c r="C22" s="50"/>
      <c r="D22" s="50"/>
      <c r="E22" s="50"/>
      <c r="F22" s="50"/>
      <c r="G22" s="50"/>
      <c r="H22" s="50"/>
      <c r="I22" s="50"/>
      <c r="J22" s="50"/>
      <c r="K22" s="50"/>
      <c r="L22" s="51"/>
      <c r="M22" s="60"/>
      <c r="N22" s="60"/>
      <c r="O22" s="323" t="s">
        <v>412</v>
      </c>
      <c r="P22" s="61"/>
      <c r="Q22" s="539"/>
      <c r="R22" s="539"/>
      <c r="S22" s="483"/>
      <c r="T22" s="53" t="s">
        <v>413</v>
      </c>
      <c r="AA22" s="152" t="s">
        <v>414</v>
      </c>
      <c r="AC22" s="152" t="s">
        <v>415</v>
      </c>
      <c r="AD22" s="53" t="s">
        <v>413</v>
      </c>
      <c r="AI22" s="152" t="s">
        <v>416</v>
      </c>
      <c r="AK22" s="152" t="s">
        <v>415</v>
      </c>
      <c r="AN22" s="57"/>
      <c r="AO22" s="57"/>
      <c r="AP22" s="57"/>
      <c r="AQ22" s="57"/>
      <c r="AR22" s="57"/>
      <c r="AS22" s="53">
        <v>0</v>
      </c>
    </row>
    <row r="23" ht="14.25" hidden="1" customHeight="1">
      <c r="O23" s="323"/>
      <c r="AS23" s="50">
        <v>0</v>
      </c>
    </row>
    <row r="24" ht="14.25" hidden="1" customHeight="1">
      <c r="O24" s="323"/>
      <c r="AS24" s="50">
        <v>0</v>
      </c>
    </row>
    <row r="25" ht="14.65" customHeight="1">
      <c r="Q25" s="540"/>
      <c r="R25" s="540"/>
      <c r="S25" s="541"/>
      <c r="T25" s="91"/>
      <c r="U25" s="91"/>
      <c r="V25" s="50"/>
      <c r="W25" s="50"/>
      <c r="X25" s="50"/>
      <c r="Y25" s="50"/>
      <c r="Z25" s="50"/>
      <c r="AA25" s="50"/>
      <c r="AB25" s="50"/>
      <c r="AC25" s="50"/>
      <c r="AD25" s="50"/>
      <c r="AE25" s="50"/>
      <c r="AF25" s="50"/>
      <c r="AG25" s="50"/>
      <c r="AH25" s="50"/>
      <c r="AI25" s="50"/>
      <c r="AJ25" s="50"/>
      <c r="AK25" s="50"/>
      <c r="AS25" s="50">
        <v>14</v>
      </c>
    </row>
    <row r="26" ht="14.65" customHeight="1">
      <c r="Q26" s="540"/>
      <c r="R26" s="540"/>
      <c r="S26" s="453" t="str">
        <f>IF(TEMPLATE_GROUP="P",PT_P_FORM_HEAT_4_NAME_FORM,PT_R_FORM_HEAT_21_NAME_FORM)</f>
        <v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453"/>
      <c r="U26" s="453"/>
      <c r="V26" s="453"/>
      <c r="W26" s="453"/>
      <c r="X26" s="453"/>
      <c r="Y26" s="453"/>
      <c r="Z26" s="453"/>
      <c r="AA26" s="453"/>
      <c r="AB26" s="453"/>
      <c r="AC26" s="453"/>
      <c r="AD26" s="453"/>
      <c r="AE26" s="453"/>
      <c r="AF26" s="453"/>
      <c r="AG26" s="453"/>
      <c r="AH26" s="453"/>
      <c r="AI26" s="453"/>
      <c r="AJ26" s="453"/>
      <c r="AK26" s="241"/>
      <c r="AS26" s="50">
        <v>14</v>
      </c>
    </row>
    <row r="27" ht="14.65" customHeight="1">
      <c r="Q27" s="540"/>
      <c r="R27" s="540"/>
      <c r="S27" s="304" t="str">
        <f>IF(org=0,"Не определено",org)</f>
        <v xml:space="preserve">АО "ДГК" СП "Биробиджанская ТЭЦ"</v>
      </c>
      <c r="T27" s="304"/>
      <c r="U27" s="304"/>
      <c r="V27" s="304"/>
      <c r="W27" s="304"/>
      <c r="X27" s="304"/>
      <c r="Y27" s="304"/>
      <c r="Z27" s="304"/>
      <c r="AA27" s="304"/>
      <c r="AB27" s="304"/>
      <c r="AC27" s="304"/>
      <c r="AD27" s="304"/>
      <c r="AE27" s="304"/>
      <c r="AF27" s="304"/>
      <c r="AG27" s="304"/>
      <c r="AH27" s="304"/>
      <c r="AI27" s="304"/>
      <c r="AJ27" s="304"/>
      <c r="AK27" s="241"/>
      <c r="AS27" s="50">
        <v>14</v>
      </c>
    </row>
    <row r="28" ht="14.25" hidden="1" customHeight="1">
      <c r="Q28" s="540"/>
      <c r="R28" s="540"/>
      <c r="S28" s="541"/>
      <c r="T28" s="91"/>
      <c r="U28" s="91"/>
      <c r="V28" s="542"/>
      <c r="W28" s="542"/>
      <c r="X28" s="542"/>
      <c r="Y28" s="542"/>
      <c r="Z28" s="542"/>
      <c r="AA28" s="542"/>
      <c r="AB28" s="542"/>
      <c r="AC28" s="542"/>
      <c r="AD28" s="542"/>
      <c r="AE28" s="542"/>
      <c r="AF28" s="542"/>
      <c r="AG28" s="542"/>
      <c r="AH28" s="542"/>
      <c r="AI28" s="542"/>
      <c r="AJ28" s="542"/>
      <c r="AK28" s="542"/>
      <c r="AL28" s="50"/>
      <c r="AS28" s="50">
        <v>0</v>
      </c>
    </row>
    <row r="29" s="185" customFormat="1" ht="25.5" hidden="1" customHeight="1">
      <c r="A29" s="107"/>
      <c r="B29" s="107"/>
      <c r="C29" s="107"/>
      <c r="D29" s="107"/>
      <c r="E29" s="107"/>
      <c r="F29" s="107"/>
      <c r="G29" s="107"/>
      <c r="H29" s="107"/>
      <c r="I29" s="107"/>
      <c r="J29" s="107"/>
      <c r="K29" s="107"/>
      <c r="L29" s="323"/>
      <c r="M29" s="107"/>
      <c r="N29" s="107"/>
      <c r="O29" s="107"/>
      <c r="S29" s="543" t="s">
        <v>41</v>
      </c>
      <c r="T29" s="543"/>
      <c r="U29" s="544"/>
      <c r="V29" s="545" t="str">
        <f>IF(TITLE_NAME_OR_PR_CHANGE="",IF(TITLE_NAME_OR_PR="","",TITLE_NAME_OR_PR),TITLE_NAME_OR_PR_CHANGE)</f>
        <v/>
      </c>
      <c r="W29" s="545"/>
      <c r="X29" s="545"/>
      <c r="Y29" s="545"/>
      <c r="Z29" s="545"/>
      <c r="AA29" s="545"/>
      <c r="AB29" s="545"/>
      <c r="AC29" s="50"/>
      <c r="AD29" s="545" t="str">
        <f>IF(TITLE_NAME_OR_PR_CHANGE="",IF(TITLE_NAME_OR_PR="","",TITLE_NAME_OR_PR),TITLE_NAME_OR_PR_CHANGE)</f>
        <v/>
      </c>
      <c r="AE29" s="545"/>
      <c r="AF29" s="545"/>
      <c r="AG29" s="545"/>
      <c r="AH29" s="545"/>
      <c r="AI29" s="545"/>
      <c r="AJ29" s="545"/>
      <c r="AK29" s="50"/>
      <c r="AL29" s="50"/>
      <c r="AM29" s="546"/>
      <c r="AN29" s="130"/>
      <c r="AO29" s="130"/>
      <c r="AP29" s="130"/>
      <c r="AQ29" s="130"/>
      <c r="AR29" s="130"/>
      <c r="AS29" s="185">
        <v>0</v>
      </c>
    </row>
    <row r="30" s="185" customFormat="1" ht="18.75" hidden="1" customHeight="1">
      <c r="A30" s="107"/>
      <c r="B30" s="107"/>
      <c r="C30" s="107"/>
      <c r="D30" s="107"/>
      <c r="E30" s="107"/>
      <c r="F30" s="107"/>
      <c r="G30" s="107"/>
      <c r="H30" s="107"/>
      <c r="I30" s="107"/>
      <c r="J30" s="107"/>
      <c r="K30" s="107"/>
      <c r="L30" s="323"/>
      <c r="M30" s="107"/>
      <c r="N30" s="107"/>
      <c r="O30" s="107"/>
      <c r="S30" s="543" t="s">
        <v>417</v>
      </c>
      <c r="T30" s="543"/>
      <c r="U30" s="544"/>
      <c r="V30" s="547" t="str">
        <f>IF(TITLE_DATE_PR_CHANGE="",IF(TITLE_DATE_PR="","",TITLE_DATE_PR),TITLE_DATE_PR_CHANGE)</f>
        <v/>
      </c>
      <c r="W30" s="547"/>
      <c r="X30" s="547"/>
      <c r="Y30" s="547"/>
      <c r="Z30" s="547"/>
      <c r="AA30" s="547"/>
      <c r="AB30" s="547"/>
      <c r="AC30" s="50"/>
      <c r="AD30" s="547" t="str">
        <f>IF(TITLE_DATE_PR_CHANGE="",IF(TITLE_DATE_PR="","",TITLE_DATE_PR),TITLE_DATE_PR_CHANGE)</f>
        <v/>
      </c>
      <c r="AE30" s="547"/>
      <c r="AF30" s="547"/>
      <c r="AG30" s="547"/>
      <c r="AH30" s="547"/>
      <c r="AI30" s="547"/>
      <c r="AJ30" s="547"/>
      <c r="AK30" s="50"/>
      <c r="AL30" s="50"/>
      <c r="AM30" s="546"/>
      <c r="AN30" s="130"/>
      <c r="AO30" s="130"/>
      <c r="AP30" s="130"/>
      <c r="AQ30" s="130"/>
      <c r="AR30" s="130"/>
      <c r="AS30" s="185">
        <v>0</v>
      </c>
    </row>
    <row r="31" s="185" customFormat="1" ht="18.75" hidden="1" customHeight="1">
      <c r="A31" s="107"/>
      <c r="B31" s="107"/>
      <c r="C31" s="107"/>
      <c r="D31" s="107"/>
      <c r="E31" s="107"/>
      <c r="F31" s="107"/>
      <c r="G31" s="107"/>
      <c r="H31" s="107"/>
      <c r="I31" s="107"/>
      <c r="J31" s="107"/>
      <c r="K31" s="107"/>
      <c r="L31" s="323"/>
      <c r="M31" s="107"/>
      <c r="N31" s="107"/>
      <c r="O31" s="107"/>
      <c r="S31" s="543" t="s">
        <v>418</v>
      </c>
      <c r="T31" s="543"/>
      <c r="U31" s="544"/>
      <c r="V31" s="545" t="str">
        <f>IF(TITLE_NUMBER_PR_CHANGE="",IF(TITLE_NUMBER_PR="","",TITLE_NUMBER_PR),TITLE_NUMBER_PR_CHANGE)</f>
        <v/>
      </c>
      <c r="W31" s="545"/>
      <c r="X31" s="545"/>
      <c r="Y31" s="545"/>
      <c r="Z31" s="545"/>
      <c r="AA31" s="545"/>
      <c r="AB31" s="545"/>
      <c r="AC31" s="50"/>
      <c r="AD31" s="545" t="str">
        <f>IF(TITLE_NUMBER_PR_CHANGE="",IF(TITLE_NUMBER_PR="","",TITLE_NUMBER_PR),TITLE_NUMBER_PR_CHANGE)</f>
        <v/>
      </c>
      <c r="AE31" s="545"/>
      <c r="AF31" s="545"/>
      <c r="AG31" s="545"/>
      <c r="AH31" s="545"/>
      <c r="AI31" s="545"/>
      <c r="AJ31" s="545"/>
      <c r="AK31" s="50"/>
      <c r="AL31" s="50"/>
      <c r="AM31" s="546"/>
      <c r="AN31" s="130"/>
      <c r="AO31" s="130"/>
      <c r="AP31" s="130"/>
      <c r="AQ31" s="130"/>
      <c r="AR31" s="130"/>
      <c r="AS31" s="185">
        <v>0</v>
      </c>
    </row>
    <row r="32" s="185" customFormat="1" ht="18.75" hidden="1" customHeight="1">
      <c r="A32" s="107"/>
      <c r="B32" s="107"/>
      <c r="C32" s="107"/>
      <c r="D32" s="107"/>
      <c r="E32" s="107"/>
      <c r="F32" s="107"/>
      <c r="G32" s="107"/>
      <c r="H32" s="107"/>
      <c r="I32" s="107"/>
      <c r="J32" s="107"/>
      <c r="K32" s="107"/>
      <c r="L32" s="323"/>
      <c r="M32" s="107"/>
      <c r="N32" s="107"/>
      <c r="O32" s="107"/>
      <c r="S32" s="543" t="s">
        <v>42</v>
      </c>
      <c r="T32" s="543"/>
      <c r="U32" s="544"/>
      <c r="V32" s="545" t="str">
        <f>IF(TITLE_IST_PUB_CHANGE="",IF(TITLE_IST_PUB="","",TITLE_IST_PUB),TITLE_IST_PUB_CHANGE)</f>
        <v/>
      </c>
      <c r="W32" s="545"/>
      <c r="X32" s="545"/>
      <c r="Y32" s="545"/>
      <c r="Z32" s="545"/>
      <c r="AA32" s="545"/>
      <c r="AB32" s="545"/>
      <c r="AC32" s="50"/>
      <c r="AD32" s="545" t="str">
        <f>IF(TITLE_IST_PUB_CHANGE="",IF(TITLE_IST_PUB="","",TITLE_IST_PUB),TITLE_IST_PUB_CHANGE)</f>
        <v/>
      </c>
      <c r="AE32" s="545"/>
      <c r="AF32" s="545"/>
      <c r="AG32" s="545"/>
      <c r="AH32" s="545"/>
      <c r="AI32" s="545"/>
      <c r="AJ32" s="545"/>
      <c r="AK32" s="50"/>
      <c r="AL32" s="50"/>
      <c r="AM32" s="546"/>
      <c r="AN32" s="130"/>
      <c r="AO32" s="130"/>
      <c r="AP32" s="130"/>
      <c r="AQ32" s="130"/>
      <c r="AR32" s="130"/>
      <c r="AS32" s="185">
        <v>0</v>
      </c>
    </row>
    <row r="33" ht="14.25" hidden="1" customHeight="1">
      <c r="Q33" s="540"/>
      <c r="R33" s="540"/>
      <c r="S33" s="541"/>
      <c r="T33" s="91"/>
      <c r="U33" s="91"/>
      <c r="V33" s="542"/>
      <c r="W33" s="542"/>
      <c r="X33" s="542"/>
      <c r="Y33" s="542"/>
      <c r="Z33" s="542"/>
      <c r="AA33" s="542"/>
      <c r="AB33" s="542"/>
      <c r="AC33" s="542"/>
      <c r="AD33" s="542"/>
      <c r="AE33" s="542"/>
      <c r="AF33" s="542"/>
      <c r="AG33" s="542"/>
      <c r="AH33" s="542"/>
      <c r="AI33" s="542"/>
      <c r="AJ33" s="542"/>
      <c r="AK33" s="542"/>
      <c r="AL33" s="50"/>
      <c r="AS33" s="50">
        <v>0</v>
      </c>
    </row>
    <row r="34" s="185" customFormat="1" ht="18.75" hidden="1" customHeight="1">
      <c r="A34" s="107"/>
      <c r="B34" s="107"/>
      <c r="C34" s="107"/>
      <c r="D34" s="107"/>
      <c r="E34" s="107"/>
      <c r="F34" s="107"/>
      <c r="G34" s="107"/>
      <c r="H34" s="107"/>
      <c r="I34" s="107"/>
      <c r="J34" s="107"/>
      <c r="K34" s="107"/>
      <c r="L34" s="323"/>
      <c r="M34" s="107"/>
      <c r="N34" s="107"/>
      <c r="O34" s="107"/>
      <c r="S34" s="543" t="s">
        <v>419</v>
      </c>
      <c r="T34" s="543"/>
      <c r="U34" s="544"/>
      <c r="V34" s="547" t="str">
        <f>IF(TITLE_DATE_PR_CHANGE="",IF(TITLE_DATE_PR="","",TITLE_DATE_PR),TITLE_DATE_PR_CHANGE)</f>
        <v/>
      </c>
      <c r="W34" s="547"/>
      <c r="X34" s="547"/>
      <c r="Y34" s="547"/>
      <c r="Z34" s="547"/>
      <c r="AA34" s="547"/>
      <c r="AB34" s="547"/>
      <c r="AC34" s="50"/>
      <c r="AD34" s="547" t="str">
        <f>IF(TITLE_DATE_PR_CHANGE="",IF(TITLE_DATE_PR="","",TITLE_DATE_PR),TITLE_DATE_PR_CHANGE)</f>
        <v/>
      </c>
      <c r="AE34" s="547"/>
      <c r="AF34" s="547"/>
      <c r="AG34" s="547"/>
      <c r="AH34" s="547"/>
      <c r="AI34" s="547"/>
      <c r="AJ34" s="547"/>
      <c r="AK34" s="50"/>
      <c r="AL34" s="50"/>
      <c r="AM34" s="546"/>
      <c r="AN34" s="130"/>
      <c r="AO34" s="130"/>
      <c r="AP34" s="130"/>
      <c r="AQ34" s="130"/>
      <c r="AR34" s="130"/>
      <c r="AS34" s="185">
        <v>0</v>
      </c>
    </row>
    <row r="35" s="185" customFormat="1" ht="18.75" hidden="1" customHeight="1">
      <c r="A35" s="107"/>
      <c r="B35" s="107"/>
      <c r="C35" s="107"/>
      <c r="D35" s="107"/>
      <c r="E35" s="107"/>
      <c r="F35" s="107"/>
      <c r="G35" s="107"/>
      <c r="H35" s="107"/>
      <c r="I35" s="107"/>
      <c r="J35" s="107"/>
      <c r="K35" s="107"/>
      <c r="L35" s="323"/>
      <c r="M35" s="107"/>
      <c r="N35" s="107"/>
      <c r="O35" s="107"/>
      <c r="S35" s="543" t="s">
        <v>420</v>
      </c>
      <c r="T35" s="543"/>
      <c r="U35" s="544"/>
      <c r="V35" s="545" t="str">
        <f>IF(TITLE_NUMBER_PR_CHANGE="",IF(TITLE_NUMBER_PR="","",TITLE_NUMBER_PR),TITLE_NUMBER_PR_CHANGE)</f>
        <v/>
      </c>
      <c r="W35" s="545"/>
      <c r="X35" s="545"/>
      <c r="Y35" s="545"/>
      <c r="Z35" s="545"/>
      <c r="AA35" s="545"/>
      <c r="AB35" s="545"/>
      <c r="AC35" s="50"/>
      <c r="AD35" s="545" t="str">
        <f>IF(TITLE_NUMBER_PR_CHANGE="",IF(TITLE_NUMBER_PR="","",TITLE_NUMBER_PR),TITLE_NUMBER_PR_CHANGE)</f>
        <v/>
      </c>
      <c r="AE35" s="545"/>
      <c r="AF35" s="545"/>
      <c r="AG35" s="545"/>
      <c r="AH35" s="545"/>
      <c r="AI35" s="545"/>
      <c r="AJ35" s="545"/>
      <c r="AK35" s="50"/>
      <c r="AL35" s="50"/>
      <c r="AM35" s="546"/>
      <c r="AN35" s="130"/>
      <c r="AO35" s="130"/>
      <c r="AP35" s="130"/>
      <c r="AQ35" s="130"/>
      <c r="AR35" s="130"/>
      <c r="AS35" s="185">
        <v>0</v>
      </c>
    </row>
    <row r="36" s="185" customFormat="1" ht="0" customHeight="1">
      <c r="A36" s="107"/>
      <c r="B36" s="107"/>
      <c r="C36" s="107"/>
      <c r="D36" s="107"/>
      <c r="E36" s="107"/>
      <c r="F36" s="107"/>
      <c r="G36" s="107"/>
      <c r="H36" s="107"/>
      <c r="I36" s="107"/>
      <c r="J36" s="107"/>
      <c r="K36" s="107"/>
      <c r="L36" s="323"/>
      <c r="M36" s="107"/>
      <c r="N36" s="107"/>
      <c r="O36" s="107"/>
      <c r="S36" s="50"/>
      <c r="T36" s="50"/>
      <c r="U36" s="141"/>
      <c r="V36" s="50"/>
      <c r="W36" s="50"/>
      <c r="X36" s="50"/>
      <c r="Y36" s="50"/>
      <c r="Z36" s="50"/>
      <c r="AA36" s="50"/>
      <c r="AB36" s="50"/>
      <c r="AC36" s="57" t="s">
        <v>421</v>
      </c>
      <c r="AD36" s="50"/>
      <c r="AE36" s="50"/>
      <c r="AF36" s="50"/>
      <c r="AG36" s="50"/>
      <c r="AH36" s="50"/>
      <c r="AI36" s="50"/>
      <c r="AJ36" s="50"/>
      <c r="AK36" s="57" t="s">
        <v>421</v>
      </c>
      <c r="AN36" s="130"/>
      <c r="AO36" s="130"/>
      <c r="AP36" s="130"/>
      <c r="AQ36" s="130"/>
      <c r="AR36" s="130"/>
      <c r="AS36" s="185">
        <v>0</v>
      </c>
    </row>
    <row r="37" ht="14.65" customHeight="1">
      <c r="Q37" s="540"/>
      <c r="R37" s="540"/>
      <c r="S37" s="541"/>
      <c r="T37" s="91"/>
      <c r="U37" s="548"/>
      <c r="V37" s="549"/>
      <c r="W37" s="549"/>
      <c r="X37" s="549"/>
      <c r="Y37" s="549"/>
      <c r="Z37" s="549"/>
      <c r="AA37" s="549"/>
      <c r="AB37" s="549"/>
      <c r="AC37" s="549"/>
      <c r="AD37" s="549"/>
      <c r="AE37" s="549"/>
      <c r="AF37" s="549"/>
      <c r="AG37" s="549"/>
      <c r="AH37" s="549"/>
      <c r="AI37" s="549"/>
      <c r="AJ37" s="549"/>
      <c r="AK37" s="549"/>
      <c r="AS37" s="50">
        <v>14</v>
      </c>
    </row>
    <row r="38" ht="14.65" customHeight="1">
      <c r="Q38" s="540"/>
      <c r="R38" s="540"/>
      <c r="S38" s="158" t="s">
        <v>294</v>
      </c>
      <c r="T38" s="158"/>
      <c r="U38" s="158"/>
      <c r="V38" s="158"/>
      <c r="W38" s="158"/>
      <c r="X38" s="158"/>
      <c r="Y38" s="158"/>
      <c r="Z38" s="158"/>
      <c r="AA38" s="158"/>
      <c r="AB38" s="158"/>
      <c r="AC38" s="158"/>
      <c r="AD38" s="158"/>
      <c r="AE38" s="158"/>
      <c r="AF38" s="158"/>
      <c r="AG38" s="158"/>
      <c r="AH38" s="158"/>
      <c r="AI38" s="158"/>
      <c r="AJ38" s="158"/>
      <c r="AK38" s="158"/>
      <c r="AL38" s="158"/>
      <c r="AM38" s="158" t="s">
        <v>295</v>
      </c>
      <c r="AS38" s="50">
        <v>14</v>
      </c>
    </row>
    <row r="39" ht="14.65" customHeight="1">
      <c r="Q39" s="540"/>
      <c r="R39" s="540"/>
      <c r="S39" s="485" t="s">
        <v>87</v>
      </c>
      <c r="T39" s="348" t="s">
        <v>422</v>
      </c>
      <c r="U39" s="550"/>
      <c r="V39" s="551" t="s">
        <v>423</v>
      </c>
      <c r="W39" s="552"/>
      <c r="X39" s="552"/>
      <c r="Y39" s="552"/>
      <c r="Z39" s="552"/>
      <c r="AA39" s="552"/>
      <c r="AB39" s="553"/>
      <c r="AC39" s="554" t="s">
        <v>424</v>
      </c>
      <c r="AD39" s="551" t="s">
        <v>423</v>
      </c>
      <c r="AE39" s="552"/>
      <c r="AF39" s="552"/>
      <c r="AG39" s="552"/>
      <c r="AH39" s="552"/>
      <c r="AI39" s="552"/>
      <c r="AJ39" s="553"/>
      <c r="AK39" s="554" t="s">
        <v>425</v>
      </c>
      <c r="AL39" s="555" t="s">
        <v>426</v>
      </c>
      <c r="AM39" s="158"/>
      <c r="AS39" s="50">
        <v>14</v>
      </c>
    </row>
    <row r="40" ht="35.649999999999999" customHeight="1">
      <c r="Q40" s="540"/>
      <c r="R40" s="540"/>
      <c r="S40" s="485"/>
      <c r="T40" s="348"/>
      <c r="U40" s="556"/>
      <c r="V40" s="308" t="s">
        <v>427</v>
      </c>
      <c r="W40" s="557" t="s">
        <v>428</v>
      </c>
      <c r="X40" s="73" t="s">
        <v>429</v>
      </c>
      <c r="Y40" s="72"/>
      <c r="Z40" s="73" t="s">
        <v>443</v>
      </c>
      <c r="AA40" s="146"/>
      <c r="AB40" s="72"/>
      <c r="AC40" s="558"/>
      <c r="AD40" s="308" t="s">
        <v>427</v>
      </c>
      <c r="AE40" s="557" t="s">
        <v>428</v>
      </c>
      <c r="AF40" s="73" t="s">
        <v>429</v>
      </c>
      <c r="AG40" s="72"/>
      <c r="AH40" s="73" t="s">
        <v>430</v>
      </c>
      <c r="AI40" s="146"/>
      <c r="AJ40" s="72"/>
      <c r="AK40" s="558"/>
      <c r="AL40" s="559"/>
      <c r="AM40" s="158"/>
      <c r="AS40" s="50">
        <v>34</v>
      </c>
    </row>
    <row r="41" ht="35.649999999999999" customHeight="1">
      <c r="A41" s="107"/>
      <c r="B41" s="107" t="s">
        <v>131</v>
      </c>
      <c r="C41" s="107" t="s">
        <v>132</v>
      </c>
      <c r="D41" s="107" t="s">
        <v>133</v>
      </c>
      <c r="E41" s="323" t="s">
        <v>431</v>
      </c>
      <c r="F41" s="323" t="s">
        <v>432</v>
      </c>
      <c r="G41" s="323" t="s">
        <v>433</v>
      </c>
      <c r="H41" s="323" t="s">
        <v>434</v>
      </c>
      <c r="I41" s="323" t="s">
        <v>435</v>
      </c>
      <c r="J41" s="323" t="s">
        <v>436</v>
      </c>
      <c r="K41" s="323" t="s">
        <v>437</v>
      </c>
      <c r="L41" s="323" t="s">
        <v>412</v>
      </c>
      <c r="Q41" s="540"/>
      <c r="R41" s="540"/>
      <c r="S41" s="485"/>
      <c r="T41" s="348"/>
      <c r="U41" s="560"/>
      <c r="V41" s="163"/>
      <c r="W41" s="561"/>
      <c r="X41" s="247" t="s">
        <v>438</v>
      </c>
      <c r="Y41" s="247" t="s">
        <v>439</v>
      </c>
      <c r="Z41" s="247" t="s">
        <v>440</v>
      </c>
      <c r="AA41" s="416" t="s">
        <v>441</v>
      </c>
      <c r="AB41" s="418"/>
      <c r="AC41" s="562"/>
      <c r="AD41" s="163"/>
      <c r="AE41" s="561"/>
      <c r="AF41" s="247" t="s">
        <v>438</v>
      </c>
      <c r="AG41" s="247" t="s">
        <v>439</v>
      </c>
      <c r="AH41" s="247" t="s">
        <v>440</v>
      </c>
      <c r="AI41" s="416" t="s">
        <v>441</v>
      </c>
      <c r="AJ41" s="418"/>
      <c r="AK41" s="562"/>
      <c r="AL41" s="563"/>
      <c r="AM41" s="158"/>
      <c r="AS41" s="50">
        <v>34</v>
      </c>
    </row>
    <row r="42" s="132" customFormat="1" ht="11.25" hidden="1" customHeight="1">
      <c r="A42" s="107"/>
      <c r="B42" s="107"/>
      <c r="C42" s="107"/>
      <c r="D42" s="107"/>
      <c r="E42" s="107"/>
      <c r="F42" s="107"/>
      <c r="G42" s="107"/>
      <c r="H42" s="107"/>
      <c r="I42" s="107"/>
      <c r="J42" s="107"/>
      <c r="K42" s="107"/>
      <c r="L42" s="323"/>
      <c r="M42" s="60"/>
      <c r="N42" s="60"/>
      <c r="O42" s="60"/>
      <c r="P42" s="564"/>
      <c r="Q42" s="565"/>
      <c r="R42" s="566">
        <v>1</v>
      </c>
      <c r="S42" s="567" t="s">
        <v>105</v>
      </c>
      <c r="T42" s="568" t="s">
        <v>106</v>
      </c>
      <c r="U42" s="569" t="str">
        <f ca="1">OFFSET(U42,0,-1)</f>
        <v>2</v>
      </c>
      <c r="V42" s="570">
        <f ca="1">OFFSET(V42,0,-1)+1</f>
        <v>3</v>
      </c>
      <c r="W42" s="570"/>
      <c r="X42" s="570">
        <f ca="1">OFFSET(X42,0,-1)+1</f>
        <v>1</v>
      </c>
      <c r="Y42" s="570">
        <f ca="1">OFFSET(Y42,0,-1)+1</f>
        <v>2</v>
      </c>
      <c r="Z42" s="570">
        <f ca="1">OFFSET(Z42,0,-1)+1</f>
        <v>3</v>
      </c>
      <c r="AA42" s="570">
        <f ca="1">OFFSET(AA42,0,-1)+1</f>
        <v>4</v>
      </c>
      <c r="AB42" s="570"/>
      <c r="AC42" s="570">
        <f ca="1">OFFSET(AC42,0,-2)+1</f>
        <v>5</v>
      </c>
      <c r="AD42" s="570">
        <f ca="1">OFFSET(AD42,0,-1)+1</f>
        <v>6</v>
      </c>
      <c r="AE42" s="570"/>
      <c r="AF42" s="570">
        <f ca="1">OFFSET(AF42,0,-1)+1</f>
        <v>1</v>
      </c>
      <c r="AG42" s="570">
        <f ca="1">OFFSET(AG42,0,-1)+1</f>
        <v>2</v>
      </c>
      <c r="AH42" s="570">
        <f ca="1">OFFSET(AH42,0,-1)+1</f>
        <v>3</v>
      </c>
      <c r="AI42" s="570">
        <f ca="1">OFFSET(AI42,0,-1)+1</f>
        <v>4</v>
      </c>
      <c r="AJ42" s="570"/>
      <c r="AK42" s="570">
        <f ca="1">OFFSET(AK42,0,-2)+1</f>
        <v>5</v>
      </c>
      <c r="AL42" s="569">
        <f ca="1">OFFSET(AL42,0,-1)</f>
        <v>5</v>
      </c>
      <c r="AM42" s="570">
        <f ca="1">OFFSET(AM42,0,-1)+1</f>
        <v>6</v>
      </c>
      <c r="AN42" s="57"/>
      <c r="AO42" s="57"/>
      <c r="AP42" s="57"/>
      <c r="AQ42" s="57"/>
      <c r="AR42" s="57"/>
      <c r="AS42" s="132">
        <v>0</v>
      </c>
    </row>
    <row r="43" ht="22" customHeight="1">
      <c r="A43" s="265" t="s">
        <v>206</v>
      </c>
      <c r="B43" s="265"/>
      <c r="C43" s="265"/>
      <c r="D43" s="265"/>
      <c r="E43" s="576">
        <v>1</v>
      </c>
      <c r="F43" s="265"/>
      <c r="G43" s="265"/>
      <c r="H43" s="265"/>
      <c r="I43" s="265"/>
      <c r="J43" s="265"/>
      <c r="K43" s="265"/>
      <c r="L43" s="323"/>
      <c r="M43" s="86"/>
      <c r="N43" s="86"/>
      <c r="O43" s="86"/>
      <c r="P43" s="60"/>
      <c r="Q43" s="144"/>
      <c r="R43" s="484"/>
      <c r="S43" s="485">
        <f>INDEX(PT_DIFFERENTIATION_NUM_NTAR,MATCH(A43,PT_DIFFERENTIATION_NTAR_ID,0))</f>
        <v>0</v>
      </c>
      <c r="T43" s="486" t="s">
        <v>119</v>
      </c>
      <c r="U43" s="487"/>
      <c r="V43" s="488"/>
      <c r="W43" s="489"/>
      <c r="X43" s="489"/>
      <c r="Y43" s="489"/>
      <c r="Z43" s="489"/>
      <c r="AA43" s="489"/>
      <c r="AB43" s="489"/>
      <c r="AC43" s="490"/>
      <c r="AD43" s="488" t="str">
        <f>INDEX(PT_DIFFERENTIATION_NTAR,MATCH(A43,PT_DIFFERENTIATION_NTAR_ID,0))</f>
        <v/>
      </c>
      <c r="AE43" s="489"/>
      <c r="AF43" s="489"/>
      <c r="AG43" s="489"/>
      <c r="AH43" s="489"/>
      <c r="AI43" s="489"/>
      <c r="AJ43" s="489"/>
      <c r="AK43" s="489"/>
      <c r="AL43" s="490"/>
      <c r="AM43" s="49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30"/>
      <c r="AP43" s="130" t="str">
        <f t="shared" si="7"/>
        <v xml:space="preserve">Наименование тарифа</v>
      </c>
      <c r="AQ43" s="130"/>
      <c r="AR43" s="130"/>
      <c r="AS43" s="50">
        <v>21</v>
      </c>
    </row>
    <row r="44" ht="22" customHeight="1">
      <c r="A44" s="265" t="s">
        <v>206</v>
      </c>
      <c r="B44" s="265" t="s">
        <v>207</v>
      </c>
      <c r="C44" s="265"/>
      <c r="D44" s="265"/>
      <c r="E44" s="577"/>
      <c r="F44" s="576">
        <v>1</v>
      </c>
      <c r="G44" s="265"/>
      <c r="H44" s="265"/>
      <c r="I44" s="265"/>
      <c r="J44" s="265"/>
      <c r="K44" s="265"/>
      <c r="L44" s="323"/>
      <c r="M44" s="86"/>
      <c r="N44" s="86"/>
      <c r="O44" s="86"/>
      <c r="P44" s="51"/>
      <c r="Q44" s="493"/>
      <c r="R44" s="494"/>
      <c r="S44" s="485" t="str">
        <f>INDEX(PT_DIFFERENTIATION_NUM_TER,MATCH(B44,PT_DIFFERENTIATION_TER_ID,0))</f>
        <v>.</v>
      </c>
      <c r="T44" s="495" t="s">
        <v>391</v>
      </c>
      <c r="U44" s="487"/>
      <c r="V44" s="488"/>
      <c r="W44" s="489"/>
      <c r="X44" s="489"/>
      <c r="Y44" s="489"/>
      <c r="Z44" s="489"/>
      <c r="AA44" s="489"/>
      <c r="AB44" s="489"/>
      <c r="AC44" s="490"/>
      <c r="AD44" s="488" t="str">
        <f>INDEX(PT_DIFFERENTIATION_TER,MATCH(B44,PT_DIFFERENTIATION_TER_ID,0))</f>
        <v/>
      </c>
      <c r="AE44" s="489"/>
      <c r="AF44" s="489"/>
      <c r="AG44" s="489"/>
      <c r="AH44" s="489"/>
      <c r="AI44" s="489"/>
      <c r="AJ44" s="489"/>
      <c r="AK44" s="489"/>
      <c r="AL44" s="490"/>
      <c r="AM44" s="491" t="s">
        <v>392</v>
      </c>
      <c r="AO44" s="130"/>
      <c r="AP44" s="130" t="str">
        <f t="shared" si="7"/>
        <v xml:space="preserve">Территория действия тарифа</v>
      </c>
      <c r="AQ44" s="130"/>
      <c r="AR44" s="130"/>
      <c r="AS44" s="50">
        <v>21</v>
      </c>
    </row>
    <row r="45" ht="24" customHeight="1">
      <c r="A45" s="265" t="s">
        <v>206</v>
      </c>
      <c r="B45" s="265" t="s">
        <v>207</v>
      </c>
      <c r="C45" s="265" t="s">
        <v>208</v>
      </c>
      <c r="D45" s="265"/>
      <c r="E45" s="577"/>
      <c r="F45" s="577"/>
      <c r="G45" s="576">
        <v>1</v>
      </c>
      <c r="H45" s="265"/>
      <c r="I45" s="265"/>
      <c r="J45" s="265"/>
      <c r="K45" s="265"/>
      <c r="L45" s="323"/>
      <c r="M45" s="86"/>
      <c r="N45" s="86"/>
      <c r="O45" s="86"/>
      <c r="P45" s="496"/>
      <c r="Q45" s="493"/>
      <c r="R45" s="494"/>
      <c r="S45" s="485" t="str">
        <f>INDEX(PT_DIFFERENTIATION_NUM_CS,MATCH(C45,PT_DIFFERENTIATION_CS_ID,0))</f>
        <v>..</v>
      </c>
      <c r="T45" s="497" t="s">
        <v>393</v>
      </c>
      <c r="U45" s="487"/>
      <c r="V45" s="488"/>
      <c r="W45" s="489"/>
      <c r="X45" s="489"/>
      <c r="Y45" s="489"/>
      <c r="Z45" s="489"/>
      <c r="AA45" s="489"/>
      <c r="AB45" s="489"/>
      <c r="AC45" s="490"/>
      <c r="AD45" s="488" t="str">
        <f>INDEX(PT_DIFFERENTIATION_CS,MATCH(C45,PT_DIFFERENTIATION_CS_ID,0))</f>
        <v/>
      </c>
      <c r="AE45" s="489"/>
      <c r="AF45" s="489"/>
      <c r="AG45" s="489"/>
      <c r="AH45" s="489"/>
      <c r="AI45" s="489"/>
      <c r="AJ45" s="489"/>
      <c r="AK45" s="489"/>
      <c r="AL45" s="490"/>
      <c r="AM45" s="491" t="s">
        <v>394</v>
      </c>
      <c r="AO45" s="130"/>
      <c r="AP45" s="130" t="str">
        <f t="shared" si="7"/>
        <v xml:space="preserve">Наименование системы теплоснабжения </v>
      </c>
      <c r="AQ45" s="130"/>
      <c r="AR45" s="130"/>
      <c r="AS45" s="50">
        <v>23</v>
      </c>
    </row>
    <row r="46" ht="22" customHeight="1">
      <c r="A46" s="265" t="s">
        <v>206</v>
      </c>
      <c r="B46" s="265" t="s">
        <v>207</v>
      </c>
      <c r="C46" s="265" t="s">
        <v>208</v>
      </c>
      <c r="D46" s="265" t="s">
        <v>209</v>
      </c>
      <c r="E46" s="577"/>
      <c r="F46" s="577"/>
      <c r="G46" s="577"/>
      <c r="H46" s="576">
        <v>1</v>
      </c>
      <c r="I46" s="265"/>
      <c r="J46" s="265"/>
      <c r="K46" s="265"/>
      <c r="L46" s="323"/>
      <c r="M46" s="86"/>
      <c r="N46" s="86"/>
      <c r="O46" s="86"/>
      <c r="P46" s="496"/>
      <c r="Q46" s="493"/>
      <c r="R46" s="494"/>
      <c r="S46" s="485" t="str">
        <f>INDEX(PT_DIFFERENTIATION_NUM_IST_TE,MATCH(D46,PT_DIFFERENTIATION_IST_TE_ID,0))</f>
        <v>...</v>
      </c>
      <c r="T46" s="498" t="s">
        <v>395</v>
      </c>
      <c r="U46" s="487"/>
      <c r="V46" s="488"/>
      <c r="W46" s="489"/>
      <c r="X46" s="489"/>
      <c r="Y46" s="489"/>
      <c r="Z46" s="489"/>
      <c r="AA46" s="489"/>
      <c r="AB46" s="489"/>
      <c r="AC46" s="490"/>
      <c r="AD46" s="488" t="str">
        <f>INDEX(PT_DIFFERENTIATION_IST_TE,MATCH(D46,PT_DIFFERENTIATION_IST_TE_ID,0))</f>
        <v/>
      </c>
      <c r="AE46" s="489"/>
      <c r="AF46" s="489"/>
      <c r="AG46" s="489"/>
      <c r="AH46" s="489"/>
      <c r="AI46" s="489"/>
      <c r="AJ46" s="489"/>
      <c r="AK46" s="489"/>
      <c r="AL46" s="490"/>
      <c r="AM46" s="491" t="s">
        <v>396</v>
      </c>
      <c r="AO46" s="130"/>
      <c r="AP46" s="130" t="str">
        <f t="shared" si="7"/>
        <v xml:space="preserve">Источник тепловой энергии  </v>
      </c>
      <c r="AQ46" s="130"/>
      <c r="AR46" s="130"/>
      <c r="AS46" s="50">
        <v>21</v>
      </c>
    </row>
    <row r="47" ht="49.5" customHeight="1">
      <c r="A47" s="265" t="s">
        <v>206</v>
      </c>
      <c r="B47" s="265" t="s">
        <v>207</v>
      </c>
      <c r="C47" s="265" t="s">
        <v>208</v>
      </c>
      <c r="D47" s="265" t="s">
        <v>209</v>
      </c>
      <c r="E47" s="577"/>
      <c r="F47" s="577"/>
      <c r="G47" s="577"/>
      <c r="H47" s="577"/>
      <c r="I47" s="158" t="str">
        <f>S46&amp;".1"</f>
        <v>....1</v>
      </c>
      <c r="J47" s="265"/>
      <c r="K47" s="265"/>
      <c r="L47" s="323" t="s">
        <v>397</v>
      </c>
      <c r="P47" s="133">
        <v>1</v>
      </c>
      <c r="Q47" s="133"/>
      <c r="R47" s="500"/>
      <c r="S47" s="485" t="str">
        <f>$I47</f>
        <v>....1</v>
      </c>
      <c r="T47" s="501" t="s">
        <v>398</v>
      </c>
      <c r="U47" s="487"/>
      <c r="V47" s="432"/>
      <c r="W47" s="502"/>
      <c r="X47" s="502"/>
      <c r="Y47" s="502"/>
      <c r="Z47" s="502"/>
      <c r="AA47" s="502"/>
      <c r="AB47" s="502"/>
      <c r="AC47" s="503"/>
      <c r="AD47" s="432"/>
      <c r="AE47" s="502"/>
      <c r="AF47" s="502"/>
      <c r="AG47" s="502"/>
      <c r="AH47" s="502"/>
      <c r="AI47" s="502"/>
      <c r="AJ47" s="502"/>
      <c r="AK47" s="502"/>
      <c r="AL47" s="503"/>
      <c r="AM47" s="491" t="s">
        <v>399</v>
      </c>
      <c r="AO47" s="130"/>
      <c r="AP47" s="130" t="str">
        <f t="shared" si="7"/>
        <v xml:space="preserve">Схема подключения теплопотребляющей установки к коллектору источника тепловой энергии</v>
      </c>
      <c r="AQ47" s="130"/>
      <c r="AR47" s="130"/>
      <c r="AS47" s="50">
        <v>47</v>
      </c>
    </row>
    <row r="48" ht="22" customHeight="1">
      <c r="A48" s="265" t="s">
        <v>206</v>
      </c>
      <c r="B48" s="265" t="s">
        <v>207</v>
      </c>
      <c r="C48" s="265" t="s">
        <v>208</v>
      </c>
      <c r="D48" s="265" t="s">
        <v>209</v>
      </c>
      <c r="E48" s="577"/>
      <c r="F48" s="577"/>
      <c r="G48" s="577"/>
      <c r="H48" s="577"/>
      <c r="I48" s="73"/>
      <c r="J48" s="158" t="str">
        <f>I47&amp;".1"</f>
        <v>....1.1</v>
      </c>
      <c r="K48" s="265"/>
      <c r="L48" s="323" t="s">
        <v>400</v>
      </c>
      <c r="P48" s="133"/>
      <c r="Q48" s="133">
        <v>1</v>
      </c>
      <c r="R48" s="505"/>
      <c r="S48" s="485" t="str">
        <f>$J48</f>
        <v>....1.1</v>
      </c>
      <c r="T48" s="506" t="s">
        <v>401</v>
      </c>
      <c r="U48" s="487"/>
      <c r="V48" s="432"/>
      <c r="W48" s="502"/>
      <c r="X48" s="502"/>
      <c r="Y48" s="502"/>
      <c r="Z48" s="502"/>
      <c r="AA48" s="502"/>
      <c r="AB48" s="502"/>
      <c r="AC48" s="503"/>
      <c r="AD48" s="432"/>
      <c r="AE48" s="502"/>
      <c r="AF48" s="502"/>
      <c r="AG48" s="502"/>
      <c r="AH48" s="502"/>
      <c r="AI48" s="502"/>
      <c r="AJ48" s="502"/>
      <c r="AK48" s="502"/>
      <c r="AL48" s="503"/>
      <c r="AM48" s="491" t="s">
        <v>402</v>
      </c>
      <c r="AO48" s="130"/>
      <c r="AP48" s="130" t="str">
        <f t="shared" si="7"/>
        <v xml:space="preserve">Группа потребителей</v>
      </c>
      <c r="AQ48" s="130"/>
      <c r="AR48" s="130"/>
      <c r="AS48" s="50">
        <v>21</v>
      </c>
    </row>
    <row r="49" ht="22" customHeight="1">
      <c r="A49" s="265" t="s">
        <v>206</v>
      </c>
      <c r="B49" s="265" t="s">
        <v>207</v>
      </c>
      <c r="C49" s="265" t="s">
        <v>208</v>
      </c>
      <c r="D49" s="265" t="s">
        <v>209</v>
      </c>
      <c r="E49" s="577"/>
      <c r="F49" s="577"/>
      <c r="G49" s="577"/>
      <c r="H49" s="577"/>
      <c r="I49" s="73"/>
      <c r="J49" s="73"/>
      <c r="K49" s="158" t="str">
        <f>J48&amp;".1"</f>
        <v>....1.1.1</v>
      </c>
      <c r="L49" s="323" t="s">
        <v>403</v>
      </c>
      <c r="P49" s="133"/>
      <c r="Q49" s="133"/>
      <c r="R49" s="505">
        <v>1</v>
      </c>
      <c r="S49" s="485" t="str">
        <f>$K49</f>
        <v>....1.1.1</v>
      </c>
      <c r="T49" s="507"/>
      <c r="U49" s="487"/>
      <c r="V49" s="508"/>
      <c r="W49" s="509"/>
      <c r="X49" s="508"/>
      <c r="Y49" s="510"/>
      <c r="Z49" s="511"/>
      <c r="AA49" s="225" t="s">
        <v>64</v>
      </c>
      <c r="AB49" s="511"/>
      <c r="AC49" s="225" t="s">
        <v>64</v>
      </c>
      <c r="AD49" s="508"/>
      <c r="AE49" s="509"/>
      <c r="AF49" s="508"/>
      <c r="AG49" s="510"/>
      <c r="AH49" s="511"/>
      <c r="AI49" s="225" t="s">
        <v>64</v>
      </c>
      <c r="AJ49" s="571"/>
      <c r="AK49" s="225" t="s">
        <v>64</v>
      </c>
      <c r="AL49" s="572"/>
      <c r="AM49" s="512" t="s">
        <v>404</v>
      </c>
      <c r="AN49" s="57" t="e">
        <f>STRCHECKDATE(V50:AL50)</f>
        <v>#NAME?</v>
      </c>
      <c r="AO49" s="130"/>
      <c r="AP49" s="130" t="str">
        <f t="shared" si="7"/>
        <v/>
      </c>
      <c r="AQ49" s="130"/>
      <c r="AR49" s="130"/>
      <c r="AS49" s="50">
        <v>21</v>
      </c>
    </row>
    <row r="50" ht="1.05" customHeight="1">
      <c r="A50" s="265" t="s">
        <v>206</v>
      </c>
      <c r="B50" s="265" t="s">
        <v>207</v>
      </c>
      <c r="C50" s="265" t="s">
        <v>208</v>
      </c>
      <c r="D50" s="265" t="s">
        <v>209</v>
      </c>
      <c r="E50" s="577"/>
      <c r="F50" s="577"/>
      <c r="G50" s="577"/>
      <c r="H50" s="577"/>
      <c r="I50" s="73"/>
      <c r="J50" s="73"/>
      <c r="K50" s="158"/>
      <c r="L50" s="323"/>
      <c r="P50" s="133"/>
      <c r="Q50" s="133"/>
      <c r="R50" s="505"/>
      <c r="S50" s="459"/>
      <c r="T50" s="487"/>
      <c r="U50" s="487"/>
      <c r="V50" s="509"/>
      <c r="W50" s="509"/>
      <c r="X50" s="509"/>
      <c r="Y50" s="513" t="str">
        <f>Z49&amp;"-"&amp;AB49</f>
        <v>-</v>
      </c>
      <c r="Z50" s="514"/>
      <c r="AA50" s="225"/>
      <c r="AB50" s="514"/>
      <c r="AC50" s="225"/>
      <c r="AD50" s="509"/>
      <c r="AE50" s="509"/>
      <c r="AF50" s="509"/>
      <c r="AG50" s="513" t="str">
        <f>AH49&amp;"-"&amp;AJ49</f>
        <v>-</v>
      </c>
      <c r="AH50" s="514"/>
      <c r="AI50" s="225"/>
      <c r="AJ50" s="573"/>
      <c r="AK50" s="225"/>
      <c r="AL50" s="574"/>
      <c r="AM50" s="515"/>
      <c r="AO50" s="130"/>
      <c r="AP50" s="130" t="str">
        <f t="shared" si="7"/>
        <v/>
      </c>
      <c r="AQ50" s="130"/>
      <c r="AR50" s="130"/>
      <c r="AS50" s="50">
        <v>1</v>
      </c>
    </row>
    <row r="51" ht="11.5" customHeight="1">
      <c r="A51" s="265" t="s">
        <v>206</v>
      </c>
      <c r="B51" s="265" t="s">
        <v>207</v>
      </c>
      <c r="C51" s="265" t="s">
        <v>208</v>
      </c>
      <c r="D51" s="265" t="s">
        <v>209</v>
      </c>
      <c r="E51" s="577"/>
      <c r="F51" s="577"/>
      <c r="G51" s="577"/>
      <c r="H51" s="577"/>
      <c r="I51" s="73"/>
      <c r="J51" s="158"/>
      <c r="K51" s="265"/>
      <c r="L51" s="323"/>
      <c r="P51" s="133"/>
      <c r="Q51" s="133"/>
      <c r="R51" s="500"/>
      <c r="S51" s="516"/>
      <c r="T51" s="517" t="s">
        <v>405</v>
      </c>
      <c r="U51" s="215"/>
      <c r="V51" s="215"/>
      <c r="W51" s="215"/>
      <c r="X51" s="215"/>
      <c r="Y51" s="215"/>
      <c r="Z51" s="215"/>
      <c r="AA51" s="215"/>
      <c r="AB51" s="215"/>
      <c r="AC51" s="215"/>
      <c r="AD51" s="215"/>
      <c r="AE51" s="215"/>
      <c r="AF51" s="215"/>
      <c r="AG51" s="215"/>
      <c r="AH51" s="215"/>
      <c r="AI51" s="215"/>
      <c r="AJ51" s="215"/>
      <c r="AK51" s="215"/>
      <c r="AL51" s="518"/>
      <c r="AM51" s="519"/>
      <c r="AO51" s="130"/>
      <c r="AP51" s="130" t="str">
        <f t="shared" si="7"/>
        <v xml:space="preserve">Добавить вид теплоносителя (параметры теплоносителя)</v>
      </c>
      <c r="AQ51" s="130"/>
      <c r="AR51" s="130"/>
      <c r="AS51" s="50">
        <v>11</v>
      </c>
    </row>
    <row r="52" ht="11.5" customHeight="1">
      <c r="A52" s="265" t="s">
        <v>206</v>
      </c>
      <c r="B52" s="265" t="s">
        <v>207</v>
      </c>
      <c r="C52" s="265" t="s">
        <v>208</v>
      </c>
      <c r="D52" s="265" t="s">
        <v>209</v>
      </c>
      <c r="E52" s="577"/>
      <c r="F52" s="577"/>
      <c r="G52" s="577"/>
      <c r="H52" s="577"/>
      <c r="I52" s="158"/>
      <c r="J52" s="265"/>
      <c r="K52" s="265"/>
      <c r="L52" s="323"/>
      <c r="P52" s="133"/>
      <c r="Q52" s="133"/>
      <c r="R52" s="500"/>
      <c r="S52" s="516"/>
      <c r="T52" s="520" t="s">
        <v>406</v>
      </c>
      <c r="U52" s="215"/>
      <c r="V52" s="215"/>
      <c r="W52" s="215"/>
      <c r="X52" s="215"/>
      <c r="Y52" s="215"/>
      <c r="Z52" s="215"/>
      <c r="AA52" s="215"/>
      <c r="AB52" s="215"/>
      <c r="AC52" s="521"/>
      <c r="AD52" s="215"/>
      <c r="AE52" s="215"/>
      <c r="AF52" s="215"/>
      <c r="AG52" s="215"/>
      <c r="AH52" s="215"/>
      <c r="AI52" s="215"/>
      <c r="AJ52" s="215"/>
      <c r="AK52" s="521"/>
      <c r="AL52" s="215"/>
      <c r="AM52" s="522"/>
      <c r="AO52" s="130"/>
      <c r="AP52" s="130" t="str">
        <f t="shared" si="7"/>
        <v xml:space="preserve">Добавить группу потребителей</v>
      </c>
      <c r="AQ52" s="130"/>
      <c r="AR52" s="130"/>
      <c r="AS52" s="50">
        <v>11</v>
      </c>
    </row>
    <row r="53" ht="14.65" customHeight="1">
      <c r="A53" s="265" t="s">
        <v>206</v>
      </c>
      <c r="B53" s="265" t="s">
        <v>207</v>
      </c>
      <c r="C53" s="265" t="s">
        <v>208</v>
      </c>
      <c r="D53" s="265" t="s">
        <v>209</v>
      </c>
      <c r="E53" s="577"/>
      <c r="F53" s="577"/>
      <c r="G53" s="577"/>
      <c r="H53" s="576"/>
      <c r="I53" s="265"/>
      <c r="J53" s="265"/>
      <c r="K53" s="265"/>
      <c r="L53" s="323"/>
      <c r="M53" s="86"/>
      <c r="N53" s="86"/>
      <c r="O53" s="50"/>
      <c r="P53" s="144"/>
      <c r="Q53" s="523"/>
      <c r="R53" s="484"/>
      <c r="S53" s="516"/>
      <c r="T53" s="524" t="s">
        <v>407</v>
      </c>
      <c r="U53" s="215"/>
      <c r="V53" s="215"/>
      <c r="W53" s="215"/>
      <c r="X53" s="215"/>
      <c r="Y53" s="215"/>
      <c r="Z53" s="215"/>
      <c r="AA53" s="215"/>
      <c r="AB53" s="215"/>
      <c r="AC53" s="521"/>
      <c r="AD53" s="215"/>
      <c r="AE53" s="215"/>
      <c r="AF53" s="215"/>
      <c r="AG53" s="215"/>
      <c r="AH53" s="215"/>
      <c r="AI53" s="215"/>
      <c r="AJ53" s="215"/>
      <c r="AK53" s="521"/>
      <c r="AL53" s="215"/>
      <c r="AM53" s="522"/>
      <c r="AO53" s="130"/>
      <c r="AP53" s="130" t="str">
        <f t="shared" si="7"/>
        <v xml:space="preserve">Добавить схему подключения</v>
      </c>
      <c r="AQ53" s="130"/>
      <c r="AR53" s="130"/>
      <c r="AS53" s="50">
        <v>14</v>
      </c>
    </row>
    <row r="54" s="57" customFormat="1" ht="4.2000000000000002" customHeight="1">
      <c r="A54" s="578" t="s">
        <v>206</v>
      </c>
      <c r="B54" s="578" t="s">
        <v>207</v>
      </c>
      <c r="C54" s="578" t="s">
        <v>208</v>
      </c>
      <c r="D54" s="578"/>
      <c r="E54" s="577"/>
      <c r="F54" s="577"/>
      <c r="G54" s="576"/>
      <c r="H54" s="578"/>
      <c r="I54" s="578"/>
      <c r="J54" s="578"/>
      <c r="K54" s="578"/>
      <c r="L54" s="579"/>
      <c r="M54" s="580"/>
      <c r="N54" s="580"/>
      <c r="O54" s="132"/>
      <c r="P54" s="168"/>
      <c r="Q54" s="525"/>
      <c r="R54" s="168"/>
      <c r="S54" s="530"/>
      <c r="T54" s="533" t="s">
        <v>408</v>
      </c>
      <c r="U54" s="532"/>
      <c r="V54" s="532"/>
      <c r="W54" s="532"/>
      <c r="X54" s="532"/>
      <c r="Y54" s="532"/>
      <c r="Z54" s="532"/>
      <c r="AA54" s="532"/>
      <c r="AB54" s="532"/>
      <c r="AC54" s="532"/>
      <c r="AD54" s="532"/>
      <c r="AE54" s="532"/>
      <c r="AF54" s="532"/>
      <c r="AG54" s="532"/>
      <c r="AH54" s="532"/>
      <c r="AI54" s="532"/>
      <c r="AJ54" s="532"/>
      <c r="AK54" s="532"/>
      <c r="AL54" s="532"/>
      <c r="AM54" s="532"/>
      <c r="AO54" s="130"/>
      <c r="AP54" s="130" t="str">
        <f t="shared" si="7"/>
        <v xml:space="preserve">Добавить источник для дифференциации</v>
      </c>
      <c r="AQ54" s="130"/>
      <c r="AR54" s="130"/>
      <c r="AS54" s="57">
        <v>4</v>
      </c>
    </row>
    <row r="55" s="57" customFormat="1" ht="4.2000000000000002" customHeight="1">
      <c r="A55" s="578" t="s">
        <v>206</v>
      </c>
      <c r="B55" s="578" t="s">
        <v>207</v>
      </c>
      <c r="C55" s="578"/>
      <c r="D55" s="578"/>
      <c r="E55" s="577"/>
      <c r="F55" s="576"/>
      <c r="G55" s="578"/>
      <c r="H55" s="578"/>
      <c r="I55" s="578"/>
      <c r="J55" s="578"/>
      <c r="K55" s="578"/>
      <c r="L55" s="579"/>
      <c r="M55" s="581"/>
      <c r="N55" s="581"/>
      <c r="O55" s="132"/>
      <c r="P55" s="168"/>
      <c r="Q55" s="525"/>
      <c r="R55" s="168"/>
      <c r="S55" s="530"/>
      <c r="T55" s="533" t="s">
        <v>409</v>
      </c>
      <c r="U55" s="532"/>
      <c r="V55" s="532"/>
      <c r="W55" s="532"/>
      <c r="X55" s="532"/>
      <c r="Y55" s="532"/>
      <c r="Z55" s="532"/>
      <c r="AA55" s="532"/>
      <c r="AB55" s="532"/>
      <c r="AC55" s="532"/>
      <c r="AD55" s="532"/>
      <c r="AE55" s="532"/>
      <c r="AF55" s="532"/>
      <c r="AG55" s="532"/>
      <c r="AH55" s="532"/>
      <c r="AI55" s="532"/>
      <c r="AJ55" s="532"/>
      <c r="AK55" s="532"/>
      <c r="AL55" s="532"/>
      <c r="AM55" s="532"/>
      <c r="AO55" s="130"/>
      <c r="AP55" s="130" t="str">
        <f t="shared" si="7"/>
        <v xml:space="preserve">Добавить централизованную систему для дифференциации</v>
      </c>
      <c r="AQ55" s="130"/>
      <c r="AR55" s="130"/>
      <c r="AS55" s="57">
        <v>4</v>
      </c>
    </row>
    <row r="56" s="57" customFormat="1" ht="4.2000000000000002" customHeight="1">
      <c r="A56" s="578" t="s">
        <v>206</v>
      </c>
      <c r="B56" s="578"/>
      <c r="C56" s="578"/>
      <c r="D56" s="578"/>
      <c r="E56" s="576"/>
      <c r="F56" s="578"/>
      <c r="G56" s="578"/>
      <c r="H56" s="578"/>
      <c r="I56" s="578"/>
      <c r="J56" s="578"/>
      <c r="K56" s="578"/>
      <c r="L56" s="579"/>
      <c r="M56" s="581"/>
      <c r="N56" s="581"/>
      <c r="O56" s="132"/>
      <c r="P56" s="168"/>
      <c r="Q56" s="525"/>
      <c r="R56" s="168"/>
      <c r="S56" s="530"/>
      <c r="T56" s="533" t="s">
        <v>410</v>
      </c>
      <c r="U56" s="532"/>
      <c r="V56" s="532"/>
      <c r="W56" s="532"/>
      <c r="X56" s="532"/>
      <c r="Y56" s="532"/>
      <c r="Z56" s="532"/>
      <c r="AA56" s="532"/>
      <c r="AB56" s="532"/>
      <c r="AC56" s="532"/>
      <c r="AD56" s="532"/>
      <c r="AE56" s="532"/>
      <c r="AF56" s="532"/>
      <c r="AG56" s="532"/>
      <c r="AH56" s="532"/>
      <c r="AI56" s="532"/>
      <c r="AJ56" s="532"/>
      <c r="AK56" s="532"/>
      <c r="AL56" s="532"/>
      <c r="AM56" s="532"/>
      <c r="AO56" s="130"/>
      <c r="AP56" s="130" t="str">
        <f t="shared" si="7"/>
        <v xml:space="preserve">Добавить территорию для дифференциации</v>
      </c>
      <c r="AQ56" s="130"/>
      <c r="AR56" s="130"/>
      <c r="AS56" s="57">
        <v>4</v>
      </c>
    </row>
    <row r="57" s="57" customFormat="1" ht="4.2000000000000002" customHeight="1">
      <c r="A57" s="578"/>
      <c r="B57" s="578"/>
      <c r="C57" s="578"/>
      <c r="D57" s="578"/>
      <c r="E57" s="578"/>
      <c r="F57" s="578"/>
      <c r="G57" s="578"/>
      <c r="H57" s="578"/>
      <c r="I57" s="578"/>
      <c r="J57" s="578"/>
      <c r="K57" s="578"/>
      <c r="L57" s="579"/>
      <c r="M57" s="581"/>
      <c r="N57" s="581"/>
      <c r="O57" s="132"/>
      <c r="P57" s="168"/>
      <c r="Q57" s="525"/>
      <c r="R57" s="168"/>
      <c r="S57" s="530"/>
      <c r="T57" s="533" t="s">
        <v>442</v>
      </c>
      <c r="U57" s="532"/>
      <c r="V57" s="532"/>
      <c r="W57" s="532"/>
      <c r="X57" s="532"/>
      <c r="Y57" s="532"/>
      <c r="Z57" s="532"/>
      <c r="AA57" s="532"/>
      <c r="AB57" s="532"/>
      <c r="AC57" s="532"/>
      <c r="AD57" s="532"/>
      <c r="AE57" s="532"/>
      <c r="AF57" s="532"/>
      <c r="AG57" s="532"/>
      <c r="AH57" s="532"/>
      <c r="AI57" s="532"/>
      <c r="AJ57" s="532"/>
      <c r="AK57" s="532"/>
      <c r="AL57" s="532"/>
      <c r="AM57" s="532"/>
      <c r="AO57" s="130"/>
      <c r="AP57" s="130" t="str">
        <f t="shared" si="7"/>
        <v xml:space="preserve">Добавить наименование тарифа</v>
      </c>
      <c r="AQ57" s="130"/>
      <c r="AR57" s="130"/>
      <c r="AS57" s="57">
        <v>4</v>
      </c>
    </row>
    <row r="58" ht="11.5" customHeight="1">
      <c r="M58" s="50"/>
      <c r="N58" s="50"/>
      <c r="O58" s="50"/>
      <c r="P58" s="50"/>
      <c r="Q58" s="50"/>
      <c r="R58" s="50"/>
      <c r="S58" s="50"/>
      <c r="AN58" s="50"/>
      <c r="AO58" s="50"/>
      <c r="AP58" s="50"/>
      <c r="AQ58" s="50"/>
      <c r="AR58" s="50"/>
      <c r="AS58" s="50">
        <v>11</v>
      </c>
    </row>
    <row r="59" ht="28.5" customHeight="1">
      <c r="O59" s="50"/>
      <c r="S59" s="477"/>
      <c r="T59" s="575"/>
      <c r="U59" s="575"/>
      <c r="V59" s="575"/>
      <c r="W59" s="575"/>
      <c r="X59" s="575"/>
      <c r="Y59" s="575"/>
      <c r="Z59" s="575"/>
      <c r="AA59" s="575"/>
      <c r="AB59" s="575"/>
      <c r="AC59" s="575"/>
      <c r="AD59" s="575"/>
      <c r="AE59" s="575"/>
      <c r="AF59" s="575"/>
      <c r="AG59" s="575"/>
      <c r="AH59" s="575"/>
      <c r="AI59" s="575"/>
      <c r="AJ59" s="575"/>
      <c r="AK59" s="575"/>
      <c r="AL59" s="575"/>
      <c r="AM59" s="575"/>
      <c r="AS59" s="50">
        <v>27</v>
      </c>
    </row>
    <row r="60" ht="65.25" customHeight="1">
      <c r="O60" s="50"/>
      <c r="T60" s="575"/>
      <c r="U60" s="575"/>
      <c r="V60" s="575"/>
      <c r="W60" s="575"/>
      <c r="X60" s="575"/>
      <c r="Y60" s="575"/>
      <c r="Z60" s="575"/>
      <c r="AA60" s="575"/>
      <c r="AB60" s="575"/>
      <c r="AC60" s="575"/>
      <c r="AD60" s="575"/>
      <c r="AE60" s="575"/>
      <c r="AF60" s="575"/>
      <c r="AG60" s="575"/>
      <c r="AH60" s="575"/>
      <c r="AI60" s="575"/>
      <c r="AJ60" s="575"/>
      <c r="AK60" s="575"/>
      <c r="AL60" s="575"/>
      <c r="AM60" s="575"/>
      <c r="AS60" s="50">
        <v>62</v>
      </c>
    </row>
    <row r="61" ht="14.65" customHeight="1">
      <c r="O61" s="50"/>
      <c r="AS61" s="50">
        <v>14</v>
      </c>
    </row>
    <row r="62" ht="18.75" customHeight="1">
      <c r="O62" s="50"/>
      <c r="S62" s="477"/>
      <c r="T62" s="575"/>
      <c r="U62" s="575"/>
      <c r="V62" s="575"/>
      <c r="W62" s="575"/>
      <c r="X62" s="575"/>
      <c r="Y62" s="575"/>
      <c r="Z62" s="575"/>
      <c r="AA62" s="575"/>
      <c r="AB62" s="575"/>
      <c r="AC62" s="575"/>
      <c r="AD62" s="575"/>
      <c r="AE62" s="575"/>
      <c r="AF62" s="575"/>
      <c r="AG62" s="575"/>
      <c r="AH62" s="575"/>
      <c r="AI62" s="575"/>
      <c r="AJ62" s="575"/>
      <c r="AK62" s="575"/>
      <c r="AL62" s="575"/>
      <c r="AM62" s="575"/>
      <c r="AS62" s="50">
        <v>18</v>
      </c>
    </row>
    <row r="63" ht="18.75" customHeight="1">
      <c r="O63" s="50"/>
      <c r="T63" s="575"/>
      <c r="U63" s="575"/>
      <c r="V63" s="575"/>
      <c r="W63" s="575"/>
      <c r="X63" s="575"/>
      <c r="Y63" s="575"/>
      <c r="Z63" s="575"/>
      <c r="AA63" s="575"/>
      <c r="AB63" s="575"/>
      <c r="AC63" s="575"/>
      <c r="AD63" s="575"/>
      <c r="AE63" s="575"/>
      <c r="AF63" s="575"/>
      <c r="AG63" s="575"/>
      <c r="AH63" s="575"/>
      <c r="AI63" s="575"/>
      <c r="AJ63" s="575"/>
      <c r="AK63" s="575"/>
      <c r="AL63" s="575"/>
      <c r="AM63" s="575"/>
      <c r="AS63" s="50">
        <v>18</v>
      </c>
    </row>
    <row r="64" ht="29.25" customHeight="1">
      <c r="O64" s="50"/>
      <c r="S64" s="477"/>
      <c r="T64" s="575"/>
      <c r="U64" s="575"/>
      <c r="V64" s="575"/>
      <c r="W64" s="575"/>
      <c r="X64" s="575"/>
      <c r="Y64" s="575"/>
      <c r="Z64" s="575"/>
      <c r="AA64" s="575"/>
      <c r="AB64" s="575"/>
      <c r="AC64" s="575"/>
      <c r="AD64" s="575"/>
      <c r="AE64" s="575"/>
      <c r="AF64" s="575"/>
      <c r="AG64" s="575"/>
      <c r="AH64" s="575"/>
      <c r="AI64" s="575"/>
      <c r="AJ64" s="575"/>
      <c r="AK64" s="575"/>
      <c r="AL64" s="575"/>
      <c r="AM64" s="575"/>
      <c r="AS64" s="50">
        <v>28</v>
      </c>
    </row>
    <row r="65" ht="22.5" hidden="1" customHeight="1">
      <c r="A65" s="50" t="s">
        <v>81</v>
      </c>
      <c r="B65" s="50">
        <v>0</v>
      </c>
      <c r="C65" s="50">
        <v>0</v>
      </c>
      <c r="D65" s="50">
        <v>0</v>
      </c>
      <c r="E65" s="50">
        <v>0</v>
      </c>
      <c r="F65" s="50">
        <v>0</v>
      </c>
      <c r="G65" s="50">
        <v>0</v>
      </c>
      <c r="H65" s="50">
        <v>0</v>
      </c>
      <c r="I65" s="50">
        <v>0</v>
      </c>
      <c r="J65" s="50">
        <v>0</v>
      </c>
      <c r="K65" s="50">
        <v>0</v>
      </c>
      <c r="L65" s="51">
        <v>0</v>
      </c>
      <c r="M65" s="60">
        <v>0</v>
      </c>
      <c r="N65" s="60">
        <v>0</v>
      </c>
      <c r="O65" s="60">
        <v>0</v>
      </c>
      <c r="P65" s="60">
        <v>3</v>
      </c>
      <c r="Q65" s="479">
        <v>3</v>
      </c>
      <c r="R65" s="479">
        <v>3</v>
      </c>
      <c r="S65" s="86">
        <v>12</v>
      </c>
      <c r="T65" s="50">
        <v>31</v>
      </c>
      <c r="U65" s="50">
        <v>0</v>
      </c>
      <c r="V65" s="50">
        <v>0</v>
      </c>
      <c r="W65" s="50">
        <v>0</v>
      </c>
      <c r="X65" s="50">
        <v>0</v>
      </c>
      <c r="Y65" s="50">
        <v>0</v>
      </c>
      <c r="Z65" s="50">
        <v>0</v>
      </c>
      <c r="AA65" s="50">
        <v>0</v>
      </c>
      <c r="AB65" s="50">
        <v>0</v>
      </c>
      <c r="AC65" s="50">
        <v>0</v>
      </c>
      <c r="AD65" s="50">
        <v>24</v>
      </c>
      <c r="AE65" s="50">
        <v>0</v>
      </c>
      <c r="AF65" s="50">
        <v>24</v>
      </c>
      <c r="AG65" s="50">
        <v>24</v>
      </c>
      <c r="AH65" s="50">
        <v>11</v>
      </c>
      <c r="AI65" s="50">
        <v>3</v>
      </c>
      <c r="AJ65" s="50">
        <v>11</v>
      </c>
      <c r="AK65" s="50">
        <v>0</v>
      </c>
      <c r="AL65" s="50">
        <v>4</v>
      </c>
      <c r="AM65" s="50">
        <v>115</v>
      </c>
      <c r="AN65" s="57">
        <v>10</v>
      </c>
      <c r="AO65" s="57">
        <v>10</v>
      </c>
      <c r="AP65" s="57">
        <v>10</v>
      </c>
      <c r="AQ65" s="57">
        <v>10</v>
      </c>
      <c r="AR65" s="57">
        <v>10</v>
      </c>
      <c r="AS65" s="50">
        <v>23</v>
      </c>
    </row>
  </sheetData>
  <sheetProtection autoFilter="0" deleteColumns="1" deleteRows="1" formatCells="1" formatColumns="1" formatRows="1" insertColumns="1" insertHyperlinks="1" insertRows="1" objects="0" pivotTables="1" scenarios="0" selectLockedCells="0" selectUnlockedCells="0" sheet="1" sort="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K8:K9"/>
    <mergeCell ref="Z8:Z9"/>
    <mergeCell ref="AA8:AA9"/>
    <mergeCell ref="AB8:AB9"/>
    <mergeCell ref="AC8:AC9"/>
    <mergeCell ref="AH8:AH9"/>
    <mergeCell ref="AI8:AI9"/>
    <mergeCell ref="AJ8:AJ9"/>
    <mergeCell ref="AK8:AK9"/>
    <mergeCell ref="AM8:AM10"/>
    <mergeCell ref="AH17:AH18"/>
    <mergeCell ref="AI17:AI18"/>
    <mergeCell ref="AJ17:AJ18"/>
    <mergeCell ref="AK17:AK18"/>
    <mergeCell ref="S26:AJ26"/>
    <mergeCell ref="S27:AJ27"/>
    <mergeCell ref="S29:T29"/>
    <mergeCell ref="V29:AB29"/>
    <mergeCell ref="AD29:AJ29"/>
    <mergeCell ref="S30:T30"/>
    <mergeCell ref="V30:AB30"/>
    <mergeCell ref="AD30:AJ30"/>
    <mergeCell ref="S31:T31"/>
    <mergeCell ref="V31:AB31"/>
    <mergeCell ref="AD31:AJ31"/>
    <mergeCell ref="S32:T32"/>
    <mergeCell ref="V32:AB32"/>
    <mergeCell ref="AD32:AJ32"/>
    <mergeCell ref="S34:T34"/>
    <mergeCell ref="V34:AB34"/>
    <mergeCell ref="AD34:AJ34"/>
    <mergeCell ref="S35:T35"/>
    <mergeCell ref="V35:AB35"/>
    <mergeCell ref="AD35:AJ35"/>
    <mergeCell ref="V37:AC37"/>
    <mergeCell ref="AD37:AK37"/>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AH40:AJ40"/>
    <mergeCell ref="AA41:AB41"/>
    <mergeCell ref="AI41:AJ41"/>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AM49:AM51"/>
    <mergeCell ref="T59:AM59"/>
    <mergeCell ref="T60:AM60"/>
    <mergeCell ref="T62:AM62"/>
    <mergeCell ref="T63:AM63"/>
    <mergeCell ref="T64:AM64"/>
  </mergeCells>
  <dataValidations count="4" disablePrompts="0">
    <dataValidation sqref="S131123:AM131129 S196659:AM196665 S262195:AM262201 S327731:AM327737 S393267:AM393273 S458803:AM458809 S524339:AM524345 S589875:AM589881 S655411:AM655417 S720947:AM720953 S786483:AM786489 S852019:AM852025 S917555:AM917561 S983091:AM983097 S65587:AM65593" type="none" allowBlank="1" errorStyle="stop" imeMode="noControl" operator="between" showDropDown="0" showErrorMessage="0" showInputMessage="0"/>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type="none" allowBlank="1" errorStyle="stop" imeMode="noControl" operator="between" promptTitle="checkPeriodRange"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5E002E-00E3-4920-917E-007700F10045}"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 xr:uid="{007A00CC-0045-4D18-A22D-000E00B00059}" type="list" allowBlank="1" error="Выберите значение из списка" errorStyle="stop" errorTitle="Ошибка" imeMode="noControl" operator="between" showDropDown="0"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FB0096-009E-4B33-94DB-006700DB0034}" type="textLength" allowBlank="1" error="Допускается ввод не более 900 символов!" errorStyle="stop" errorTitle="Ошибка" imeMode="noControl" operator="lessThanOrEqual" showDropDown="0"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BD00F1-00A4-4E78-A24D-00DD00BA00E5}" type="list" allowBlank="1" error="Выберите значение из списка" errorStyle="stop" errorTitle="Ошибка" imeMode="noControl" operator="between" showDropDown="0" showErrorMessage="1" showInputMessage="1">
          <x14:formula1>
            <xm:f>kind_of_heat_transfer</xm:f>
          </x14:formula1>
          <xm:sqref>T65585 T131121 T196657 T262193 T327729 T393265 T458801 T524337 T589873 T655409 T720945 T786481 T852017 T917553 T983089</xm:sqref>
        </x14:dataValidation>
      </x14:dataValidations>
    </ext>
  </extLs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9" ySplit="42" topLeftCell="AD43" activePane="bottomRight" state="frozen"/>
      <selection activeCell="A1" activeCellId="0" sqref="A1"/>
    </sheetView>
  </sheetViews>
  <sheetFormatPr defaultColWidth="10.57421875" defaultRowHeight="14.25" customHeight="1"/>
  <cols>
    <col hidden="1" min="1" max="1" style="50" width="10.57421875"/>
    <col customWidth="1" hidden="1" min="2" max="2" style="50" width="11.00390625"/>
    <col hidden="1" min="3" max="3" style="50" width="10.57421875"/>
    <col customWidth="1" hidden="1" min="4" max="4" style="50" width="11.8515625"/>
    <col customWidth="1" hidden="1" min="5" max="5" style="50" width="10.00390625"/>
    <col customWidth="1" hidden="1" min="6" max="6" style="50" width="8.7109375"/>
    <col customWidth="1" hidden="1" min="7" max="7" style="50" width="7.57421875"/>
    <col customWidth="1" hidden="1" min="8" max="8" style="50" width="11.421875"/>
    <col customWidth="1" hidden="1" min="9" max="9" style="50" width="12.00390625"/>
    <col customWidth="1" hidden="1" min="10" max="10" style="50" width="9.8515625"/>
    <col customWidth="1" hidden="1" min="11" max="11" style="50" width="11.421875"/>
    <col customWidth="1" hidden="1" min="12" max="12" style="51" width="19.140625"/>
    <col customWidth="1" hidden="1" min="13" max="14" style="60" width="12.28125"/>
    <col customWidth="1" hidden="1" min="15" max="15" style="60" width="23.421875"/>
    <col customWidth="1" min="16" max="16" style="60" width="3.00390625"/>
    <col customWidth="1" min="17" max="18" style="479" width="3.00390625"/>
    <col customWidth="1" min="19" max="19" style="86" width="12.00390625"/>
    <col customWidth="1" min="20" max="20" style="50" width="31.00390625"/>
    <col customWidth="1" min="21" max="21" style="50" width="0.140625"/>
    <col customWidth="1" hidden="1" min="22" max="22" style="50" width="24.7109375"/>
    <col customWidth="1" hidden="1" min="23" max="23" style="50" width="0.140625"/>
    <col customWidth="1" hidden="1" min="24" max="25" style="50" width="24.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24.7109375"/>
    <col customWidth="1" min="31" max="31" style="50" width="0.140625"/>
    <col customWidth="1" min="32" max="33" style="50" width="24.00390625"/>
    <col customWidth="1" min="34" max="34" style="50" width="11.00390625"/>
    <col customWidth="1" min="35" max="35" style="50" width="3.7109375"/>
    <col customWidth="1" min="36" max="36" style="50" width="11.00390625"/>
    <col customWidth="1" hidden="1" min="37" max="37" style="50" width="8.57421875"/>
    <col customWidth="1" min="38" max="38" style="50" width="4.00390625"/>
    <col customWidth="1" min="39" max="39" style="50" width="115.00390625"/>
    <col customWidth="1" min="40" max="44" style="57" width="10.00390625"/>
    <col hidden="1" min="45" max="45" style="50" width="10.57421875"/>
  </cols>
  <sheetData>
    <row r="1" ht="22.5" hidden="1" customHeight="1">
      <c r="AS1" s="50" t="s">
        <v>14</v>
      </c>
    </row>
    <row r="2" ht="21" hidden="1" customHeight="1">
      <c r="A2" s="265"/>
      <c r="B2" s="265"/>
      <c r="C2" s="265"/>
      <c r="D2" s="265"/>
      <c r="E2" s="576">
        <v>1</v>
      </c>
      <c r="F2" s="265"/>
      <c r="G2" s="265"/>
      <c r="H2" s="265"/>
      <c r="I2" s="265"/>
      <c r="J2" s="265"/>
      <c r="K2" s="265"/>
      <c r="L2" s="323"/>
      <c r="M2" s="86"/>
      <c r="N2" s="86"/>
      <c r="O2" s="86"/>
      <c r="P2" s="60"/>
      <c r="Q2" s="144"/>
      <c r="R2" s="484"/>
      <c r="S2" s="485" t="e">
        <f>INDEX(PT_DIFFERENTIATION_NUM_NTAR,MATCH(A2,PT_DIFFERENTIATION_NTAR_ID,0))</f>
        <v>#VALUE!</v>
      </c>
      <c r="T2" s="486" t="s">
        <v>119</v>
      </c>
      <c r="U2" s="487"/>
      <c r="V2" s="488"/>
      <c r="W2" s="489"/>
      <c r="X2" s="489"/>
      <c r="Y2" s="489"/>
      <c r="Z2" s="489"/>
      <c r="AA2" s="489"/>
      <c r="AB2" s="489"/>
      <c r="AC2" s="490"/>
      <c r="AD2" s="488" t="e">
        <f>INDEX(PT_DIFFERENTIATION_NTAR,MATCH(A2,PT_DIFFERENTIATION_NTAR_ID,0))</f>
        <v>#VALUE!</v>
      </c>
      <c r="AE2" s="489"/>
      <c r="AF2" s="489"/>
      <c r="AG2" s="489"/>
      <c r="AH2" s="489"/>
      <c r="AI2" s="489"/>
      <c r="AJ2" s="489"/>
      <c r="AK2" s="489"/>
      <c r="AL2" s="490"/>
      <c r="AM2" s="491" t="s">
        <v>390</v>
      </c>
      <c r="AO2" s="130"/>
      <c r="AP2" s="130" t="str">
        <f t="shared" ref="AP2:AP9" si="8">IF(T2="","",T2)</f>
        <v xml:space="preserve">Наименование тарифа</v>
      </c>
      <c r="AQ2" s="130"/>
      <c r="AR2" s="130"/>
      <c r="AS2" s="50">
        <v>0</v>
      </c>
    </row>
    <row r="3" ht="21" hidden="1" customHeight="1">
      <c r="A3" s="265"/>
      <c r="B3" s="265"/>
      <c r="C3" s="265"/>
      <c r="D3" s="265"/>
      <c r="E3" s="577"/>
      <c r="F3" s="576">
        <v>1</v>
      </c>
      <c r="G3" s="265"/>
      <c r="H3" s="265"/>
      <c r="I3" s="265"/>
      <c r="J3" s="265"/>
      <c r="K3" s="265"/>
      <c r="L3" s="323"/>
      <c r="M3" s="86"/>
      <c r="N3" s="86"/>
      <c r="O3" s="86"/>
      <c r="P3" s="51"/>
      <c r="Q3" s="493"/>
      <c r="R3" s="494"/>
      <c r="S3" s="485" t="e">
        <f>INDEX(PT_DIFFERENTIATION_NUM_TER,MATCH(B3,PT_DIFFERENTIATION_TER_ID,0))</f>
        <v>#VALUE!</v>
      </c>
      <c r="T3" s="495" t="s">
        <v>391</v>
      </c>
      <c r="U3" s="487"/>
      <c r="V3" s="488"/>
      <c r="W3" s="489"/>
      <c r="X3" s="489"/>
      <c r="Y3" s="489"/>
      <c r="Z3" s="489"/>
      <c r="AA3" s="489"/>
      <c r="AB3" s="489"/>
      <c r="AC3" s="490"/>
      <c r="AD3" s="488" t="e">
        <f>INDEX(PT_DIFFERENTIATION_TER,MATCH(B3,PT_DIFFERENTIATION_TER_ID,0))</f>
        <v>#VALUE!</v>
      </c>
      <c r="AE3" s="489"/>
      <c r="AF3" s="489"/>
      <c r="AG3" s="489"/>
      <c r="AH3" s="489"/>
      <c r="AI3" s="489"/>
      <c r="AJ3" s="489"/>
      <c r="AK3" s="489"/>
      <c r="AL3" s="490"/>
      <c r="AM3" s="491" t="s">
        <v>392</v>
      </c>
      <c r="AO3" s="130"/>
      <c r="AP3" s="130" t="str">
        <f t="shared" si="8"/>
        <v xml:space="preserve">Территория действия тарифа</v>
      </c>
      <c r="AQ3" s="130"/>
      <c r="AR3" s="130"/>
      <c r="AS3" s="50">
        <v>0</v>
      </c>
    </row>
    <row r="4" ht="23.25" hidden="1" customHeight="1">
      <c r="A4" s="265"/>
      <c r="B4" s="265"/>
      <c r="C4" s="265"/>
      <c r="D4" s="265"/>
      <c r="E4" s="577"/>
      <c r="F4" s="577"/>
      <c r="G4" s="576">
        <v>1</v>
      </c>
      <c r="H4" s="265"/>
      <c r="I4" s="265"/>
      <c r="J4" s="265"/>
      <c r="K4" s="265"/>
      <c r="L4" s="323"/>
      <c r="M4" s="86"/>
      <c r="N4" s="86"/>
      <c r="O4" s="86"/>
      <c r="P4" s="496"/>
      <c r="Q4" s="493"/>
      <c r="R4" s="494"/>
      <c r="S4" s="485" t="e">
        <f>INDEX(PT_DIFFERENTIATION_NUM_CS,MATCH(C4,PT_DIFFERENTIATION_CS_ID,0))</f>
        <v>#VALUE!</v>
      </c>
      <c r="T4" s="497" t="s">
        <v>393</v>
      </c>
      <c r="U4" s="487"/>
      <c r="V4" s="488"/>
      <c r="W4" s="489"/>
      <c r="X4" s="489"/>
      <c r="Y4" s="489"/>
      <c r="Z4" s="489"/>
      <c r="AA4" s="489"/>
      <c r="AB4" s="489"/>
      <c r="AC4" s="490"/>
      <c r="AD4" s="488" t="e">
        <f>INDEX(PT_DIFFERENTIATION_CS,MATCH(C4,PT_DIFFERENTIATION_CS_ID,0))</f>
        <v>#VALUE!</v>
      </c>
      <c r="AE4" s="489"/>
      <c r="AF4" s="489"/>
      <c r="AG4" s="489"/>
      <c r="AH4" s="489"/>
      <c r="AI4" s="489"/>
      <c r="AJ4" s="489"/>
      <c r="AK4" s="489"/>
      <c r="AL4" s="490"/>
      <c r="AM4" s="491" t="s">
        <v>394</v>
      </c>
      <c r="AO4" s="130"/>
      <c r="AP4" s="130" t="str">
        <f t="shared" si="8"/>
        <v xml:space="preserve">Наименование системы теплоснабжения </v>
      </c>
      <c r="AQ4" s="130"/>
      <c r="AR4" s="130"/>
      <c r="AS4" s="50">
        <v>0</v>
      </c>
    </row>
    <row r="5" ht="21" hidden="1" customHeight="1">
      <c r="A5" s="265"/>
      <c r="B5" s="265"/>
      <c r="C5" s="265"/>
      <c r="D5" s="265"/>
      <c r="E5" s="577"/>
      <c r="F5" s="577"/>
      <c r="G5" s="577"/>
      <c r="H5" s="576">
        <v>1</v>
      </c>
      <c r="I5" s="265"/>
      <c r="J5" s="265"/>
      <c r="K5" s="265"/>
      <c r="L5" s="323"/>
      <c r="M5" s="86"/>
      <c r="N5" s="86"/>
      <c r="O5" s="86"/>
      <c r="P5" s="496"/>
      <c r="Q5" s="493"/>
      <c r="R5" s="494"/>
      <c r="S5" s="485" t="e">
        <f>INDEX(PT_DIFFERENTIATION_NUM_IST_TE,MATCH(D5,PT_DIFFERENTIATION_IST_TE_ID,0))</f>
        <v>#VALUE!</v>
      </c>
      <c r="T5" s="498" t="s">
        <v>395</v>
      </c>
      <c r="U5" s="487"/>
      <c r="V5" s="488"/>
      <c r="W5" s="489"/>
      <c r="X5" s="489"/>
      <c r="Y5" s="489"/>
      <c r="Z5" s="489"/>
      <c r="AA5" s="489"/>
      <c r="AB5" s="489"/>
      <c r="AC5" s="490"/>
      <c r="AD5" s="488" t="e">
        <f>INDEX(PT_DIFFERENTIATION_IST_TE,MATCH(D5,PT_DIFFERENTIATION_IST_TE_ID,0))</f>
        <v>#VALUE!</v>
      </c>
      <c r="AE5" s="489"/>
      <c r="AF5" s="489"/>
      <c r="AG5" s="489"/>
      <c r="AH5" s="489"/>
      <c r="AI5" s="489"/>
      <c r="AJ5" s="489"/>
      <c r="AK5" s="489"/>
      <c r="AL5" s="490"/>
      <c r="AM5" s="491" t="s">
        <v>396</v>
      </c>
      <c r="AO5" s="130"/>
      <c r="AP5" s="130" t="str">
        <f t="shared" si="8"/>
        <v xml:space="preserve">Источник тепловой энергии  </v>
      </c>
      <c r="AQ5" s="130"/>
      <c r="AR5" s="130"/>
      <c r="AS5" s="50">
        <v>0</v>
      </c>
    </row>
    <row r="6" ht="47.25" hidden="1" customHeight="1">
      <c r="A6" s="265"/>
      <c r="B6" s="265"/>
      <c r="C6" s="265"/>
      <c r="D6" s="265"/>
      <c r="E6" s="577"/>
      <c r="F6" s="577"/>
      <c r="G6" s="577"/>
      <c r="H6" s="577"/>
      <c r="I6" s="158" t="e">
        <f>S5&amp;".1"</f>
        <v>#VALUE!</v>
      </c>
      <c r="J6" s="265"/>
      <c r="K6" s="265"/>
      <c r="L6" s="323" t="s">
        <v>397</v>
      </c>
      <c r="M6" s="50"/>
      <c r="P6" s="133">
        <v>1</v>
      </c>
      <c r="Q6" s="133"/>
      <c r="R6" s="500"/>
      <c r="S6" s="485" t="e">
        <f>$I6</f>
        <v>#VALUE!</v>
      </c>
      <c r="T6" s="501" t="s">
        <v>398</v>
      </c>
      <c r="U6" s="487"/>
      <c r="V6" s="432"/>
      <c r="W6" s="502"/>
      <c r="X6" s="502"/>
      <c r="Y6" s="502"/>
      <c r="Z6" s="502"/>
      <c r="AA6" s="502"/>
      <c r="AB6" s="502"/>
      <c r="AC6" s="503"/>
      <c r="AD6" s="432"/>
      <c r="AE6" s="502"/>
      <c r="AF6" s="502"/>
      <c r="AG6" s="502"/>
      <c r="AH6" s="502"/>
      <c r="AI6" s="502"/>
      <c r="AJ6" s="502"/>
      <c r="AK6" s="502"/>
      <c r="AL6" s="503"/>
      <c r="AM6" s="491" t="s">
        <v>399</v>
      </c>
      <c r="AO6" s="130"/>
      <c r="AP6" s="130" t="str">
        <f t="shared" si="8"/>
        <v xml:space="preserve">Схема подключения теплопотребляющей установки к коллектору источника тепловой энергии</v>
      </c>
      <c r="AQ6" s="130"/>
      <c r="AR6" s="130"/>
      <c r="AS6" s="50">
        <v>0</v>
      </c>
    </row>
    <row r="7" ht="21" hidden="1" customHeight="1">
      <c r="A7" s="265"/>
      <c r="B7" s="265"/>
      <c r="C7" s="265"/>
      <c r="D7" s="265"/>
      <c r="E7" s="577"/>
      <c r="F7" s="577"/>
      <c r="G7" s="577"/>
      <c r="H7" s="577"/>
      <c r="I7" s="73"/>
      <c r="J7" s="158" t="e">
        <f>I6&amp;".1"</f>
        <v>#VALUE!</v>
      </c>
      <c r="K7" s="265"/>
      <c r="L7" s="323" t="s">
        <v>400</v>
      </c>
      <c r="M7" s="50"/>
      <c r="N7" s="50"/>
      <c r="P7" s="133"/>
      <c r="Q7" s="133">
        <v>1</v>
      </c>
      <c r="R7" s="505"/>
      <c r="S7" s="485" t="e">
        <f>$J7</f>
        <v>#VALUE!</v>
      </c>
      <c r="T7" s="506" t="s">
        <v>401</v>
      </c>
      <c r="U7" s="487"/>
      <c r="V7" s="432"/>
      <c r="W7" s="502"/>
      <c r="X7" s="502"/>
      <c r="Y7" s="502"/>
      <c r="Z7" s="502"/>
      <c r="AA7" s="502"/>
      <c r="AB7" s="502"/>
      <c r="AC7" s="503"/>
      <c r="AD7" s="432"/>
      <c r="AE7" s="502"/>
      <c r="AF7" s="502"/>
      <c r="AG7" s="502"/>
      <c r="AH7" s="502"/>
      <c r="AI7" s="502"/>
      <c r="AJ7" s="502"/>
      <c r="AK7" s="502"/>
      <c r="AL7" s="503"/>
      <c r="AM7" s="491" t="s">
        <v>402</v>
      </c>
      <c r="AO7" s="130"/>
      <c r="AP7" s="130" t="str">
        <f t="shared" si="8"/>
        <v xml:space="preserve">Группа потребителей</v>
      </c>
      <c r="AQ7" s="130"/>
      <c r="AR7" s="130"/>
      <c r="AS7" s="50">
        <v>0</v>
      </c>
    </row>
    <row r="8" ht="21" hidden="1" customHeight="1">
      <c r="A8" s="265"/>
      <c r="B8" s="265"/>
      <c r="C8" s="265"/>
      <c r="D8" s="265"/>
      <c r="E8" s="577"/>
      <c r="F8" s="577"/>
      <c r="G8" s="577"/>
      <c r="H8" s="577"/>
      <c r="I8" s="73"/>
      <c r="J8" s="73"/>
      <c r="K8" s="158" t="e">
        <f>J7&amp;".1"</f>
        <v>#VALUE!</v>
      </c>
      <c r="L8" s="323" t="s">
        <v>403</v>
      </c>
      <c r="M8" s="50"/>
      <c r="N8" s="50"/>
      <c r="O8" s="50"/>
      <c r="P8" s="133"/>
      <c r="Q8" s="133"/>
      <c r="R8" s="505">
        <v>1</v>
      </c>
      <c r="S8" s="485" t="e">
        <f>$K8</f>
        <v>#VALUE!</v>
      </c>
      <c r="T8" s="507"/>
      <c r="U8" s="487"/>
      <c r="V8" s="508"/>
      <c r="W8" s="509"/>
      <c r="X8" s="508"/>
      <c r="Y8" s="510"/>
      <c r="Z8" s="511"/>
      <c r="AA8" s="225" t="s">
        <v>64</v>
      </c>
      <c r="AB8" s="511"/>
      <c r="AC8" s="225" t="s">
        <v>64</v>
      </c>
      <c r="AD8" s="508"/>
      <c r="AE8" s="509"/>
      <c r="AF8" s="508"/>
      <c r="AG8" s="510"/>
      <c r="AH8" s="511"/>
      <c r="AI8" s="225" t="s">
        <v>64</v>
      </c>
      <c r="AJ8" s="511"/>
      <c r="AK8" s="225" t="s">
        <v>64</v>
      </c>
      <c r="AL8" s="509"/>
      <c r="AM8" s="512" t="s">
        <v>404</v>
      </c>
      <c r="AN8" s="57" t="e">
        <f>STRCHECKDATE(V9:AL9)</f>
        <v>#NAME?</v>
      </c>
      <c r="AO8" s="130"/>
      <c r="AP8" s="130" t="str">
        <f t="shared" si="8"/>
        <v/>
      </c>
      <c r="AQ8" s="130"/>
      <c r="AR8" s="130"/>
      <c r="AS8" s="50">
        <v>0</v>
      </c>
    </row>
    <row r="9" ht="0.75" hidden="1" customHeight="1">
      <c r="A9" s="265"/>
      <c r="B9" s="265"/>
      <c r="C9" s="265"/>
      <c r="D9" s="265"/>
      <c r="E9" s="577"/>
      <c r="F9" s="577"/>
      <c r="G9" s="577"/>
      <c r="H9" s="577"/>
      <c r="I9" s="73"/>
      <c r="J9" s="73"/>
      <c r="K9" s="158"/>
      <c r="L9" s="323"/>
      <c r="M9" s="50"/>
      <c r="N9" s="50"/>
      <c r="O9" s="50"/>
      <c r="P9" s="133"/>
      <c r="Q9" s="133"/>
      <c r="R9" s="505"/>
      <c r="S9" s="459"/>
      <c r="T9" s="487"/>
      <c r="U9" s="487"/>
      <c r="V9" s="509"/>
      <c r="W9" s="509"/>
      <c r="X9" s="509"/>
      <c r="Y9" s="513" t="str">
        <f>Z8&amp;"-"&amp;AB8</f>
        <v>-</v>
      </c>
      <c r="Z9" s="514"/>
      <c r="AA9" s="225"/>
      <c r="AB9" s="514"/>
      <c r="AC9" s="225"/>
      <c r="AD9" s="509"/>
      <c r="AE9" s="509"/>
      <c r="AF9" s="509"/>
      <c r="AG9" s="513" t="str">
        <f>AH8&amp;"-"&amp;AJ8</f>
        <v>-</v>
      </c>
      <c r="AH9" s="514"/>
      <c r="AI9" s="225"/>
      <c r="AJ9" s="514"/>
      <c r="AK9" s="225"/>
      <c r="AL9" s="509"/>
      <c r="AM9" s="515"/>
      <c r="AO9" s="130"/>
      <c r="AP9" s="130" t="str">
        <f t="shared" si="8"/>
        <v/>
      </c>
      <c r="AQ9" s="130"/>
      <c r="AR9" s="130"/>
      <c r="AS9" s="50">
        <v>0</v>
      </c>
    </row>
    <row r="10" ht="15" hidden="1" customHeight="1">
      <c r="A10" s="265"/>
      <c r="B10" s="265"/>
      <c r="C10" s="265"/>
      <c r="D10" s="265"/>
      <c r="E10" s="577"/>
      <c r="F10" s="577"/>
      <c r="G10" s="577"/>
      <c r="H10" s="577"/>
      <c r="I10" s="73"/>
      <c r="J10" s="158"/>
      <c r="K10" s="265"/>
      <c r="L10" s="323"/>
      <c r="M10" s="50"/>
      <c r="N10" s="50"/>
      <c r="P10" s="133"/>
      <c r="Q10" s="133"/>
      <c r="R10" s="500"/>
      <c r="S10" s="516"/>
      <c r="T10" s="517" t="s">
        <v>405</v>
      </c>
      <c r="U10" s="215"/>
      <c r="V10" s="215"/>
      <c r="W10" s="215"/>
      <c r="X10" s="215"/>
      <c r="Y10" s="215"/>
      <c r="Z10" s="215"/>
      <c r="AA10" s="215"/>
      <c r="AB10" s="215"/>
      <c r="AC10" s="215"/>
      <c r="AD10" s="215"/>
      <c r="AE10" s="215"/>
      <c r="AF10" s="215"/>
      <c r="AG10" s="215"/>
      <c r="AH10" s="215"/>
      <c r="AI10" s="215"/>
      <c r="AJ10" s="215"/>
      <c r="AK10" s="215"/>
      <c r="AL10" s="518"/>
      <c r="AM10" s="519"/>
      <c r="AO10" s="130"/>
      <c r="AP10" s="130" t="str">
        <f t="shared" ref="AP10:AP57" si="9">IF(T10="","",T10)</f>
        <v xml:space="preserve">Добавить вид теплоносителя (параметры теплоносителя)</v>
      </c>
      <c r="AQ10" s="130"/>
      <c r="AR10" s="130"/>
      <c r="AS10" s="50">
        <v>0</v>
      </c>
    </row>
    <row r="11" ht="15" hidden="1" customHeight="1">
      <c r="A11" s="265"/>
      <c r="B11" s="265"/>
      <c r="C11" s="265"/>
      <c r="D11" s="265"/>
      <c r="E11" s="577"/>
      <c r="F11" s="577"/>
      <c r="G11" s="577"/>
      <c r="H11" s="577"/>
      <c r="I11" s="158"/>
      <c r="J11" s="265"/>
      <c r="K11" s="265"/>
      <c r="L11" s="323"/>
      <c r="M11" s="50"/>
      <c r="P11" s="133"/>
      <c r="Q11" s="133"/>
      <c r="R11" s="500"/>
      <c r="S11" s="516"/>
      <c r="T11" s="520" t="s">
        <v>406</v>
      </c>
      <c r="U11" s="215"/>
      <c r="V11" s="215"/>
      <c r="W11" s="215"/>
      <c r="X11" s="215"/>
      <c r="Y11" s="215"/>
      <c r="Z11" s="215"/>
      <c r="AA11" s="215"/>
      <c r="AB11" s="215"/>
      <c r="AC11" s="521"/>
      <c r="AD11" s="215"/>
      <c r="AE11" s="215"/>
      <c r="AF11" s="215"/>
      <c r="AG11" s="215"/>
      <c r="AH11" s="215"/>
      <c r="AI11" s="215"/>
      <c r="AJ11" s="215"/>
      <c r="AK11" s="521"/>
      <c r="AL11" s="215"/>
      <c r="AM11" s="522"/>
      <c r="AO11" s="130"/>
      <c r="AP11" s="130" t="str">
        <f t="shared" si="9"/>
        <v xml:space="preserve">Добавить группу потребителей</v>
      </c>
      <c r="AQ11" s="130"/>
      <c r="AR11" s="130"/>
      <c r="AS11" s="50">
        <v>0</v>
      </c>
    </row>
    <row r="12" ht="14.25" hidden="1" customHeight="1">
      <c r="A12" s="265"/>
      <c r="B12" s="265"/>
      <c r="C12" s="265"/>
      <c r="D12" s="265"/>
      <c r="E12" s="577"/>
      <c r="F12" s="577"/>
      <c r="G12" s="577"/>
      <c r="H12" s="576"/>
      <c r="I12" s="265"/>
      <c r="J12" s="265"/>
      <c r="K12" s="265"/>
      <c r="L12" s="323"/>
      <c r="M12" s="86"/>
      <c r="N12" s="86"/>
      <c r="O12" s="50"/>
      <c r="P12" s="144"/>
      <c r="Q12" s="523"/>
      <c r="R12" s="484"/>
      <c r="S12" s="516"/>
      <c r="T12" s="524" t="s">
        <v>407</v>
      </c>
      <c r="U12" s="215"/>
      <c r="V12" s="215"/>
      <c r="W12" s="215"/>
      <c r="X12" s="215"/>
      <c r="Y12" s="215"/>
      <c r="Z12" s="215"/>
      <c r="AA12" s="215"/>
      <c r="AB12" s="215"/>
      <c r="AC12" s="521"/>
      <c r="AD12" s="215"/>
      <c r="AE12" s="215"/>
      <c r="AF12" s="215"/>
      <c r="AG12" s="215"/>
      <c r="AH12" s="215"/>
      <c r="AI12" s="215"/>
      <c r="AJ12" s="215"/>
      <c r="AK12" s="521"/>
      <c r="AL12" s="215"/>
      <c r="AM12" s="522"/>
      <c r="AO12" s="130"/>
      <c r="AP12" s="130" t="str">
        <f t="shared" si="9"/>
        <v xml:space="preserve">Добавить схему подключения</v>
      </c>
      <c r="AQ12" s="130"/>
      <c r="AR12" s="130"/>
      <c r="AS12" s="50">
        <v>0</v>
      </c>
    </row>
    <row r="13" s="57" customFormat="1" ht="0.75" hidden="1" customHeight="1">
      <c r="A13" s="265"/>
      <c r="B13" s="265"/>
      <c r="C13" s="265"/>
      <c r="D13" s="265"/>
      <c r="E13" s="577"/>
      <c r="F13" s="577"/>
      <c r="G13" s="576"/>
      <c r="H13" s="265"/>
      <c r="I13" s="265"/>
      <c r="J13" s="265"/>
      <c r="K13" s="265"/>
      <c r="L13" s="323"/>
      <c r="M13" s="86"/>
      <c r="N13" s="86"/>
      <c r="O13" s="50"/>
      <c r="P13" s="168"/>
      <c r="Q13" s="525"/>
      <c r="R13" s="168"/>
      <c r="S13" s="526"/>
      <c r="T13" s="527" t="s">
        <v>408</v>
      </c>
      <c r="U13" s="528"/>
      <c r="V13" s="528"/>
      <c r="W13" s="528"/>
      <c r="X13" s="528"/>
      <c r="Y13" s="528"/>
      <c r="Z13" s="528"/>
      <c r="AA13" s="528"/>
      <c r="AB13" s="528"/>
      <c r="AC13" s="528"/>
      <c r="AD13" s="528"/>
      <c r="AE13" s="528"/>
      <c r="AF13" s="528"/>
      <c r="AG13" s="528"/>
      <c r="AH13" s="528"/>
      <c r="AI13" s="528"/>
      <c r="AJ13" s="528"/>
      <c r="AK13" s="528"/>
      <c r="AL13" s="528"/>
      <c r="AM13" s="528"/>
      <c r="AO13" s="130"/>
      <c r="AP13" s="130" t="str">
        <f t="shared" si="9"/>
        <v xml:space="preserve">Добавить источник для дифференциации</v>
      </c>
      <c r="AQ13" s="130"/>
      <c r="AR13" s="130"/>
      <c r="AS13" s="57">
        <v>0</v>
      </c>
    </row>
    <row r="14" s="57" customFormat="1" ht="0.75" hidden="1" customHeight="1">
      <c r="A14" s="265"/>
      <c r="B14" s="265"/>
      <c r="C14" s="265"/>
      <c r="D14" s="265"/>
      <c r="E14" s="577"/>
      <c r="F14" s="576"/>
      <c r="G14" s="265"/>
      <c r="H14" s="265"/>
      <c r="I14" s="265"/>
      <c r="J14" s="265"/>
      <c r="K14" s="265"/>
      <c r="L14" s="323"/>
      <c r="M14" s="583"/>
      <c r="N14" s="583"/>
      <c r="O14" s="50"/>
      <c r="P14" s="168"/>
      <c r="Q14" s="525"/>
      <c r="R14" s="168"/>
      <c r="S14" s="530"/>
      <c r="T14" s="531" t="s">
        <v>409</v>
      </c>
      <c r="U14" s="532"/>
      <c r="V14" s="532"/>
      <c r="W14" s="532"/>
      <c r="X14" s="532"/>
      <c r="Y14" s="532"/>
      <c r="Z14" s="532"/>
      <c r="AA14" s="532"/>
      <c r="AB14" s="532"/>
      <c r="AC14" s="532"/>
      <c r="AD14" s="532"/>
      <c r="AE14" s="532"/>
      <c r="AF14" s="532"/>
      <c r="AG14" s="532"/>
      <c r="AH14" s="532"/>
      <c r="AI14" s="532"/>
      <c r="AJ14" s="532"/>
      <c r="AK14" s="532"/>
      <c r="AL14" s="532"/>
      <c r="AM14" s="532"/>
      <c r="AO14" s="130"/>
      <c r="AP14" s="130" t="str">
        <f t="shared" si="9"/>
        <v xml:space="preserve">Добавить централизованную систему для дифференциации</v>
      </c>
      <c r="AQ14" s="130"/>
      <c r="AR14" s="130"/>
      <c r="AS14" s="57">
        <v>0</v>
      </c>
    </row>
    <row r="15" s="57" customFormat="1" ht="0.75" hidden="1" customHeight="1">
      <c r="A15" s="265"/>
      <c r="B15" s="265"/>
      <c r="C15" s="265"/>
      <c r="D15" s="265"/>
      <c r="E15" s="576"/>
      <c r="F15" s="265"/>
      <c r="G15" s="265"/>
      <c r="H15" s="265"/>
      <c r="I15" s="265"/>
      <c r="J15" s="265"/>
      <c r="K15" s="265"/>
      <c r="L15" s="323"/>
      <c r="M15" s="583"/>
      <c r="N15" s="583"/>
      <c r="O15" s="50"/>
      <c r="P15" s="168"/>
      <c r="Q15" s="525"/>
      <c r="R15" s="168"/>
      <c r="S15" s="530"/>
      <c r="T15" s="533" t="s">
        <v>410</v>
      </c>
      <c r="U15" s="532"/>
      <c r="V15" s="532"/>
      <c r="W15" s="532"/>
      <c r="X15" s="532"/>
      <c r="Y15" s="532"/>
      <c r="Z15" s="532"/>
      <c r="AA15" s="532"/>
      <c r="AB15" s="532"/>
      <c r="AC15" s="532"/>
      <c r="AD15" s="532"/>
      <c r="AE15" s="532"/>
      <c r="AF15" s="532"/>
      <c r="AG15" s="532"/>
      <c r="AH15" s="532"/>
      <c r="AI15" s="532"/>
      <c r="AJ15" s="532"/>
      <c r="AK15" s="532"/>
      <c r="AL15" s="532"/>
      <c r="AM15" s="532"/>
      <c r="AO15" s="130"/>
      <c r="AP15" s="130" t="str">
        <f t="shared" si="9"/>
        <v xml:space="preserve">Добавить территорию для дифференциации</v>
      </c>
      <c r="AQ15" s="130"/>
      <c r="AR15" s="130"/>
      <c r="AS15" s="57">
        <v>0</v>
      </c>
    </row>
    <row r="16" ht="14.25" hidden="1" customHeight="1">
      <c r="AS16" s="50">
        <v>0</v>
      </c>
    </row>
    <row r="17" ht="14.25" hidden="1" customHeight="1">
      <c r="AD17" s="534"/>
      <c r="AE17" s="534"/>
      <c r="AF17" s="534"/>
      <c r="AG17" s="535"/>
      <c r="AH17" s="536"/>
      <c r="AI17" s="537" t="s">
        <v>64</v>
      </c>
      <c r="AJ17" s="536"/>
      <c r="AK17" s="537" t="s">
        <v>64</v>
      </c>
      <c r="AS17" s="50">
        <v>0</v>
      </c>
    </row>
    <row r="18" ht="14.25" hidden="1" customHeight="1">
      <c r="AD18" s="534"/>
      <c r="AE18" s="534"/>
      <c r="AF18" s="534"/>
      <c r="AG18" s="513" t="str">
        <f>AH17&amp;"-"&amp;AJ17</f>
        <v>-</v>
      </c>
      <c r="AH18" s="537"/>
      <c r="AI18" s="537"/>
      <c r="AJ18" s="537"/>
      <c r="AK18" s="537"/>
      <c r="AS18" s="50">
        <v>0</v>
      </c>
    </row>
    <row r="19" ht="14.25" hidden="1" customHeight="1">
      <c r="AS19" s="50">
        <v>0</v>
      </c>
    </row>
    <row r="20" s="53" customFormat="1" ht="14.25" hidden="1" customHeight="1">
      <c r="A20" s="50"/>
      <c r="B20" s="50"/>
      <c r="C20" s="50"/>
      <c r="D20" s="50"/>
      <c r="E20" s="50"/>
      <c r="F20" s="50"/>
      <c r="G20" s="50"/>
      <c r="H20" s="50"/>
      <c r="I20" s="50"/>
      <c r="J20" s="50"/>
      <c r="K20" s="50"/>
      <c r="L20" s="51"/>
      <c r="M20" s="60"/>
      <c r="N20" s="60"/>
      <c r="O20" s="582" t="s">
        <v>411</v>
      </c>
      <c r="P20" s="61"/>
      <c r="Q20" s="539"/>
      <c r="R20" s="539"/>
      <c r="S20" s="483"/>
      <c r="Z20" s="538"/>
      <c r="AB20" s="538"/>
      <c r="AH20" s="538"/>
      <c r="AJ20" s="538"/>
      <c r="AN20" s="57"/>
      <c r="AO20" s="57"/>
      <c r="AP20" s="57"/>
      <c r="AQ20" s="57"/>
      <c r="AR20" s="57"/>
      <c r="AS20" s="53">
        <v>0</v>
      </c>
    </row>
    <row r="21" s="53" customFormat="1" ht="14.25" hidden="1" customHeight="1">
      <c r="A21" s="50"/>
      <c r="B21" s="50"/>
      <c r="C21" s="50"/>
      <c r="D21" s="50"/>
      <c r="E21" s="50"/>
      <c r="F21" s="50"/>
      <c r="G21" s="50"/>
      <c r="H21" s="50"/>
      <c r="I21" s="50"/>
      <c r="J21" s="50"/>
      <c r="K21" s="50"/>
      <c r="L21" s="51"/>
      <c r="M21" s="60"/>
      <c r="N21" s="60"/>
      <c r="O21" s="60"/>
      <c r="P21" s="61"/>
      <c r="Q21" s="539"/>
      <c r="R21" s="539"/>
      <c r="S21" s="483"/>
      <c r="AN21" s="57"/>
      <c r="AO21" s="57"/>
      <c r="AP21" s="57"/>
      <c r="AQ21" s="57"/>
      <c r="AR21" s="57"/>
      <c r="AS21" s="53">
        <v>0</v>
      </c>
    </row>
    <row r="22" s="53" customFormat="1" ht="14.25" hidden="1" customHeight="1">
      <c r="A22" s="50"/>
      <c r="B22" s="50"/>
      <c r="C22" s="50"/>
      <c r="D22" s="50"/>
      <c r="E22" s="50"/>
      <c r="F22" s="50"/>
      <c r="G22" s="50"/>
      <c r="H22" s="50"/>
      <c r="I22" s="50"/>
      <c r="J22" s="50"/>
      <c r="K22" s="50"/>
      <c r="L22" s="51"/>
      <c r="M22" s="60"/>
      <c r="N22" s="60"/>
      <c r="O22" s="323" t="s">
        <v>412</v>
      </c>
      <c r="P22" s="61"/>
      <c r="Q22" s="539"/>
      <c r="R22" s="539"/>
      <c r="S22" s="483"/>
      <c r="T22" s="53" t="s">
        <v>413</v>
      </c>
      <c r="AA22" s="152" t="s">
        <v>414</v>
      </c>
      <c r="AC22" s="152" t="s">
        <v>415</v>
      </c>
      <c r="AD22" s="53" t="s">
        <v>413</v>
      </c>
      <c r="AI22" s="152" t="s">
        <v>416</v>
      </c>
      <c r="AK22" s="152" t="s">
        <v>415</v>
      </c>
      <c r="AN22" s="57"/>
      <c r="AO22" s="57"/>
      <c r="AP22" s="57"/>
      <c r="AQ22" s="57"/>
      <c r="AR22" s="57"/>
      <c r="AS22" s="53">
        <v>0</v>
      </c>
    </row>
    <row r="23" ht="14.25" hidden="1" customHeight="1">
      <c r="O23" s="323"/>
      <c r="AS23" s="50">
        <v>0</v>
      </c>
    </row>
    <row r="24" ht="14.25" hidden="1" customHeight="1">
      <c r="O24" s="323"/>
      <c r="AS24" s="50">
        <v>0</v>
      </c>
    </row>
    <row r="25" ht="14.65" customHeight="1">
      <c r="Q25" s="540"/>
      <c r="R25" s="540"/>
      <c r="S25" s="541"/>
      <c r="T25" s="91"/>
      <c r="U25" s="91"/>
      <c r="V25" s="50"/>
      <c r="W25" s="50"/>
      <c r="X25" s="50"/>
      <c r="Y25" s="50"/>
      <c r="Z25" s="50"/>
      <c r="AA25" s="50"/>
      <c r="AB25" s="50"/>
      <c r="AC25" s="50"/>
      <c r="AD25" s="50"/>
      <c r="AE25" s="50"/>
      <c r="AF25" s="50"/>
      <c r="AG25" s="50"/>
      <c r="AH25" s="50"/>
      <c r="AI25" s="50"/>
      <c r="AJ25" s="50"/>
      <c r="AK25" s="50"/>
      <c r="AS25" s="50">
        <v>14</v>
      </c>
    </row>
    <row r="26" ht="14.65" customHeight="1">
      <c r="Q26" s="540"/>
      <c r="R26" s="540"/>
      <c r="S26" s="453" t="str">
        <f>IF(TEMPLATE_GROUP="P",PT_P_FORM_HEAT_4_NAME_FORM,PT_R_FORM_HEAT_21_NAME_FORM)</f>
        <v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453"/>
      <c r="U26" s="453"/>
      <c r="V26" s="453"/>
      <c r="W26" s="453"/>
      <c r="X26" s="453"/>
      <c r="Y26" s="453"/>
      <c r="Z26" s="453"/>
      <c r="AA26" s="453"/>
      <c r="AB26" s="453"/>
      <c r="AC26" s="453"/>
      <c r="AD26" s="453"/>
      <c r="AE26" s="453"/>
      <c r="AF26" s="453"/>
      <c r="AG26" s="453"/>
      <c r="AH26" s="453"/>
      <c r="AI26" s="453"/>
      <c r="AJ26" s="453"/>
      <c r="AK26" s="241"/>
      <c r="AS26" s="50">
        <v>14</v>
      </c>
    </row>
    <row r="27" ht="14.65" customHeight="1">
      <c r="Q27" s="540"/>
      <c r="R27" s="540"/>
      <c r="S27" s="304" t="str">
        <f>IF(org=0,"Не определено",org)</f>
        <v xml:space="preserve">АО "ДГК" СП "Биробиджанская ТЭЦ"</v>
      </c>
      <c r="T27" s="304"/>
      <c r="U27" s="304"/>
      <c r="V27" s="304"/>
      <c r="W27" s="304"/>
      <c r="X27" s="304"/>
      <c r="Y27" s="304"/>
      <c r="Z27" s="304"/>
      <c r="AA27" s="304"/>
      <c r="AB27" s="304"/>
      <c r="AC27" s="304"/>
      <c r="AD27" s="304"/>
      <c r="AE27" s="304"/>
      <c r="AF27" s="304"/>
      <c r="AG27" s="304"/>
      <c r="AH27" s="304"/>
      <c r="AI27" s="304"/>
      <c r="AJ27" s="304"/>
      <c r="AK27" s="241"/>
      <c r="AS27" s="50">
        <v>14</v>
      </c>
    </row>
    <row r="28" ht="14.25" hidden="1" customHeight="1">
      <c r="Q28" s="540"/>
      <c r="R28" s="540"/>
      <c r="S28" s="541"/>
      <c r="T28" s="91"/>
      <c r="U28" s="91"/>
      <c r="V28" s="542"/>
      <c r="W28" s="542"/>
      <c r="X28" s="542"/>
      <c r="Y28" s="542"/>
      <c r="Z28" s="542"/>
      <c r="AA28" s="542"/>
      <c r="AB28" s="542"/>
      <c r="AC28" s="542"/>
      <c r="AD28" s="542"/>
      <c r="AE28" s="542"/>
      <c r="AF28" s="542"/>
      <c r="AG28" s="542"/>
      <c r="AH28" s="542"/>
      <c r="AI28" s="542"/>
      <c r="AJ28" s="542"/>
      <c r="AK28" s="542"/>
      <c r="AL28" s="50"/>
      <c r="AS28" s="50">
        <v>0</v>
      </c>
    </row>
    <row r="29" s="185" customFormat="1" ht="25.5" hidden="1" customHeight="1">
      <c r="A29" s="107"/>
      <c r="B29" s="107"/>
      <c r="C29" s="107"/>
      <c r="D29" s="107"/>
      <c r="E29" s="107"/>
      <c r="F29" s="107"/>
      <c r="G29" s="107"/>
      <c r="H29" s="107"/>
      <c r="I29" s="107"/>
      <c r="J29" s="107"/>
      <c r="K29" s="107"/>
      <c r="L29" s="323"/>
      <c r="M29" s="107"/>
      <c r="N29" s="107"/>
      <c r="O29" s="107"/>
      <c r="S29" s="543" t="s">
        <v>41</v>
      </c>
      <c r="T29" s="543"/>
      <c r="U29" s="544"/>
      <c r="V29" s="545" t="str">
        <f>IF(TITLE_NAME_OR_PR_CHANGE="",IF(TITLE_NAME_OR_PR="","",TITLE_NAME_OR_PR),TITLE_NAME_OR_PR_CHANGE)</f>
        <v/>
      </c>
      <c r="W29" s="545"/>
      <c r="X29" s="545"/>
      <c r="Y29" s="545"/>
      <c r="Z29" s="545"/>
      <c r="AA29" s="545"/>
      <c r="AB29" s="545"/>
      <c r="AC29" s="50"/>
      <c r="AD29" s="545" t="str">
        <f>IF(TITLE_NAME_OR_PR_CHANGE="",IF(TITLE_NAME_OR_PR="","",TITLE_NAME_OR_PR),TITLE_NAME_OR_PR_CHANGE)</f>
        <v/>
      </c>
      <c r="AE29" s="545"/>
      <c r="AF29" s="545"/>
      <c r="AG29" s="545"/>
      <c r="AH29" s="545"/>
      <c r="AI29" s="545"/>
      <c r="AJ29" s="545"/>
      <c r="AK29" s="50"/>
      <c r="AL29" s="50"/>
      <c r="AM29" s="546"/>
      <c r="AN29" s="130"/>
      <c r="AO29" s="130"/>
      <c r="AP29" s="130"/>
      <c r="AQ29" s="130"/>
      <c r="AR29" s="130"/>
      <c r="AS29" s="185">
        <v>0</v>
      </c>
    </row>
    <row r="30" s="185" customFormat="1" ht="18.75" hidden="1" customHeight="1">
      <c r="A30" s="107"/>
      <c r="B30" s="107"/>
      <c r="C30" s="107"/>
      <c r="D30" s="107"/>
      <c r="E30" s="107"/>
      <c r="F30" s="107"/>
      <c r="G30" s="107"/>
      <c r="H30" s="107"/>
      <c r="I30" s="107"/>
      <c r="J30" s="107"/>
      <c r="K30" s="107"/>
      <c r="L30" s="323"/>
      <c r="M30" s="107"/>
      <c r="N30" s="107"/>
      <c r="O30" s="107"/>
      <c r="S30" s="543" t="s">
        <v>417</v>
      </c>
      <c r="T30" s="543"/>
      <c r="U30" s="544"/>
      <c r="V30" s="547" t="str">
        <f>IF(TITLE_DATE_PR_CHANGE="",IF(TITLE_DATE_PR="","",TITLE_DATE_PR),TITLE_DATE_PR_CHANGE)</f>
        <v/>
      </c>
      <c r="W30" s="547"/>
      <c r="X30" s="547"/>
      <c r="Y30" s="547"/>
      <c r="Z30" s="547"/>
      <c r="AA30" s="547"/>
      <c r="AB30" s="547"/>
      <c r="AC30" s="50"/>
      <c r="AD30" s="547" t="str">
        <f>IF(TITLE_DATE_PR_CHANGE="",IF(TITLE_DATE_PR="","",TITLE_DATE_PR),TITLE_DATE_PR_CHANGE)</f>
        <v/>
      </c>
      <c r="AE30" s="547"/>
      <c r="AF30" s="547"/>
      <c r="AG30" s="547"/>
      <c r="AH30" s="547"/>
      <c r="AI30" s="547"/>
      <c r="AJ30" s="547"/>
      <c r="AK30" s="50"/>
      <c r="AL30" s="50"/>
      <c r="AM30" s="546"/>
      <c r="AN30" s="130"/>
      <c r="AO30" s="130"/>
      <c r="AP30" s="130"/>
      <c r="AQ30" s="130"/>
      <c r="AR30" s="130"/>
      <c r="AS30" s="185">
        <v>0</v>
      </c>
    </row>
    <row r="31" s="185" customFormat="1" ht="18.75" hidden="1" customHeight="1">
      <c r="A31" s="107"/>
      <c r="B31" s="107"/>
      <c r="C31" s="107"/>
      <c r="D31" s="107"/>
      <c r="E31" s="107"/>
      <c r="F31" s="107"/>
      <c r="G31" s="107"/>
      <c r="H31" s="107"/>
      <c r="I31" s="107"/>
      <c r="J31" s="107"/>
      <c r="K31" s="107"/>
      <c r="L31" s="323"/>
      <c r="M31" s="107"/>
      <c r="N31" s="107"/>
      <c r="O31" s="107"/>
      <c r="S31" s="543" t="s">
        <v>418</v>
      </c>
      <c r="T31" s="543"/>
      <c r="U31" s="544"/>
      <c r="V31" s="545" t="str">
        <f>IF(TITLE_NUMBER_PR_CHANGE="",IF(TITLE_NUMBER_PR="","",TITLE_NUMBER_PR),TITLE_NUMBER_PR_CHANGE)</f>
        <v/>
      </c>
      <c r="W31" s="545"/>
      <c r="X31" s="545"/>
      <c r="Y31" s="545"/>
      <c r="Z31" s="545"/>
      <c r="AA31" s="545"/>
      <c r="AB31" s="545"/>
      <c r="AC31" s="50"/>
      <c r="AD31" s="545" t="str">
        <f>IF(TITLE_NUMBER_PR_CHANGE="",IF(TITLE_NUMBER_PR="","",TITLE_NUMBER_PR),TITLE_NUMBER_PR_CHANGE)</f>
        <v/>
      </c>
      <c r="AE31" s="545"/>
      <c r="AF31" s="545"/>
      <c r="AG31" s="545"/>
      <c r="AH31" s="545"/>
      <c r="AI31" s="545"/>
      <c r="AJ31" s="545"/>
      <c r="AK31" s="50"/>
      <c r="AL31" s="50"/>
      <c r="AM31" s="546"/>
      <c r="AN31" s="130"/>
      <c r="AO31" s="130"/>
      <c r="AP31" s="130"/>
      <c r="AQ31" s="130"/>
      <c r="AR31" s="130"/>
      <c r="AS31" s="185">
        <v>0</v>
      </c>
    </row>
    <row r="32" s="185" customFormat="1" ht="18.75" hidden="1" customHeight="1">
      <c r="A32" s="107"/>
      <c r="B32" s="107"/>
      <c r="C32" s="107"/>
      <c r="D32" s="107"/>
      <c r="E32" s="107"/>
      <c r="F32" s="107"/>
      <c r="G32" s="107"/>
      <c r="H32" s="107"/>
      <c r="I32" s="107"/>
      <c r="J32" s="107"/>
      <c r="K32" s="107"/>
      <c r="L32" s="323"/>
      <c r="M32" s="107"/>
      <c r="N32" s="107"/>
      <c r="O32" s="107"/>
      <c r="S32" s="543" t="s">
        <v>42</v>
      </c>
      <c r="T32" s="543"/>
      <c r="U32" s="544"/>
      <c r="V32" s="545" t="str">
        <f>IF(TITLE_IST_PUB_CHANGE="",IF(TITLE_IST_PUB="","",TITLE_IST_PUB),TITLE_IST_PUB_CHANGE)</f>
        <v/>
      </c>
      <c r="W32" s="545"/>
      <c r="X32" s="545"/>
      <c r="Y32" s="545"/>
      <c r="Z32" s="545"/>
      <c r="AA32" s="545"/>
      <c r="AB32" s="545"/>
      <c r="AC32" s="50"/>
      <c r="AD32" s="545" t="str">
        <f>IF(TITLE_IST_PUB_CHANGE="",IF(TITLE_IST_PUB="","",TITLE_IST_PUB),TITLE_IST_PUB_CHANGE)</f>
        <v/>
      </c>
      <c r="AE32" s="545"/>
      <c r="AF32" s="545"/>
      <c r="AG32" s="545"/>
      <c r="AH32" s="545"/>
      <c r="AI32" s="545"/>
      <c r="AJ32" s="545"/>
      <c r="AK32" s="50"/>
      <c r="AL32" s="50"/>
      <c r="AM32" s="546"/>
      <c r="AN32" s="130"/>
      <c r="AO32" s="130"/>
      <c r="AP32" s="130"/>
      <c r="AQ32" s="130"/>
      <c r="AR32" s="130"/>
      <c r="AS32" s="185">
        <v>0</v>
      </c>
    </row>
    <row r="33" ht="14.25" hidden="1" customHeight="1">
      <c r="Q33" s="540"/>
      <c r="R33" s="540"/>
      <c r="S33" s="541"/>
      <c r="T33" s="91"/>
      <c r="U33" s="91"/>
      <c r="V33" s="542"/>
      <c r="W33" s="542"/>
      <c r="X33" s="542"/>
      <c r="Y33" s="542"/>
      <c r="Z33" s="542"/>
      <c r="AA33" s="542"/>
      <c r="AB33" s="542"/>
      <c r="AC33" s="542"/>
      <c r="AD33" s="542"/>
      <c r="AE33" s="542"/>
      <c r="AF33" s="542"/>
      <c r="AG33" s="542"/>
      <c r="AH33" s="542"/>
      <c r="AI33" s="542"/>
      <c r="AJ33" s="542"/>
      <c r="AK33" s="542"/>
      <c r="AL33" s="50"/>
      <c r="AS33" s="50">
        <v>0</v>
      </c>
    </row>
    <row r="34" s="185" customFormat="1" ht="18.75" hidden="1" customHeight="1">
      <c r="A34" s="107"/>
      <c r="B34" s="107"/>
      <c r="C34" s="107"/>
      <c r="D34" s="107"/>
      <c r="E34" s="107"/>
      <c r="F34" s="107"/>
      <c r="G34" s="107"/>
      <c r="H34" s="107"/>
      <c r="I34" s="107"/>
      <c r="J34" s="107"/>
      <c r="K34" s="107"/>
      <c r="L34" s="323"/>
      <c r="M34" s="107"/>
      <c r="N34" s="107"/>
      <c r="O34" s="107"/>
      <c r="S34" s="543" t="s">
        <v>419</v>
      </c>
      <c r="T34" s="543"/>
      <c r="U34" s="544"/>
      <c r="V34" s="547" t="str">
        <f>IF(TITLE_DATE_PR_CHANGE="",IF(TITLE_DATE_PR="","",TITLE_DATE_PR),TITLE_DATE_PR_CHANGE)</f>
        <v/>
      </c>
      <c r="W34" s="547"/>
      <c r="X34" s="547"/>
      <c r="Y34" s="547"/>
      <c r="Z34" s="547"/>
      <c r="AA34" s="547"/>
      <c r="AB34" s="547"/>
      <c r="AC34" s="50"/>
      <c r="AD34" s="547" t="str">
        <f>IF(TITLE_DATE_PR_CHANGE="",IF(TITLE_DATE_PR="","",TITLE_DATE_PR),TITLE_DATE_PR_CHANGE)</f>
        <v/>
      </c>
      <c r="AE34" s="547"/>
      <c r="AF34" s="547"/>
      <c r="AG34" s="547"/>
      <c r="AH34" s="547"/>
      <c r="AI34" s="547"/>
      <c r="AJ34" s="547"/>
      <c r="AK34" s="50"/>
      <c r="AL34" s="50"/>
      <c r="AM34" s="546"/>
      <c r="AN34" s="130"/>
      <c r="AO34" s="130"/>
      <c r="AP34" s="130"/>
      <c r="AQ34" s="130"/>
      <c r="AR34" s="130"/>
      <c r="AS34" s="185">
        <v>0</v>
      </c>
    </row>
    <row r="35" s="185" customFormat="1" ht="18.75" hidden="1" customHeight="1">
      <c r="A35" s="107"/>
      <c r="B35" s="107"/>
      <c r="C35" s="107"/>
      <c r="D35" s="107"/>
      <c r="E35" s="107"/>
      <c r="F35" s="107"/>
      <c r="G35" s="107"/>
      <c r="H35" s="107"/>
      <c r="I35" s="107"/>
      <c r="J35" s="107"/>
      <c r="K35" s="107"/>
      <c r="L35" s="323"/>
      <c r="M35" s="107"/>
      <c r="N35" s="107"/>
      <c r="O35" s="107"/>
      <c r="S35" s="543" t="s">
        <v>420</v>
      </c>
      <c r="T35" s="543"/>
      <c r="U35" s="544"/>
      <c r="V35" s="545" t="str">
        <f>IF(TITLE_NUMBER_PR_CHANGE="",IF(TITLE_NUMBER_PR="","",TITLE_NUMBER_PR),TITLE_NUMBER_PR_CHANGE)</f>
        <v/>
      </c>
      <c r="W35" s="545"/>
      <c r="X35" s="545"/>
      <c r="Y35" s="545"/>
      <c r="Z35" s="545"/>
      <c r="AA35" s="545"/>
      <c r="AB35" s="545"/>
      <c r="AC35" s="50"/>
      <c r="AD35" s="545" t="str">
        <f>IF(TITLE_NUMBER_PR_CHANGE="",IF(TITLE_NUMBER_PR="","",TITLE_NUMBER_PR),TITLE_NUMBER_PR_CHANGE)</f>
        <v/>
      </c>
      <c r="AE35" s="545"/>
      <c r="AF35" s="545"/>
      <c r="AG35" s="545"/>
      <c r="AH35" s="545"/>
      <c r="AI35" s="545"/>
      <c r="AJ35" s="545"/>
      <c r="AK35" s="50"/>
      <c r="AL35" s="50"/>
      <c r="AM35" s="546"/>
      <c r="AN35" s="130"/>
      <c r="AO35" s="130"/>
      <c r="AP35" s="130"/>
      <c r="AQ35" s="130"/>
      <c r="AR35" s="130"/>
      <c r="AS35" s="185">
        <v>0</v>
      </c>
    </row>
    <row r="36" s="185" customFormat="1" ht="0" customHeight="1">
      <c r="A36" s="107"/>
      <c r="B36" s="107"/>
      <c r="C36" s="107"/>
      <c r="D36" s="107"/>
      <c r="E36" s="107"/>
      <c r="F36" s="107"/>
      <c r="G36" s="107"/>
      <c r="H36" s="107"/>
      <c r="I36" s="107"/>
      <c r="J36" s="107"/>
      <c r="K36" s="107"/>
      <c r="L36" s="323"/>
      <c r="M36" s="107"/>
      <c r="N36" s="107"/>
      <c r="O36" s="107"/>
      <c r="S36" s="50"/>
      <c r="T36" s="50"/>
      <c r="U36" s="141"/>
      <c r="V36" s="50"/>
      <c r="W36" s="50"/>
      <c r="X36" s="50"/>
      <c r="Y36" s="50"/>
      <c r="Z36" s="50"/>
      <c r="AA36" s="50"/>
      <c r="AB36" s="50"/>
      <c r="AC36" s="57" t="s">
        <v>421</v>
      </c>
      <c r="AD36" s="50"/>
      <c r="AE36" s="50"/>
      <c r="AF36" s="50"/>
      <c r="AG36" s="50"/>
      <c r="AH36" s="50"/>
      <c r="AI36" s="50"/>
      <c r="AJ36" s="50"/>
      <c r="AK36" s="57" t="s">
        <v>421</v>
      </c>
      <c r="AN36" s="130"/>
      <c r="AO36" s="130"/>
      <c r="AP36" s="130"/>
      <c r="AQ36" s="130"/>
      <c r="AR36" s="130"/>
      <c r="AS36" s="185">
        <v>0</v>
      </c>
    </row>
    <row r="37" ht="14.65" customHeight="1">
      <c r="Q37" s="540"/>
      <c r="R37" s="540"/>
      <c r="S37" s="541"/>
      <c r="T37" s="91"/>
      <c r="U37" s="548"/>
      <c r="V37" s="549"/>
      <c r="W37" s="549"/>
      <c r="X37" s="549"/>
      <c r="Y37" s="549"/>
      <c r="Z37" s="549"/>
      <c r="AA37" s="549"/>
      <c r="AB37" s="549"/>
      <c r="AC37" s="549"/>
      <c r="AD37" s="549"/>
      <c r="AE37" s="549"/>
      <c r="AF37" s="549"/>
      <c r="AG37" s="549"/>
      <c r="AH37" s="549"/>
      <c r="AI37" s="549"/>
      <c r="AJ37" s="549"/>
      <c r="AK37" s="549"/>
      <c r="AS37" s="50">
        <v>14</v>
      </c>
    </row>
    <row r="38" ht="14.65" customHeight="1">
      <c r="Q38" s="540"/>
      <c r="R38" s="540"/>
      <c r="S38" s="158" t="s">
        <v>294</v>
      </c>
      <c r="T38" s="158"/>
      <c r="U38" s="158"/>
      <c r="V38" s="158"/>
      <c r="W38" s="158"/>
      <c r="X38" s="158"/>
      <c r="Y38" s="158"/>
      <c r="Z38" s="158"/>
      <c r="AA38" s="158"/>
      <c r="AB38" s="158"/>
      <c r="AC38" s="158"/>
      <c r="AD38" s="158"/>
      <c r="AE38" s="158"/>
      <c r="AF38" s="158"/>
      <c r="AG38" s="158"/>
      <c r="AH38" s="158"/>
      <c r="AI38" s="158"/>
      <c r="AJ38" s="158"/>
      <c r="AK38" s="158"/>
      <c r="AL38" s="158"/>
      <c r="AM38" s="158" t="s">
        <v>295</v>
      </c>
      <c r="AS38" s="50">
        <v>14</v>
      </c>
    </row>
    <row r="39" ht="14.65" customHeight="1">
      <c r="Q39" s="540"/>
      <c r="R39" s="540"/>
      <c r="S39" s="485" t="s">
        <v>87</v>
      </c>
      <c r="T39" s="348" t="s">
        <v>422</v>
      </c>
      <c r="U39" s="550"/>
      <c r="V39" s="551" t="s">
        <v>423</v>
      </c>
      <c r="W39" s="552"/>
      <c r="X39" s="552"/>
      <c r="Y39" s="552"/>
      <c r="Z39" s="552"/>
      <c r="AA39" s="552"/>
      <c r="AB39" s="553"/>
      <c r="AC39" s="554" t="s">
        <v>424</v>
      </c>
      <c r="AD39" s="551" t="s">
        <v>423</v>
      </c>
      <c r="AE39" s="552"/>
      <c r="AF39" s="552"/>
      <c r="AG39" s="552"/>
      <c r="AH39" s="552"/>
      <c r="AI39" s="552"/>
      <c r="AJ39" s="553"/>
      <c r="AK39" s="554" t="s">
        <v>425</v>
      </c>
      <c r="AL39" s="555" t="s">
        <v>426</v>
      </c>
      <c r="AM39" s="158"/>
      <c r="AS39" s="50">
        <v>14</v>
      </c>
    </row>
    <row r="40" ht="35.649999999999999" customHeight="1">
      <c r="Q40" s="540"/>
      <c r="R40" s="540"/>
      <c r="S40" s="485"/>
      <c r="T40" s="348"/>
      <c r="U40" s="556"/>
      <c r="V40" s="308" t="s">
        <v>427</v>
      </c>
      <c r="W40" s="557" t="s">
        <v>428</v>
      </c>
      <c r="X40" s="73" t="s">
        <v>429</v>
      </c>
      <c r="Y40" s="72"/>
      <c r="Z40" s="73" t="s">
        <v>443</v>
      </c>
      <c r="AA40" s="146"/>
      <c r="AB40" s="72"/>
      <c r="AC40" s="558"/>
      <c r="AD40" s="308" t="s">
        <v>427</v>
      </c>
      <c r="AE40" s="557" t="s">
        <v>428</v>
      </c>
      <c r="AF40" s="73" t="s">
        <v>429</v>
      </c>
      <c r="AG40" s="72"/>
      <c r="AH40" s="73" t="s">
        <v>430</v>
      </c>
      <c r="AI40" s="146"/>
      <c r="AJ40" s="72"/>
      <c r="AK40" s="558"/>
      <c r="AL40" s="559"/>
      <c r="AM40" s="158"/>
      <c r="AS40" s="50">
        <v>34</v>
      </c>
    </row>
    <row r="41" ht="35.649999999999999" customHeight="1">
      <c r="A41" s="107"/>
      <c r="B41" s="107" t="s">
        <v>131</v>
      </c>
      <c r="C41" s="107" t="s">
        <v>132</v>
      </c>
      <c r="D41" s="107" t="s">
        <v>133</v>
      </c>
      <c r="E41" s="323" t="s">
        <v>431</v>
      </c>
      <c r="F41" s="323" t="s">
        <v>432</v>
      </c>
      <c r="G41" s="323" t="s">
        <v>433</v>
      </c>
      <c r="H41" s="323" t="s">
        <v>434</v>
      </c>
      <c r="I41" s="323" t="s">
        <v>435</v>
      </c>
      <c r="J41" s="323" t="s">
        <v>436</v>
      </c>
      <c r="K41" s="323" t="s">
        <v>437</v>
      </c>
      <c r="L41" s="323" t="s">
        <v>412</v>
      </c>
      <c r="Q41" s="540"/>
      <c r="R41" s="540"/>
      <c r="S41" s="485"/>
      <c r="T41" s="348"/>
      <c r="U41" s="560"/>
      <c r="V41" s="163"/>
      <c r="W41" s="561"/>
      <c r="X41" s="247" t="s">
        <v>438</v>
      </c>
      <c r="Y41" s="247" t="s">
        <v>439</v>
      </c>
      <c r="Z41" s="247" t="s">
        <v>440</v>
      </c>
      <c r="AA41" s="416" t="s">
        <v>441</v>
      </c>
      <c r="AB41" s="418"/>
      <c r="AC41" s="562"/>
      <c r="AD41" s="163"/>
      <c r="AE41" s="561"/>
      <c r="AF41" s="247" t="s">
        <v>438</v>
      </c>
      <c r="AG41" s="247" t="s">
        <v>439</v>
      </c>
      <c r="AH41" s="247" t="s">
        <v>440</v>
      </c>
      <c r="AI41" s="416" t="s">
        <v>441</v>
      </c>
      <c r="AJ41" s="418"/>
      <c r="AK41" s="562"/>
      <c r="AL41" s="563"/>
      <c r="AM41" s="158"/>
      <c r="AS41" s="50">
        <v>34</v>
      </c>
    </row>
    <row r="42" s="132" customFormat="1" ht="11.25" hidden="1" customHeight="1">
      <c r="A42" s="107"/>
      <c r="B42" s="107"/>
      <c r="C42" s="107"/>
      <c r="D42" s="107"/>
      <c r="E42" s="107"/>
      <c r="F42" s="107"/>
      <c r="G42" s="107"/>
      <c r="H42" s="107"/>
      <c r="I42" s="107"/>
      <c r="J42" s="107"/>
      <c r="K42" s="107"/>
      <c r="L42" s="323"/>
      <c r="M42" s="60"/>
      <c r="N42" s="60"/>
      <c r="O42" s="60"/>
      <c r="P42" s="564"/>
      <c r="Q42" s="565"/>
      <c r="R42" s="566">
        <v>1</v>
      </c>
      <c r="S42" s="567" t="s">
        <v>105</v>
      </c>
      <c r="T42" s="568" t="s">
        <v>106</v>
      </c>
      <c r="U42" s="569" t="str">
        <f ca="1">OFFSET(U42,0,-1)</f>
        <v>2</v>
      </c>
      <c r="V42" s="570">
        <f ca="1">OFFSET(V42,0,-1)+1</f>
        <v>3</v>
      </c>
      <c r="W42" s="570"/>
      <c r="X42" s="570">
        <f ca="1">OFFSET(X42,0,-1)+1</f>
        <v>1</v>
      </c>
      <c r="Y42" s="570">
        <f ca="1">OFFSET(Y42,0,-1)+1</f>
        <v>2</v>
      </c>
      <c r="Z42" s="570">
        <f ca="1">OFFSET(Z42,0,-1)+1</f>
        <v>3</v>
      </c>
      <c r="AA42" s="570">
        <f ca="1">OFFSET(AA42,0,-1)+1</f>
        <v>4</v>
      </c>
      <c r="AB42" s="570"/>
      <c r="AC42" s="570">
        <f ca="1">OFFSET(AC42,0,-2)+1</f>
        <v>5</v>
      </c>
      <c r="AD42" s="570">
        <f ca="1">OFFSET(AD42,0,-1)+1</f>
        <v>6</v>
      </c>
      <c r="AE42" s="570"/>
      <c r="AF42" s="570">
        <f ca="1">OFFSET(AF42,0,-1)+1</f>
        <v>1</v>
      </c>
      <c r="AG42" s="570">
        <f ca="1">OFFSET(AG42,0,-1)+1</f>
        <v>2</v>
      </c>
      <c r="AH42" s="570">
        <f ca="1">OFFSET(AH42,0,-1)+1</f>
        <v>3</v>
      </c>
      <c r="AI42" s="570">
        <f ca="1">OFFSET(AI42,0,-1)+1</f>
        <v>4</v>
      </c>
      <c r="AJ42" s="570"/>
      <c r="AK42" s="570">
        <f ca="1">OFFSET(AK42,0,-2)+1</f>
        <v>5</v>
      </c>
      <c r="AL42" s="569">
        <f ca="1">OFFSET(AL42,0,-1)</f>
        <v>5</v>
      </c>
      <c r="AM42" s="570">
        <f ca="1">OFFSET(AM42,0,-1)+1</f>
        <v>6</v>
      </c>
      <c r="AN42" s="57"/>
      <c r="AO42" s="57"/>
      <c r="AP42" s="57"/>
      <c r="AQ42" s="57"/>
      <c r="AR42" s="57"/>
      <c r="AS42" s="132">
        <v>0</v>
      </c>
    </row>
    <row r="43" ht="22" customHeight="1">
      <c r="A43" s="265" t="s">
        <v>206</v>
      </c>
      <c r="B43" s="265"/>
      <c r="C43" s="265"/>
      <c r="D43" s="265"/>
      <c r="E43" s="576">
        <v>1</v>
      </c>
      <c r="F43" s="265"/>
      <c r="G43" s="265"/>
      <c r="H43" s="265"/>
      <c r="I43" s="265"/>
      <c r="J43" s="265"/>
      <c r="K43" s="265"/>
      <c r="L43" s="323"/>
      <c r="M43" s="86"/>
      <c r="N43" s="86"/>
      <c r="O43" s="86"/>
      <c r="P43" s="60"/>
      <c r="Q43" s="144"/>
      <c r="R43" s="484"/>
      <c r="S43" s="485">
        <f>INDEX(PT_DIFFERENTIATION_NUM_NTAR,MATCH(A43,PT_DIFFERENTIATION_NTAR_ID,0))</f>
        <v>0</v>
      </c>
      <c r="T43" s="486" t="s">
        <v>119</v>
      </c>
      <c r="U43" s="487"/>
      <c r="V43" s="488"/>
      <c r="W43" s="489"/>
      <c r="X43" s="489"/>
      <c r="Y43" s="489"/>
      <c r="Z43" s="489"/>
      <c r="AA43" s="489"/>
      <c r="AB43" s="489"/>
      <c r="AC43" s="490"/>
      <c r="AD43" s="488" t="str">
        <f>INDEX(PT_DIFFERENTIATION_NTAR,MATCH(A43,PT_DIFFERENTIATION_NTAR_ID,0))</f>
        <v/>
      </c>
      <c r="AE43" s="489"/>
      <c r="AF43" s="489"/>
      <c r="AG43" s="489"/>
      <c r="AH43" s="489"/>
      <c r="AI43" s="489"/>
      <c r="AJ43" s="489"/>
      <c r="AK43" s="489"/>
      <c r="AL43" s="490"/>
      <c r="AM43" s="49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30"/>
      <c r="AP43" s="130" t="str">
        <f t="shared" si="9"/>
        <v xml:space="preserve">Наименование тарифа</v>
      </c>
      <c r="AQ43" s="130"/>
      <c r="AR43" s="130"/>
      <c r="AS43" s="50">
        <v>21</v>
      </c>
    </row>
    <row r="44" ht="22" customHeight="1">
      <c r="A44" s="265" t="s">
        <v>206</v>
      </c>
      <c r="B44" s="265" t="s">
        <v>207</v>
      </c>
      <c r="C44" s="265"/>
      <c r="D44" s="265"/>
      <c r="E44" s="577"/>
      <c r="F44" s="576">
        <v>1</v>
      </c>
      <c r="G44" s="265"/>
      <c r="H44" s="265"/>
      <c r="I44" s="265"/>
      <c r="J44" s="265"/>
      <c r="K44" s="265"/>
      <c r="L44" s="323"/>
      <c r="M44" s="86"/>
      <c r="N44" s="86"/>
      <c r="O44" s="86"/>
      <c r="P44" s="51"/>
      <c r="Q44" s="493"/>
      <c r="R44" s="494"/>
      <c r="S44" s="485" t="str">
        <f>INDEX(PT_DIFFERENTIATION_NUM_TER,MATCH(B44,PT_DIFFERENTIATION_TER_ID,0))</f>
        <v>.</v>
      </c>
      <c r="T44" s="495" t="s">
        <v>391</v>
      </c>
      <c r="U44" s="487"/>
      <c r="V44" s="488"/>
      <c r="W44" s="489"/>
      <c r="X44" s="489"/>
      <c r="Y44" s="489"/>
      <c r="Z44" s="489"/>
      <c r="AA44" s="489"/>
      <c r="AB44" s="489"/>
      <c r="AC44" s="490"/>
      <c r="AD44" s="488" t="str">
        <f>INDEX(PT_DIFFERENTIATION_TER,MATCH(B44,PT_DIFFERENTIATION_TER_ID,0))</f>
        <v/>
      </c>
      <c r="AE44" s="489"/>
      <c r="AF44" s="489"/>
      <c r="AG44" s="489"/>
      <c r="AH44" s="489"/>
      <c r="AI44" s="489"/>
      <c r="AJ44" s="489"/>
      <c r="AK44" s="489"/>
      <c r="AL44" s="490"/>
      <c r="AM44" s="491" t="s">
        <v>392</v>
      </c>
      <c r="AO44" s="130"/>
      <c r="AP44" s="130" t="str">
        <f t="shared" si="9"/>
        <v xml:space="preserve">Территория действия тарифа</v>
      </c>
      <c r="AQ44" s="130"/>
      <c r="AR44" s="130"/>
      <c r="AS44" s="50">
        <v>21</v>
      </c>
    </row>
    <row r="45" ht="24" customHeight="1">
      <c r="A45" s="265" t="s">
        <v>206</v>
      </c>
      <c r="B45" s="265" t="s">
        <v>207</v>
      </c>
      <c r="C45" s="265" t="s">
        <v>208</v>
      </c>
      <c r="D45" s="265"/>
      <c r="E45" s="577"/>
      <c r="F45" s="577"/>
      <c r="G45" s="576">
        <v>1</v>
      </c>
      <c r="H45" s="265"/>
      <c r="I45" s="265"/>
      <c r="J45" s="265"/>
      <c r="K45" s="265"/>
      <c r="L45" s="323"/>
      <c r="M45" s="86"/>
      <c r="N45" s="86"/>
      <c r="O45" s="86"/>
      <c r="P45" s="496"/>
      <c r="Q45" s="493"/>
      <c r="R45" s="494"/>
      <c r="S45" s="485" t="str">
        <f>INDEX(PT_DIFFERENTIATION_NUM_CS,MATCH(C45,PT_DIFFERENTIATION_CS_ID,0))</f>
        <v>..</v>
      </c>
      <c r="T45" s="497" t="s">
        <v>393</v>
      </c>
      <c r="U45" s="487"/>
      <c r="V45" s="488"/>
      <c r="W45" s="489"/>
      <c r="X45" s="489"/>
      <c r="Y45" s="489"/>
      <c r="Z45" s="489"/>
      <c r="AA45" s="489"/>
      <c r="AB45" s="489"/>
      <c r="AC45" s="490"/>
      <c r="AD45" s="488" t="str">
        <f>INDEX(PT_DIFFERENTIATION_CS,MATCH(C45,PT_DIFFERENTIATION_CS_ID,0))</f>
        <v/>
      </c>
      <c r="AE45" s="489"/>
      <c r="AF45" s="489"/>
      <c r="AG45" s="489"/>
      <c r="AH45" s="489"/>
      <c r="AI45" s="489"/>
      <c r="AJ45" s="489"/>
      <c r="AK45" s="489"/>
      <c r="AL45" s="490"/>
      <c r="AM45" s="491" t="s">
        <v>394</v>
      </c>
      <c r="AO45" s="130"/>
      <c r="AP45" s="130" t="str">
        <f t="shared" si="9"/>
        <v xml:space="preserve">Наименование системы теплоснабжения </v>
      </c>
      <c r="AQ45" s="130"/>
      <c r="AR45" s="130"/>
      <c r="AS45" s="50">
        <v>23</v>
      </c>
    </row>
    <row r="46" ht="22" customHeight="1">
      <c r="A46" s="265" t="s">
        <v>206</v>
      </c>
      <c r="B46" s="265" t="s">
        <v>207</v>
      </c>
      <c r="C46" s="265" t="s">
        <v>208</v>
      </c>
      <c r="D46" s="265" t="s">
        <v>209</v>
      </c>
      <c r="E46" s="577"/>
      <c r="F46" s="577"/>
      <c r="G46" s="577"/>
      <c r="H46" s="576">
        <v>1</v>
      </c>
      <c r="I46" s="265"/>
      <c r="J46" s="265"/>
      <c r="K46" s="265"/>
      <c r="L46" s="323"/>
      <c r="M46" s="86"/>
      <c r="N46" s="86"/>
      <c r="O46" s="86"/>
      <c r="P46" s="496"/>
      <c r="Q46" s="493"/>
      <c r="R46" s="494"/>
      <c r="S46" s="485" t="str">
        <f>INDEX(PT_DIFFERENTIATION_NUM_IST_TE,MATCH(D46,PT_DIFFERENTIATION_IST_TE_ID,0))</f>
        <v>...</v>
      </c>
      <c r="T46" s="498" t="s">
        <v>395</v>
      </c>
      <c r="U46" s="487"/>
      <c r="V46" s="488"/>
      <c r="W46" s="489"/>
      <c r="X46" s="489"/>
      <c r="Y46" s="489"/>
      <c r="Z46" s="489"/>
      <c r="AA46" s="489"/>
      <c r="AB46" s="489"/>
      <c r="AC46" s="490"/>
      <c r="AD46" s="488" t="str">
        <f>INDEX(PT_DIFFERENTIATION_IST_TE,MATCH(D46,PT_DIFFERENTIATION_IST_TE_ID,0))</f>
        <v/>
      </c>
      <c r="AE46" s="489"/>
      <c r="AF46" s="489"/>
      <c r="AG46" s="489"/>
      <c r="AH46" s="489"/>
      <c r="AI46" s="489"/>
      <c r="AJ46" s="489"/>
      <c r="AK46" s="489"/>
      <c r="AL46" s="490"/>
      <c r="AM46" s="491" t="s">
        <v>396</v>
      </c>
      <c r="AO46" s="130"/>
      <c r="AP46" s="130" t="str">
        <f t="shared" si="9"/>
        <v xml:space="preserve">Источник тепловой энергии  </v>
      </c>
      <c r="AQ46" s="130"/>
      <c r="AR46" s="130"/>
      <c r="AS46" s="50">
        <v>21</v>
      </c>
    </row>
    <row r="47" ht="49.5" customHeight="1">
      <c r="A47" s="265" t="s">
        <v>206</v>
      </c>
      <c r="B47" s="265" t="s">
        <v>207</v>
      </c>
      <c r="C47" s="265" t="s">
        <v>208</v>
      </c>
      <c r="D47" s="265" t="s">
        <v>209</v>
      </c>
      <c r="E47" s="577"/>
      <c r="F47" s="577"/>
      <c r="G47" s="577"/>
      <c r="H47" s="577"/>
      <c r="I47" s="158" t="str">
        <f>S46&amp;".1"</f>
        <v>....1</v>
      </c>
      <c r="J47" s="265"/>
      <c r="K47" s="265"/>
      <c r="L47" s="323" t="s">
        <v>397</v>
      </c>
      <c r="P47" s="133">
        <v>1</v>
      </c>
      <c r="Q47" s="133"/>
      <c r="R47" s="500"/>
      <c r="S47" s="485" t="str">
        <f>$I47</f>
        <v>....1</v>
      </c>
      <c r="T47" s="501" t="s">
        <v>398</v>
      </c>
      <c r="U47" s="487"/>
      <c r="V47" s="432"/>
      <c r="W47" s="502"/>
      <c r="X47" s="502"/>
      <c r="Y47" s="502"/>
      <c r="Z47" s="502"/>
      <c r="AA47" s="502"/>
      <c r="AB47" s="502"/>
      <c r="AC47" s="503"/>
      <c r="AD47" s="432"/>
      <c r="AE47" s="502"/>
      <c r="AF47" s="502"/>
      <c r="AG47" s="502"/>
      <c r="AH47" s="502"/>
      <c r="AI47" s="502"/>
      <c r="AJ47" s="502"/>
      <c r="AK47" s="502"/>
      <c r="AL47" s="503"/>
      <c r="AM47" s="491" t="s">
        <v>399</v>
      </c>
      <c r="AO47" s="130"/>
      <c r="AP47" s="130" t="str">
        <f t="shared" si="9"/>
        <v xml:space="preserve">Схема подключения теплопотребляющей установки к коллектору источника тепловой энергии</v>
      </c>
      <c r="AQ47" s="130"/>
      <c r="AR47" s="130"/>
      <c r="AS47" s="50">
        <v>47</v>
      </c>
    </row>
    <row r="48" ht="22" customHeight="1">
      <c r="A48" s="265" t="s">
        <v>206</v>
      </c>
      <c r="B48" s="265" t="s">
        <v>207</v>
      </c>
      <c r="C48" s="265" t="s">
        <v>208</v>
      </c>
      <c r="D48" s="265" t="s">
        <v>209</v>
      </c>
      <c r="E48" s="577"/>
      <c r="F48" s="577"/>
      <c r="G48" s="577"/>
      <c r="H48" s="577"/>
      <c r="I48" s="73"/>
      <c r="J48" s="158" t="str">
        <f>I47&amp;".1"</f>
        <v>....1.1</v>
      </c>
      <c r="K48" s="265"/>
      <c r="L48" s="323" t="s">
        <v>400</v>
      </c>
      <c r="P48" s="133"/>
      <c r="Q48" s="133">
        <v>1</v>
      </c>
      <c r="R48" s="505"/>
      <c r="S48" s="485" t="str">
        <f>$J48</f>
        <v>....1.1</v>
      </c>
      <c r="T48" s="506" t="s">
        <v>401</v>
      </c>
      <c r="U48" s="487"/>
      <c r="V48" s="432"/>
      <c r="W48" s="502"/>
      <c r="X48" s="502"/>
      <c r="Y48" s="502"/>
      <c r="Z48" s="502"/>
      <c r="AA48" s="502"/>
      <c r="AB48" s="502"/>
      <c r="AC48" s="503"/>
      <c r="AD48" s="432"/>
      <c r="AE48" s="502"/>
      <c r="AF48" s="502"/>
      <c r="AG48" s="502"/>
      <c r="AH48" s="502"/>
      <c r="AI48" s="502"/>
      <c r="AJ48" s="502"/>
      <c r="AK48" s="502"/>
      <c r="AL48" s="503"/>
      <c r="AM48" s="491" t="s">
        <v>402</v>
      </c>
      <c r="AO48" s="130"/>
      <c r="AP48" s="130" t="str">
        <f t="shared" si="9"/>
        <v xml:space="preserve">Группа потребителей</v>
      </c>
      <c r="AQ48" s="130"/>
      <c r="AR48" s="130"/>
      <c r="AS48" s="50">
        <v>21</v>
      </c>
    </row>
    <row r="49" ht="22" customHeight="1">
      <c r="A49" s="265" t="s">
        <v>206</v>
      </c>
      <c r="B49" s="265" t="s">
        <v>207</v>
      </c>
      <c r="C49" s="265" t="s">
        <v>208</v>
      </c>
      <c r="D49" s="265" t="s">
        <v>209</v>
      </c>
      <c r="E49" s="577"/>
      <c r="F49" s="577"/>
      <c r="G49" s="577"/>
      <c r="H49" s="577"/>
      <c r="I49" s="73"/>
      <c r="J49" s="73"/>
      <c r="K49" s="158" t="str">
        <f>J48&amp;".1"</f>
        <v>....1.1.1</v>
      </c>
      <c r="L49" s="323" t="s">
        <v>403</v>
      </c>
      <c r="P49" s="133"/>
      <c r="Q49" s="133"/>
      <c r="R49" s="505">
        <v>1</v>
      </c>
      <c r="S49" s="485" t="str">
        <f>$K49</f>
        <v>....1.1.1</v>
      </c>
      <c r="T49" s="507"/>
      <c r="U49" s="487"/>
      <c r="V49" s="508"/>
      <c r="W49" s="509"/>
      <c r="X49" s="508"/>
      <c r="Y49" s="510"/>
      <c r="Z49" s="511"/>
      <c r="AA49" s="225" t="s">
        <v>64</v>
      </c>
      <c r="AB49" s="511"/>
      <c r="AC49" s="225" t="s">
        <v>64</v>
      </c>
      <c r="AD49" s="508"/>
      <c r="AE49" s="509"/>
      <c r="AF49" s="508"/>
      <c r="AG49" s="510"/>
      <c r="AH49" s="511"/>
      <c r="AI49" s="225" t="s">
        <v>64</v>
      </c>
      <c r="AJ49" s="571"/>
      <c r="AK49" s="225" t="s">
        <v>64</v>
      </c>
      <c r="AL49" s="572"/>
      <c r="AM49" s="512" t="s">
        <v>404</v>
      </c>
      <c r="AN49" s="57" t="e">
        <f>STRCHECKDATE(V50:AL50)</f>
        <v>#NAME?</v>
      </c>
      <c r="AO49" s="130"/>
      <c r="AP49" s="130" t="str">
        <f t="shared" si="9"/>
        <v/>
      </c>
      <c r="AQ49" s="130"/>
      <c r="AR49" s="130"/>
      <c r="AS49" s="50">
        <v>21</v>
      </c>
    </row>
    <row r="50" ht="1.05" customHeight="1">
      <c r="A50" s="265" t="s">
        <v>206</v>
      </c>
      <c r="B50" s="265" t="s">
        <v>207</v>
      </c>
      <c r="C50" s="265" t="s">
        <v>208</v>
      </c>
      <c r="D50" s="265" t="s">
        <v>209</v>
      </c>
      <c r="E50" s="577"/>
      <c r="F50" s="577"/>
      <c r="G50" s="577"/>
      <c r="H50" s="577"/>
      <c r="I50" s="73"/>
      <c r="J50" s="73"/>
      <c r="K50" s="158"/>
      <c r="L50" s="323"/>
      <c r="P50" s="133"/>
      <c r="Q50" s="133"/>
      <c r="R50" s="505"/>
      <c r="S50" s="459"/>
      <c r="T50" s="487"/>
      <c r="U50" s="487"/>
      <c r="V50" s="509"/>
      <c r="W50" s="509"/>
      <c r="X50" s="509"/>
      <c r="Y50" s="513" t="str">
        <f>Z49&amp;"-"&amp;AB49</f>
        <v>-</v>
      </c>
      <c r="Z50" s="514"/>
      <c r="AA50" s="225"/>
      <c r="AB50" s="514"/>
      <c r="AC50" s="225"/>
      <c r="AD50" s="509"/>
      <c r="AE50" s="509"/>
      <c r="AF50" s="509"/>
      <c r="AG50" s="513" t="str">
        <f>AH49&amp;"-"&amp;AJ49</f>
        <v>-</v>
      </c>
      <c r="AH50" s="514"/>
      <c r="AI50" s="225"/>
      <c r="AJ50" s="573"/>
      <c r="AK50" s="225"/>
      <c r="AL50" s="574"/>
      <c r="AM50" s="515"/>
      <c r="AO50" s="130"/>
      <c r="AP50" s="130" t="str">
        <f t="shared" si="9"/>
        <v/>
      </c>
      <c r="AQ50" s="130"/>
      <c r="AR50" s="130"/>
      <c r="AS50" s="50">
        <v>1</v>
      </c>
    </row>
    <row r="51" ht="11.5" customHeight="1">
      <c r="A51" s="265" t="s">
        <v>206</v>
      </c>
      <c r="B51" s="265" t="s">
        <v>207</v>
      </c>
      <c r="C51" s="265" t="s">
        <v>208</v>
      </c>
      <c r="D51" s="265" t="s">
        <v>209</v>
      </c>
      <c r="E51" s="577"/>
      <c r="F51" s="577"/>
      <c r="G51" s="577"/>
      <c r="H51" s="577"/>
      <c r="I51" s="73"/>
      <c r="J51" s="158"/>
      <c r="K51" s="265"/>
      <c r="L51" s="323"/>
      <c r="P51" s="133"/>
      <c r="Q51" s="133"/>
      <c r="R51" s="500"/>
      <c r="S51" s="516"/>
      <c r="T51" s="517" t="s">
        <v>405</v>
      </c>
      <c r="U51" s="215"/>
      <c r="V51" s="215"/>
      <c r="W51" s="215"/>
      <c r="X51" s="215"/>
      <c r="Y51" s="215"/>
      <c r="Z51" s="215"/>
      <c r="AA51" s="215"/>
      <c r="AB51" s="215"/>
      <c r="AC51" s="215"/>
      <c r="AD51" s="215"/>
      <c r="AE51" s="215"/>
      <c r="AF51" s="215"/>
      <c r="AG51" s="215"/>
      <c r="AH51" s="215"/>
      <c r="AI51" s="215"/>
      <c r="AJ51" s="215"/>
      <c r="AK51" s="215"/>
      <c r="AL51" s="518"/>
      <c r="AM51" s="519"/>
      <c r="AO51" s="130"/>
      <c r="AP51" s="130" t="str">
        <f t="shared" si="9"/>
        <v xml:space="preserve">Добавить вид теплоносителя (параметры теплоносителя)</v>
      </c>
      <c r="AQ51" s="130"/>
      <c r="AR51" s="130"/>
      <c r="AS51" s="50">
        <v>11</v>
      </c>
    </row>
    <row r="52" ht="11.5" customHeight="1">
      <c r="A52" s="265" t="s">
        <v>206</v>
      </c>
      <c r="B52" s="265" t="s">
        <v>207</v>
      </c>
      <c r="C52" s="265" t="s">
        <v>208</v>
      </c>
      <c r="D52" s="265" t="s">
        <v>209</v>
      </c>
      <c r="E52" s="577"/>
      <c r="F52" s="577"/>
      <c r="G52" s="577"/>
      <c r="H52" s="577"/>
      <c r="I52" s="158"/>
      <c r="J52" s="265"/>
      <c r="K52" s="265"/>
      <c r="L52" s="323"/>
      <c r="P52" s="133"/>
      <c r="Q52" s="133"/>
      <c r="R52" s="500"/>
      <c r="S52" s="516"/>
      <c r="T52" s="520" t="s">
        <v>406</v>
      </c>
      <c r="U52" s="215"/>
      <c r="V52" s="215"/>
      <c r="W52" s="215"/>
      <c r="X52" s="215"/>
      <c r="Y52" s="215"/>
      <c r="Z52" s="215"/>
      <c r="AA52" s="215"/>
      <c r="AB52" s="215"/>
      <c r="AC52" s="521"/>
      <c r="AD52" s="215"/>
      <c r="AE52" s="215"/>
      <c r="AF52" s="215"/>
      <c r="AG52" s="215"/>
      <c r="AH52" s="215"/>
      <c r="AI52" s="215"/>
      <c r="AJ52" s="215"/>
      <c r="AK52" s="521"/>
      <c r="AL52" s="215"/>
      <c r="AM52" s="522"/>
      <c r="AO52" s="130"/>
      <c r="AP52" s="130" t="str">
        <f t="shared" si="9"/>
        <v xml:space="preserve">Добавить группу потребителей</v>
      </c>
      <c r="AQ52" s="130"/>
      <c r="AR52" s="130"/>
      <c r="AS52" s="50">
        <v>11</v>
      </c>
    </row>
    <row r="53" ht="14.65" customHeight="1">
      <c r="A53" s="265" t="s">
        <v>206</v>
      </c>
      <c r="B53" s="265" t="s">
        <v>207</v>
      </c>
      <c r="C53" s="265" t="s">
        <v>208</v>
      </c>
      <c r="D53" s="265" t="s">
        <v>209</v>
      </c>
      <c r="E53" s="577"/>
      <c r="F53" s="577"/>
      <c r="G53" s="577"/>
      <c r="H53" s="576"/>
      <c r="I53" s="265"/>
      <c r="J53" s="265"/>
      <c r="K53" s="265"/>
      <c r="L53" s="323"/>
      <c r="M53" s="86"/>
      <c r="N53" s="86"/>
      <c r="O53" s="50"/>
      <c r="P53" s="144"/>
      <c r="Q53" s="523"/>
      <c r="R53" s="484"/>
      <c r="S53" s="516"/>
      <c r="T53" s="524" t="s">
        <v>407</v>
      </c>
      <c r="U53" s="215"/>
      <c r="V53" s="215"/>
      <c r="W53" s="215"/>
      <c r="X53" s="215"/>
      <c r="Y53" s="215"/>
      <c r="Z53" s="215"/>
      <c r="AA53" s="215"/>
      <c r="AB53" s="215"/>
      <c r="AC53" s="521"/>
      <c r="AD53" s="215"/>
      <c r="AE53" s="215"/>
      <c r="AF53" s="215"/>
      <c r="AG53" s="215"/>
      <c r="AH53" s="215"/>
      <c r="AI53" s="215"/>
      <c r="AJ53" s="215"/>
      <c r="AK53" s="521"/>
      <c r="AL53" s="215"/>
      <c r="AM53" s="522"/>
      <c r="AO53" s="130"/>
      <c r="AP53" s="130" t="str">
        <f t="shared" si="9"/>
        <v xml:space="preserve">Добавить схему подключения</v>
      </c>
      <c r="AQ53" s="130"/>
      <c r="AR53" s="130"/>
      <c r="AS53" s="50">
        <v>14</v>
      </c>
    </row>
    <row r="54" s="57" customFormat="1" ht="1.05" customHeight="1">
      <c r="A54" s="265" t="s">
        <v>206</v>
      </c>
      <c r="B54" s="265" t="s">
        <v>207</v>
      </c>
      <c r="C54" s="265" t="s">
        <v>208</v>
      </c>
      <c r="D54" s="265"/>
      <c r="E54" s="577"/>
      <c r="F54" s="577"/>
      <c r="G54" s="576"/>
      <c r="H54" s="265"/>
      <c r="I54" s="265"/>
      <c r="J54" s="265"/>
      <c r="K54" s="265"/>
      <c r="L54" s="323"/>
      <c r="M54" s="86"/>
      <c r="N54" s="86"/>
      <c r="O54" s="50"/>
      <c r="P54" s="168"/>
      <c r="Q54" s="525"/>
      <c r="R54" s="168"/>
      <c r="S54" s="530"/>
      <c r="T54" s="533" t="s">
        <v>408</v>
      </c>
      <c r="U54" s="532"/>
      <c r="V54" s="532"/>
      <c r="W54" s="532"/>
      <c r="X54" s="532"/>
      <c r="Y54" s="532"/>
      <c r="Z54" s="532"/>
      <c r="AA54" s="532"/>
      <c r="AB54" s="532"/>
      <c r="AC54" s="532"/>
      <c r="AD54" s="532"/>
      <c r="AE54" s="532"/>
      <c r="AF54" s="532"/>
      <c r="AG54" s="532"/>
      <c r="AH54" s="532"/>
      <c r="AI54" s="532"/>
      <c r="AJ54" s="532"/>
      <c r="AK54" s="532"/>
      <c r="AL54" s="532"/>
      <c r="AM54" s="532"/>
      <c r="AO54" s="130"/>
      <c r="AP54" s="130" t="str">
        <f t="shared" si="9"/>
        <v xml:space="preserve">Добавить источник для дифференциации</v>
      </c>
      <c r="AQ54" s="130"/>
      <c r="AR54" s="130"/>
      <c r="AS54" s="57">
        <v>1</v>
      </c>
    </row>
    <row r="55" s="57" customFormat="1" ht="1.05" customHeight="1">
      <c r="A55" s="265" t="s">
        <v>206</v>
      </c>
      <c r="B55" s="265" t="s">
        <v>207</v>
      </c>
      <c r="C55" s="265"/>
      <c r="D55" s="265"/>
      <c r="E55" s="577"/>
      <c r="F55" s="576"/>
      <c r="G55" s="265"/>
      <c r="H55" s="265"/>
      <c r="I55" s="265"/>
      <c r="J55" s="265"/>
      <c r="K55" s="265"/>
      <c r="L55" s="323"/>
      <c r="M55" s="583"/>
      <c r="N55" s="583"/>
      <c r="O55" s="50"/>
      <c r="P55" s="168"/>
      <c r="Q55" s="525"/>
      <c r="R55" s="168"/>
      <c r="S55" s="530"/>
      <c r="T55" s="533" t="s">
        <v>409</v>
      </c>
      <c r="U55" s="532"/>
      <c r="V55" s="532"/>
      <c r="W55" s="532"/>
      <c r="X55" s="532"/>
      <c r="Y55" s="532"/>
      <c r="Z55" s="532"/>
      <c r="AA55" s="532"/>
      <c r="AB55" s="532"/>
      <c r="AC55" s="532"/>
      <c r="AD55" s="532"/>
      <c r="AE55" s="532"/>
      <c r="AF55" s="532"/>
      <c r="AG55" s="532"/>
      <c r="AH55" s="532"/>
      <c r="AI55" s="532"/>
      <c r="AJ55" s="532"/>
      <c r="AK55" s="532"/>
      <c r="AL55" s="532"/>
      <c r="AM55" s="532"/>
      <c r="AO55" s="130"/>
      <c r="AP55" s="130" t="str">
        <f t="shared" si="9"/>
        <v xml:space="preserve">Добавить централизованную систему для дифференциации</v>
      </c>
      <c r="AQ55" s="130"/>
      <c r="AR55" s="130"/>
      <c r="AS55" s="57">
        <v>1</v>
      </c>
    </row>
    <row r="56" s="57" customFormat="1" ht="1.05" customHeight="1">
      <c r="A56" s="265" t="s">
        <v>206</v>
      </c>
      <c r="B56" s="265"/>
      <c r="C56" s="265"/>
      <c r="D56" s="265"/>
      <c r="E56" s="576"/>
      <c r="F56" s="265"/>
      <c r="G56" s="265"/>
      <c r="H56" s="265"/>
      <c r="I56" s="265"/>
      <c r="J56" s="265"/>
      <c r="K56" s="265"/>
      <c r="L56" s="323"/>
      <c r="M56" s="583"/>
      <c r="N56" s="583"/>
      <c r="O56" s="50"/>
      <c r="P56" s="168"/>
      <c r="Q56" s="525"/>
      <c r="R56" s="168"/>
      <c r="S56" s="530"/>
      <c r="T56" s="533" t="s">
        <v>410</v>
      </c>
      <c r="U56" s="532"/>
      <c r="V56" s="532"/>
      <c r="W56" s="532"/>
      <c r="X56" s="532"/>
      <c r="Y56" s="532"/>
      <c r="Z56" s="532"/>
      <c r="AA56" s="532"/>
      <c r="AB56" s="532"/>
      <c r="AC56" s="532"/>
      <c r="AD56" s="532"/>
      <c r="AE56" s="532"/>
      <c r="AF56" s="532"/>
      <c r="AG56" s="532"/>
      <c r="AH56" s="532"/>
      <c r="AI56" s="532"/>
      <c r="AJ56" s="532"/>
      <c r="AK56" s="532"/>
      <c r="AL56" s="532"/>
      <c r="AM56" s="532"/>
      <c r="AO56" s="130"/>
      <c r="AP56" s="130" t="str">
        <f t="shared" si="9"/>
        <v xml:space="preserve">Добавить территорию для дифференциации</v>
      </c>
      <c r="AQ56" s="130"/>
      <c r="AR56" s="130"/>
      <c r="AS56" s="57">
        <v>1</v>
      </c>
    </row>
    <row r="57" s="57" customFormat="1" ht="1.05" customHeight="1">
      <c r="A57" s="265"/>
      <c r="B57" s="265"/>
      <c r="C57" s="265"/>
      <c r="D57" s="265"/>
      <c r="E57" s="265"/>
      <c r="F57" s="265"/>
      <c r="G57" s="265"/>
      <c r="H57" s="265"/>
      <c r="I57" s="265"/>
      <c r="J57" s="265"/>
      <c r="K57" s="265"/>
      <c r="L57" s="323"/>
      <c r="M57" s="583"/>
      <c r="N57" s="583"/>
      <c r="O57" s="50"/>
      <c r="P57" s="168"/>
      <c r="Q57" s="525"/>
      <c r="R57" s="168"/>
      <c r="S57" s="530"/>
      <c r="T57" s="533" t="s">
        <v>442</v>
      </c>
      <c r="U57" s="532"/>
      <c r="V57" s="532"/>
      <c r="W57" s="532"/>
      <c r="X57" s="532"/>
      <c r="Y57" s="532"/>
      <c r="Z57" s="532"/>
      <c r="AA57" s="532"/>
      <c r="AB57" s="532"/>
      <c r="AC57" s="532"/>
      <c r="AD57" s="532"/>
      <c r="AE57" s="532"/>
      <c r="AF57" s="532"/>
      <c r="AG57" s="532"/>
      <c r="AH57" s="532"/>
      <c r="AI57" s="532"/>
      <c r="AJ57" s="532"/>
      <c r="AK57" s="532"/>
      <c r="AL57" s="532"/>
      <c r="AM57" s="532"/>
      <c r="AO57" s="130"/>
      <c r="AP57" s="130" t="str">
        <f t="shared" si="9"/>
        <v xml:space="preserve">Добавить наименование тарифа</v>
      </c>
      <c r="AQ57" s="130"/>
      <c r="AR57" s="130"/>
      <c r="AS57" s="57">
        <v>1</v>
      </c>
    </row>
    <row r="58" ht="11.5" customHeight="1">
      <c r="M58" s="50"/>
      <c r="N58" s="50"/>
      <c r="O58" s="50"/>
      <c r="P58" s="50"/>
      <c r="Q58" s="50"/>
      <c r="R58" s="50"/>
      <c r="S58" s="50"/>
      <c r="AN58" s="50"/>
      <c r="AO58" s="50"/>
      <c r="AP58" s="50"/>
      <c r="AQ58" s="50"/>
      <c r="AR58" s="50"/>
      <c r="AS58" s="50">
        <v>11</v>
      </c>
    </row>
    <row r="59" ht="28.5" customHeight="1">
      <c r="O59" s="50"/>
      <c r="S59" s="477"/>
      <c r="T59" s="575"/>
      <c r="U59" s="575"/>
      <c r="V59" s="575"/>
      <c r="W59" s="575"/>
      <c r="X59" s="575"/>
      <c r="Y59" s="575"/>
      <c r="Z59" s="575"/>
      <c r="AA59" s="575"/>
      <c r="AB59" s="575"/>
      <c r="AC59" s="575"/>
      <c r="AD59" s="575"/>
      <c r="AE59" s="575"/>
      <c r="AF59" s="575"/>
      <c r="AG59" s="575"/>
      <c r="AH59" s="575"/>
      <c r="AI59" s="575"/>
      <c r="AJ59" s="575"/>
      <c r="AK59" s="575"/>
      <c r="AL59" s="575"/>
      <c r="AM59" s="575"/>
      <c r="AS59" s="50">
        <v>27</v>
      </c>
    </row>
    <row r="60" ht="65.25" customHeight="1">
      <c r="O60" s="50"/>
      <c r="T60" s="575"/>
      <c r="U60" s="575"/>
      <c r="V60" s="575"/>
      <c r="W60" s="575"/>
      <c r="X60" s="575"/>
      <c r="Y60" s="575"/>
      <c r="Z60" s="575"/>
      <c r="AA60" s="575"/>
      <c r="AB60" s="575"/>
      <c r="AC60" s="575"/>
      <c r="AD60" s="575"/>
      <c r="AE60" s="575"/>
      <c r="AF60" s="575"/>
      <c r="AG60" s="575"/>
      <c r="AH60" s="575"/>
      <c r="AI60" s="575"/>
      <c r="AJ60" s="575"/>
      <c r="AK60" s="575"/>
      <c r="AL60" s="575"/>
      <c r="AM60" s="575"/>
      <c r="AS60" s="50">
        <v>62</v>
      </c>
    </row>
    <row r="61" ht="14.65" customHeight="1">
      <c r="O61" s="50"/>
      <c r="AS61" s="50">
        <v>14</v>
      </c>
    </row>
    <row r="62" ht="18.75" customHeight="1">
      <c r="O62" s="50"/>
      <c r="S62" s="477"/>
      <c r="T62" s="575"/>
      <c r="U62" s="575"/>
      <c r="V62" s="575"/>
      <c r="W62" s="575"/>
      <c r="X62" s="575"/>
      <c r="Y62" s="575"/>
      <c r="Z62" s="575"/>
      <c r="AA62" s="575"/>
      <c r="AB62" s="575"/>
      <c r="AC62" s="575"/>
      <c r="AD62" s="575"/>
      <c r="AE62" s="575"/>
      <c r="AF62" s="575"/>
      <c r="AG62" s="575"/>
      <c r="AH62" s="575"/>
      <c r="AI62" s="575"/>
      <c r="AJ62" s="575"/>
      <c r="AK62" s="575"/>
      <c r="AL62" s="575"/>
      <c r="AM62" s="575"/>
      <c r="AS62" s="50">
        <v>18</v>
      </c>
    </row>
    <row r="63" ht="18.75" customHeight="1">
      <c r="O63" s="50"/>
      <c r="T63" s="575"/>
      <c r="U63" s="575"/>
      <c r="V63" s="575"/>
      <c r="W63" s="575"/>
      <c r="X63" s="575"/>
      <c r="Y63" s="575"/>
      <c r="Z63" s="575"/>
      <c r="AA63" s="575"/>
      <c r="AB63" s="575"/>
      <c r="AC63" s="575"/>
      <c r="AD63" s="575"/>
      <c r="AE63" s="575"/>
      <c r="AF63" s="575"/>
      <c r="AG63" s="575"/>
      <c r="AH63" s="575"/>
      <c r="AI63" s="575"/>
      <c r="AJ63" s="575"/>
      <c r="AK63" s="575"/>
      <c r="AL63" s="575"/>
      <c r="AM63" s="575"/>
      <c r="AS63" s="50">
        <v>18</v>
      </c>
    </row>
    <row r="64" ht="29.25" customHeight="1">
      <c r="O64" s="50"/>
      <c r="S64" s="477"/>
      <c r="T64" s="575"/>
      <c r="U64" s="575"/>
      <c r="V64" s="575"/>
      <c r="W64" s="575"/>
      <c r="X64" s="575"/>
      <c r="Y64" s="575"/>
      <c r="Z64" s="575"/>
      <c r="AA64" s="575"/>
      <c r="AB64" s="575"/>
      <c r="AC64" s="575"/>
      <c r="AD64" s="575"/>
      <c r="AE64" s="575"/>
      <c r="AF64" s="575"/>
      <c r="AG64" s="575"/>
      <c r="AH64" s="575"/>
      <c r="AI64" s="575"/>
      <c r="AJ64" s="575"/>
      <c r="AK64" s="575"/>
      <c r="AL64" s="575"/>
      <c r="AM64" s="575"/>
      <c r="AS64" s="50">
        <v>28</v>
      </c>
    </row>
    <row r="65" ht="22.5" hidden="1" customHeight="1">
      <c r="A65" s="50" t="s">
        <v>81</v>
      </c>
      <c r="B65" s="50">
        <v>0</v>
      </c>
      <c r="C65" s="50">
        <v>0</v>
      </c>
      <c r="D65" s="50">
        <v>0</v>
      </c>
      <c r="E65" s="50">
        <v>0</v>
      </c>
      <c r="F65" s="50">
        <v>0</v>
      </c>
      <c r="G65" s="50">
        <v>0</v>
      </c>
      <c r="H65" s="50">
        <v>0</v>
      </c>
      <c r="I65" s="50">
        <v>0</v>
      </c>
      <c r="J65" s="50">
        <v>0</v>
      </c>
      <c r="K65" s="50">
        <v>0</v>
      </c>
      <c r="L65" s="51">
        <v>0</v>
      </c>
      <c r="M65" s="60">
        <v>0</v>
      </c>
      <c r="N65" s="60">
        <v>0</v>
      </c>
      <c r="O65" s="60">
        <v>0</v>
      </c>
      <c r="P65" s="60">
        <v>3</v>
      </c>
      <c r="Q65" s="479">
        <v>3</v>
      </c>
      <c r="R65" s="479">
        <v>3</v>
      </c>
      <c r="S65" s="86">
        <v>12</v>
      </c>
      <c r="T65" s="50">
        <v>31</v>
      </c>
      <c r="U65" s="50">
        <v>0</v>
      </c>
      <c r="V65" s="50">
        <v>0</v>
      </c>
      <c r="W65" s="50">
        <v>0</v>
      </c>
      <c r="X65" s="50">
        <v>0</v>
      </c>
      <c r="Y65" s="50">
        <v>0</v>
      </c>
      <c r="Z65" s="50">
        <v>0</v>
      </c>
      <c r="AA65" s="50">
        <v>0</v>
      </c>
      <c r="AB65" s="50">
        <v>0</v>
      </c>
      <c r="AC65" s="50">
        <v>0</v>
      </c>
      <c r="AD65" s="50">
        <v>24</v>
      </c>
      <c r="AE65" s="50">
        <v>0</v>
      </c>
      <c r="AF65" s="50">
        <v>24</v>
      </c>
      <c r="AG65" s="50">
        <v>24</v>
      </c>
      <c r="AH65" s="50">
        <v>11</v>
      </c>
      <c r="AI65" s="50">
        <v>3</v>
      </c>
      <c r="AJ65" s="50">
        <v>11</v>
      </c>
      <c r="AK65" s="50">
        <v>0</v>
      </c>
      <c r="AL65" s="50">
        <v>4</v>
      </c>
      <c r="AM65" s="50">
        <v>115</v>
      </c>
      <c r="AN65" s="57">
        <v>10</v>
      </c>
      <c r="AO65" s="57">
        <v>10</v>
      </c>
      <c r="AP65" s="57">
        <v>10</v>
      </c>
      <c r="AQ65" s="57">
        <v>10</v>
      </c>
      <c r="AR65" s="57">
        <v>10</v>
      </c>
      <c r="AS65" s="50">
        <v>23</v>
      </c>
    </row>
  </sheetData>
  <sheetProtection autoFilter="0" deleteColumns="1" deleteRows="1" formatCells="1" formatColumns="1" formatRows="1" insertColumns="1" insertHyperlinks="1" insertRows="1" objects="0" pivotTables="1" scenarios="0" selectLockedCells="0" selectUnlockedCells="0" sheet="1" sort="1"/>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K8:K9"/>
    <mergeCell ref="Z8:Z9"/>
    <mergeCell ref="AA8:AA9"/>
    <mergeCell ref="AB8:AB9"/>
    <mergeCell ref="AC8:AC9"/>
    <mergeCell ref="AH8:AH9"/>
    <mergeCell ref="AI8:AI9"/>
    <mergeCell ref="AJ8:AJ9"/>
    <mergeCell ref="AK8:AK9"/>
    <mergeCell ref="AM8:AM10"/>
    <mergeCell ref="AH17:AH18"/>
    <mergeCell ref="AI17:AI18"/>
    <mergeCell ref="AJ17:AJ18"/>
    <mergeCell ref="AK17:AK18"/>
    <mergeCell ref="S26:AJ26"/>
    <mergeCell ref="S27:AJ27"/>
    <mergeCell ref="S29:T29"/>
    <mergeCell ref="V29:AB29"/>
    <mergeCell ref="AD29:AJ29"/>
    <mergeCell ref="S30:T30"/>
    <mergeCell ref="V30:AB30"/>
    <mergeCell ref="AD30:AJ30"/>
    <mergeCell ref="S31:T31"/>
    <mergeCell ref="V31:AB31"/>
    <mergeCell ref="AD31:AJ31"/>
    <mergeCell ref="S32:T32"/>
    <mergeCell ref="V32:AB32"/>
    <mergeCell ref="AD32:AJ32"/>
    <mergeCell ref="S34:T34"/>
    <mergeCell ref="V34:AB34"/>
    <mergeCell ref="AD34:AJ34"/>
    <mergeCell ref="S35:T35"/>
    <mergeCell ref="V35:AB35"/>
    <mergeCell ref="AD35:AJ35"/>
    <mergeCell ref="V37:AC37"/>
    <mergeCell ref="AD37:AK37"/>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AH40:AJ40"/>
    <mergeCell ref="AA41:AB41"/>
    <mergeCell ref="AI41:AJ41"/>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AM49:AM51"/>
    <mergeCell ref="T59:AM59"/>
    <mergeCell ref="T60:AM60"/>
    <mergeCell ref="T62:AM62"/>
    <mergeCell ref="T63:AM63"/>
    <mergeCell ref="T64:AM64"/>
  </mergeCells>
  <dataValidations count="4" disablePrompts="0">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type="none" allowBlank="1" errorStyle="stop" imeMode="noControl" operator="between" promptTitle="checkPeriodRange" showDropDown="0" showErrorMessage="0" showInputMessage="0"/>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S131123:AM131129 S196659:AM196665 S262195:AM262201 S327731:AM327737 S393267:AM393273 S458803:AM458809 S524339:AM524345 S589875:AM589881 S655411:AM655417 S720947:AM720953 S786483:AM786489 S852019:AM852025 S917555:AM917561 S983091:AM983097 S65587:AM65593"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A50014-007D-474B-8C91-004F00680095}" type="list" allowBlank="1" error="Выберите значение из списка" errorStyle="stop" errorTitle="Ошибка" imeMode="noControl" operator="between" showDropDown="0" showErrorMessage="1" showInputMessage="1">
          <x14:formula1>
            <xm:f>kind_of_heat_transfer</xm:f>
          </x14:formula1>
          <xm:sqref>T65585 T131121 T196657 T262193 T327729 T393265 T458801 T524337 T589873 T655409 T720945 T786481 T852017 T917553 T983089</xm:sqref>
        </x14:dataValidation>
        <x14:dataValidation xr:uid="{009C00C0-0059-4E68-9BD2-008D0022002D}" type="textLength" allowBlank="1" error="Допускается ввод не более 900 символов!" errorStyle="stop" errorTitle="Ошибка" imeMode="noControl" operator="lessThanOrEqual" showDropDown="0"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AA0063-0045-4DC5-84F5-00AF00270035}" type="list" allowBlank="1" error="Выберите значение из списка" errorStyle="stop" errorTitle="Ошибка" imeMode="noControl" operator="between" showDropDown="0"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7A0034-00A6-48E5-9596-00B5004100FF}"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s>
    </ext>
  </extLst>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9" ySplit="42" topLeftCell="AD43"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4" width="19.140625"/>
    <col customWidth="1" hidden="1" min="13" max="14" style="61" width="12.28125"/>
    <col customWidth="1" hidden="1" min="15" max="15" style="61" width="23.421875"/>
    <col customWidth="1" min="16" max="16" style="60" width="3.00390625"/>
    <col customWidth="1" min="17" max="18" style="479" width="3.00390625"/>
    <col customWidth="1" min="19" max="19" style="86" width="12.00390625"/>
    <col customWidth="1" min="20" max="20" style="50" width="31.00390625"/>
    <col customWidth="1" hidden="1" min="21" max="21" style="50" width="0.7109375"/>
    <col customWidth="1" hidden="1" min="22" max="22" style="50" width="1.7109375"/>
    <col customWidth="1" hidden="1" min="23" max="23" style="50" width="24.7109375"/>
    <col customWidth="1" hidden="1" min="24" max="25" style="50" width="0.14062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0.140625"/>
    <col customWidth="1" min="31" max="31" style="50" width="24.00390625"/>
    <col customWidth="1" min="32" max="33" style="50" width="0.140625"/>
    <col customWidth="1" min="34" max="34" style="50" width="11.00390625"/>
    <col customWidth="1" min="35" max="35" style="50" width="3.7109375"/>
    <col customWidth="1" min="36" max="36" style="50" width="11.00390625"/>
    <col customWidth="1" hidden="1" min="37" max="37" style="50" width="8.57421875"/>
    <col customWidth="1" min="38" max="38" style="50" width="4.00390625"/>
    <col customWidth="1" min="39" max="39" style="50" width="115.00390625"/>
    <col customWidth="1" min="40" max="44" style="57" width="10.00390625"/>
    <col hidden="1" min="45" max="45" style="50" width="10.57421875"/>
  </cols>
  <sheetData>
    <row r="1" ht="22.5" hidden="1" customHeight="1">
      <c r="Y1" s="50"/>
      <c r="Z1" s="50"/>
      <c r="AG1" s="50"/>
      <c r="AH1" s="50"/>
      <c r="AS1" s="50" t="s">
        <v>14</v>
      </c>
    </row>
    <row r="2" ht="21" hidden="1" customHeight="1">
      <c r="A2" s="480"/>
      <c r="B2" s="480"/>
      <c r="C2" s="480"/>
      <c r="D2" s="480"/>
      <c r="E2" s="481">
        <v>1</v>
      </c>
      <c r="F2" s="480"/>
      <c r="G2" s="480"/>
      <c r="H2" s="480"/>
      <c r="I2" s="480"/>
      <c r="J2" s="480"/>
      <c r="K2" s="480"/>
      <c r="L2" s="482"/>
      <c r="M2" s="483"/>
      <c r="N2" s="483"/>
      <c r="O2" s="483"/>
      <c r="P2" s="60"/>
      <c r="Q2" s="144"/>
      <c r="R2" s="484"/>
      <c r="S2" s="485" t="e">
        <f>INDEX(PT_DIFFERENTIATION_NUM_NTAR,MATCH(A2,PT_DIFFERENTIATION_NTAR_ID,0))</f>
        <v>#VALUE!</v>
      </c>
      <c r="T2" s="486" t="s">
        <v>119</v>
      </c>
      <c r="U2" s="487"/>
      <c r="V2" s="488"/>
      <c r="W2" s="489"/>
      <c r="X2" s="489"/>
      <c r="Y2" s="489"/>
      <c r="Z2" s="489"/>
      <c r="AA2" s="489"/>
      <c r="AB2" s="489"/>
      <c r="AC2" s="490"/>
      <c r="AD2" s="488" t="e">
        <f>INDEX(PT_DIFFERENTIATION_NTAR,MATCH(A2,PT_DIFFERENTIATION_NTAR_ID,0))</f>
        <v>#VALUE!</v>
      </c>
      <c r="AE2" s="489"/>
      <c r="AF2" s="489"/>
      <c r="AG2" s="489"/>
      <c r="AH2" s="489"/>
      <c r="AI2" s="489"/>
      <c r="AJ2" s="489"/>
      <c r="AK2" s="489"/>
      <c r="AL2" s="490"/>
      <c r="AM2" s="491" t="s">
        <v>390</v>
      </c>
      <c r="AO2" s="130"/>
      <c r="AP2" s="130" t="str">
        <f t="shared" ref="AP2:AP9" si="10">IF(T2="","",T2)</f>
        <v xml:space="preserve">Наименование тарифа</v>
      </c>
      <c r="AQ2" s="130"/>
      <c r="AR2" s="130"/>
      <c r="AS2" s="50">
        <v>0</v>
      </c>
    </row>
    <row r="3" ht="21" hidden="1" customHeight="1">
      <c r="A3" s="480"/>
      <c r="B3" s="480"/>
      <c r="C3" s="480"/>
      <c r="D3" s="480"/>
      <c r="E3" s="492"/>
      <c r="F3" s="481">
        <v>1</v>
      </c>
      <c r="G3" s="480"/>
      <c r="H3" s="480"/>
      <c r="I3" s="480"/>
      <c r="J3" s="480"/>
      <c r="K3" s="480"/>
      <c r="L3" s="482"/>
      <c r="M3" s="483"/>
      <c r="N3" s="483"/>
      <c r="O3" s="483"/>
      <c r="P3" s="51"/>
      <c r="Q3" s="493"/>
      <c r="R3" s="494"/>
      <c r="S3" s="485" t="e">
        <f>INDEX(PT_DIFFERENTIATION_NUM_TER,MATCH(B3,PT_DIFFERENTIATION_TER_ID,0))</f>
        <v>#VALUE!</v>
      </c>
      <c r="T3" s="495" t="s">
        <v>391</v>
      </c>
      <c r="U3" s="487"/>
      <c r="V3" s="488"/>
      <c r="W3" s="489"/>
      <c r="X3" s="489"/>
      <c r="Y3" s="489"/>
      <c r="Z3" s="489"/>
      <c r="AA3" s="489"/>
      <c r="AB3" s="489"/>
      <c r="AC3" s="490"/>
      <c r="AD3" s="488" t="e">
        <f>INDEX(PT_DIFFERENTIATION_TER,MATCH(B3,PT_DIFFERENTIATION_TER_ID,0))</f>
        <v>#VALUE!</v>
      </c>
      <c r="AE3" s="489"/>
      <c r="AF3" s="489"/>
      <c r="AG3" s="489"/>
      <c r="AH3" s="489"/>
      <c r="AI3" s="489"/>
      <c r="AJ3" s="489"/>
      <c r="AK3" s="489"/>
      <c r="AL3" s="490"/>
      <c r="AM3" s="491" t="s">
        <v>392</v>
      </c>
      <c r="AO3" s="130"/>
      <c r="AP3" s="130" t="str">
        <f t="shared" si="10"/>
        <v xml:space="preserve">Территория действия тарифа</v>
      </c>
      <c r="AQ3" s="130"/>
      <c r="AR3" s="130"/>
      <c r="AS3" s="50">
        <v>0</v>
      </c>
    </row>
    <row r="4" ht="23.25" hidden="1" customHeight="1">
      <c r="A4" s="480"/>
      <c r="B4" s="480"/>
      <c r="C4" s="480"/>
      <c r="D4" s="480"/>
      <c r="E4" s="492"/>
      <c r="F4" s="492"/>
      <c r="G4" s="481">
        <v>1</v>
      </c>
      <c r="H4" s="480"/>
      <c r="I4" s="480"/>
      <c r="J4" s="480"/>
      <c r="K4" s="480"/>
      <c r="L4" s="482"/>
      <c r="M4" s="483"/>
      <c r="N4" s="483"/>
      <c r="O4" s="483"/>
      <c r="P4" s="496"/>
      <c r="Q4" s="493"/>
      <c r="R4" s="494"/>
      <c r="S4" s="485" t="e">
        <f>INDEX(PT_DIFFERENTIATION_NUM_CS,MATCH(C4,PT_DIFFERENTIATION_CS_ID,0))</f>
        <v>#VALUE!</v>
      </c>
      <c r="T4" s="497" t="s">
        <v>393</v>
      </c>
      <c r="U4" s="487"/>
      <c r="V4" s="488"/>
      <c r="W4" s="489"/>
      <c r="X4" s="489"/>
      <c r="Y4" s="489"/>
      <c r="Z4" s="489"/>
      <c r="AA4" s="489"/>
      <c r="AB4" s="489"/>
      <c r="AC4" s="490"/>
      <c r="AD4" s="488" t="e">
        <f>INDEX(PT_DIFFERENTIATION_CS,MATCH(C4,PT_DIFFERENTIATION_CS_ID,0))</f>
        <v>#VALUE!</v>
      </c>
      <c r="AE4" s="489"/>
      <c r="AF4" s="489"/>
      <c r="AG4" s="489"/>
      <c r="AH4" s="489"/>
      <c r="AI4" s="489"/>
      <c r="AJ4" s="489"/>
      <c r="AK4" s="489"/>
      <c r="AL4" s="490"/>
      <c r="AM4" s="491" t="s">
        <v>394</v>
      </c>
      <c r="AO4" s="130"/>
      <c r="AP4" s="130" t="str">
        <f t="shared" si="10"/>
        <v xml:space="preserve">Наименование системы теплоснабжения </v>
      </c>
      <c r="AQ4" s="130"/>
      <c r="AR4" s="130"/>
      <c r="AS4" s="50">
        <v>0</v>
      </c>
    </row>
    <row r="5" ht="21" hidden="1" customHeight="1">
      <c r="A5" s="480"/>
      <c r="B5" s="480"/>
      <c r="C5" s="480"/>
      <c r="D5" s="480"/>
      <c r="E5" s="492"/>
      <c r="F5" s="492"/>
      <c r="G5" s="492"/>
      <c r="H5" s="481">
        <v>1</v>
      </c>
      <c r="I5" s="480"/>
      <c r="J5" s="480"/>
      <c r="K5" s="480"/>
      <c r="L5" s="482"/>
      <c r="M5" s="483"/>
      <c r="N5" s="483"/>
      <c r="O5" s="483"/>
      <c r="P5" s="496"/>
      <c r="Q5" s="493"/>
      <c r="R5" s="494"/>
      <c r="S5" s="485" t="e">
        <f>INDEX(PT_DIFFERENTIATION_NUM_IST_TE,MATCH(D5,PT_DIFFERENTIATION_IST_TE_ID,0))</f>
        <v>#VALUE!</v>
      </c>
      <c r="T5" s="498" t="s">
        <v>395</v>
      </c>
      <c r="U5" s="487"/>
      <c r="V5" s="488"/>
      <c r="W5" s="489"/>
      <c r="X5" s="489"/>
      <c r="Y5" s="489"/>
      <c r="Z5" s="489"/>
      <c r="AA5" s="489"/>
      <c r="AB5" s="489"/>
      <c r="AC5" s="490"/>
      <c r="AD5" s="488" t="e">
        <f>INDEX(PT_DIFFERENTIATION_IST_TE,MATCH(D5,PT_DIFFERENTIATION_IST_TE_ID,0))</f>
        <v>#VALUE!</v>
      </c>
      <c r="AE5" s="489"/>
      <c r="AF5" s="489"/>
      <c r="AG5" s="489"/>
      <c r="AH5" s="489"/>
      <c r="AI5" s="489"/>
      <c r="AJ5" s="489"/>
      <c r="AK5" s="489"/>
      <c r="AL5" s="490"/>
      <c r="AM5" s="491" t="s">
        <v>396</v>
      </c>
      <c r="AO5" s="130"/>
      <c r="AP5" s="130" t="str">
        <f t="shared" si="10"/>
        <v xml:space="preserve">Источник тепловой энергии  </v>
      </c>
      <c r="AQ5" s="130"/>
      <c r="AR5" s="130"/>
      <c r="AS5" s="50">
        <v>0</v>
      </c>
    </row>
    <row r="6" ht="47.25" hidden="1" customHeight="1">
      <c r="A6" s="480"/>
      <c r="B6" s="480"/>
      <c r="C6" s="480"/>
      <c r="D6" s="480"/>
      <c r="E6" s="492"/>
      <c r="F6" s="492"/>
      <c r="G6" s="492"/>
      <c r="H6" s="492"/>
      <c r="I6" s="499" t="e">
        <f>S5&amp;".1"</f>
        <v>#VALUE!</v>
      </c>
      <c r="J6" s="480"/>
      <c r="K6" s="480"/>
      <c r="L6" s="482" t="s">
        <v>397</v>
      </c>
      <c r="M6" s="53"/>
      <c r="P6" s="133">
        <v>1</v>
      </c>
      <c r="Q6" s="133"/>
      <c r="R6" s="500"/>
      <c r="S6" s="485" t="e">
        <f>$I6</f>
        <v>#VALUE!</v>
      </c>
      <c r="T6" s="501" t="s">
        <v>398</v>
      </c>
      <c r="U6" s="487"/>
      <c r="V6" s="432"/>
      <c r="W6" s="502"/>
      <c r="X6" s="502"/>
      <c r="Y6" s="502"/>
      <c r="Z6" s="502"/>
      <c r="AA6" s="502"/>
      <c r="AB6" s="502"/>
      <c r="AC6" s="503"/>
      <c r="AD6" s="432"/>
      <c r="AE6" s="502"/>
      <c r="AF6" s="502"/>
      <c r="AG6" s="502"/>
      <c r="AH6" s="502"/>
      <c r="AI6" s="502"/>
      <c r="AJ6" s="502"/>
      <c r="AK6" s="502"/>
      <c r="AL6" s="503"/>
      <c r="AM6" s="491" t="s">
        <v>399</v>
      </c>
      <c r="AO6" s="130"/>
      <c r="AP6" s="130" t="str">
        <f t="shared" si="10"/>
        <v xml:space="preserve">Схема подключения теплопотребляющей установки к коллектору источника тепловой энергии</v>
      </c>
      <c r="AQ6" s="130"/>
      <c r="AR6" s="130"/>
      <c r="AS6" s="50">
        <v>0</v>
      </c>
    </row>
    <row r="7" ht="21" hidden="1" customHeight="1">
      <c r="A7" s="480"/>
      <c r="B7" s="480"/>
      <c r="C7" s="480"/>
      <c r="D7" s="480"/>
      <c r="E7" s="492"/>
      <c r="F7" s="492"/>
      <c r="G7" s="492"/>
      <c r="H7" s="492"/>
      <c r="I7" s="504"/>
      <c r="J7" s="499" t="e">
        <f>I6&amp;".1"</f>
        <v>#VALUE!</v>
      </c>
      <c r="K7" s="480"/>
      <c r="L7" s="482" t="s">
        <v>400</v>
      </c>
      <c r="M7" s="53"/>
      <c r="N7" s="53"/>
      <c r="P7" s="133"/>
      <c r="Q7" s="133">
        <v>1</v>
      </c>
      <c r="R7" s="505"/>
      <c r="S7" s="485" t="e">
        <f>$J7</f>
        <v>#VALUE!</v>
      </c>
      <c r="T7" s="506" t="s">
        <v>401</v>
      </c>
      <c r="U7" s="487"/>
      <c r="V7" s="432"/>
      <c r="W7" s="502"/>
      <c r="X7" s="502"/>
      <c r="Y7" s="502"/>
      <c r="Z7" s="502"/>
      <c r="AA7" s="502"/>
      <c r="AB7" s="502"/>
      <c r="AC7" s="503"/>
      <c r="AD7" s="432"/>
      <c r="AE7" s="502"/>
      <c r="AF7" s="502"/>
      <c r="AG7" s="502"/>
      <c r="AH7" s="502"/>
      <c r="AI7" s="502"/>
      <c r="AJ7" s="502"/>
      <c r="AK7" s="502"/>
      <c r="AL7" s="503"/>
      <c r="AM7" s="491" t="s">
        <v>402</v>
      </c>
      <c r="AO7" s="130"/>
      <c r="AP7" s="130" t="str">
        <f t="shared" si="10"/>
        <v xml:space="preserve">Группа потребителей</v>
      </c>
      <c r="AQ7" s="130"/>
      <c r="AR7" s="130"/>
      <c r="AS7" s="50">
        <v>0</v>
      </c>
    </row>
    <row r="8" ht="21" hidden="1" customHeight="1">
      <c r="A8" s="480"/>
      <c r="B8" s="480"/>
      <c r="C8" s="480"/>
      <c r="D8" s="480"/>
      <c r="E8" s="492"/>
      <c r="F8" s="492"/>
      <c r="G8" s="492"/>
      <c r="H8" s="492"/>
      <c r="I8" s="504"/>
      <c r="J8" s="504"/>
      <c r="K8" s="499" t="e">
        <f>J7&amp;".1"</f>
        <v>#VALUE!</v>
      </c>
      <c r="L8" s="482" t="s">
        <v>403</v>
      </c>
      <c r="M8" s="53"/>
      <c r="N8" s="53"/>
      <c r="O8" s="53"/>
      <c r="P8" s="133"/>
      <c r="Q8" s="133"/>
      <c r="R8" s="505">
        <v>1</v>
      </c>
      <c r="S8" s="485" t="e">
        <f>$K8</f>
        <v>#VALUE!</v>
      </c>
      <c r="T8" s="507"/>
      <c r="U8" s="487"/>
      <c r="V8" s="509"/>
      <c r="W8" s="508"/>
      <c r="X8" s="509"/>
      <c r="Y8" s="584"/>
      <c r="Z8" s="511"/>
      <c r="AA8" s="225" t="s">
        <v>64</v>
      </c>
      <c r="AB8" s="511"/>
      <c r="AC8" s="225" t="s">
        <v>64</v>
      </c>
      <c r="AD8" s="509"/>
      <c r="AE8" s="508"/>
      <c r="AF8" s="509"/>
      <c r="AG8" s="584"/>
      <c r="AH8" s="511"/>
      <c r="AI8" s="225" t="s">
        <v>64</v>
      </c>
      <c r="AJ8" s="511"/>
      <c r="AK8" s="225" t="s">
        <v>64</v>
      </c>
      <c r="AL8" s="509"/>
      <c r="AM8" s="512" t="s">
        <v>404</v>
      </c>
      <c r="AN8" s="57" t="e">
        <f>STRCHECKDATE(V9:AL9)</f>
        <v>#NAME?</v>
      </c>
      <c r="AO8" s="130"/>
      <c r="AP8" s="130" t="str">
        <f t="shared" si="10"/>
        <v/>
      </c>
      <c r="AQ8" s="130"/>
      <c r="AR8" s="130"/>
      <c r="AS8" s="50">
        <v>0</v>
      </c>
    </row>
    <row r="9" ht="0.75" hidden="1" customHeight="1">
      <c r="A9" s="480"/>
      <c r="B9" s="480"/>
      <c r="C9" s="480"/>
      <c r="D9" s="480"/>
      <c r="E9" s="492"/>
      <c r="F9" s="492"/>
      <c r="G9" s="492"/>
      <c r="H9" s="492"/>
      <c r="I9" s="504"/>
      <c r="J9" s="504"/>
      <c r="K9" s="499"/>
      <c r="L9" s="482"/>
      <c r="M9" s="53"/>
      <c r="N9" s="53"/>
      <c r="O9" s="53"/>
      <c r="P9" s="133"/>
      <c r="Q9" s="133"/>
      <c r="R9" s="505"/>
      <c r="S9" s="459"/>
      <c r="T9" s="487"/>
      <c r="U9" s="487"/>
      <c r="V9" s="509"/>
      <c r="W9" s="509"/>
      <c r="X9" s="509"/>
      <c r="Y9" s="513" t="str">
        <f>Z8&amp;"-"&amp;AB8</f>
        <v>-</v>
      </c>
      <c r="Z9" s="514"/>
      <c r="AA9" s="225"/>
      <c r="AB9" s="514"/>
      <c r="AC9" s="225"/>
      <c r="AD9" s="509"/>
      <c r="AE9" s="509"/>
      <c r="AF9" s="509"/>
      <c r="AG9" s="513" t="str">
        <f>AH8&amp;"-"&amp;AJ8</f>
        <v>-</v>
      </c>
      <c r="AH9" s="514"/>
      <c r="AI9" s="225"/>
      <c r="AJ9" s="514"/>
      <c r="AK9" s="225"/>
      <c r="AL9" s="509"/>
      <c r="AM9" s="515"/>
      <c r="AO9" s="130"/>
      <c r="AP9" s="130" t="str">
        <f t="shared" si="10"/>
        <v/>
      </c>
      <c r="AQ9" s="130"/>
      <c r="AR9" s="130"/>
      <c r="AS9" s="50">
        <v>0</v>
      </c>
    </row>
    <row r="10" ht="15" hidden="1" customHeight="1">
      <c r="A10" s="480"/>
      <c r="B10" s="480"/>
      <c r="C10" s="480"/>
      <c r="D10" s="480"/>
      <c r="E10" s="492"/>
      <c r="F10" s="492"/>
      <c r="G10" s="492"/>
      <c r="H10" s="492"/>
      <c r="I10" s="504"/>
      <c r="J10" s="499"/>
      <c r="K10" s="480"/>
      <c r="L10" s="482"/>
      <c r="M10" s="53"/>
      <c r="N10" s="53"/>
      <c r="P10" s="133"/>
      <c r="Q10" s="133"/>
      <c r="R10" s="500"/>
      <c r="S10" s="516"/>
      <c r="T10" s="517" t="s">
        <v>405</v>
      </c>
      <c r="U10" s="215"/>
      <c r="V10" s="215"/>
      <c r="W10" s="215"/>
      <c r="X10" s="215"/>
      <c r="Y10" s="215"/>
      <c r="Z10" s="215"/>
      <c r="AA10" s="215"/>
      <c r="AB10" s="215"/>
      <c r="AC10" s="215"/>
      <c r="AD10" s="215"/>
      <c r="AE10" s="215"/>
      <c r="AF10" s="215"/>
      <c r="AG10" s="215"/>
      <c r="AH10" s="215"/>
      <c r="AI10" s="215"/>
      <c r="AJ10" s="215"/>
      <c r="AK10" s="215"/>
      <c r="AL10" s="518"/>
      <c r="AM10" s="519"/>
      <c r="AO10" s="130"/>
      <c r="AP10" s="130" t="str">
        <f t="shared" ref="AP10:AP57" si="11">IF(T10="","",T10)</f>
        <v xml:space="preserve">Добавить вид теплоносителя (параметры теплоносителя)</v>
      </c>
      <c r="AQ10" s="130"/>
      <c r="AR10" s="130"/>
      <c r="AS10" s="50">
        <v>0</v>
      </c>
    </row>
    <row r="11" ht="15" hidden="1" customHeight="1">
      <c r="A11" s="480"/>
      <c r="B11" s="480"/>
      <c r="C11" s="480"/>
      <c r="D11" s="480"/>
      <c r="E11" s="492"/>
      <c r="F11" s="492"/>
      <c r="G11" s="492"/>
      <c r="H11" s="492"/>
      <c r="I11" s="499"/>
      <c r="J11" s="480"/>
      <c r="K11" s="480"/>
      <c r="L11" s="482"/>
      <c r="M11" s="53"/>
      <c r="P11" s="133"/>
      <c r="Q11" s="133"/>
      <c r="R11" s="500"/>
      <c r="S11" s="516"/>
      <c r="T11" s="520" t="s">
        <v>406</v>
      </c>
      <c r="U11" s="215"/>
      <c r="V11" s="215"/>
      <c r="W11" s="215"/>
      <c r="X11" s="215"/>
      <c r="Y11" s="215"/>
      <c r="Z11" s="215"/>
      <c r="AA11" s="215"/>
      <c r="AB11" s="215"/>
      <c r="AC11" s="521"/>
      <c r="AD11" s="215"/>
      <c r="AE11" s="215"/>
      <c r="AF11" s="215"/>
      <c r="AG11" s="215"/>
      <c r="AH11" s="215"/>
      <c r="AI11" s="215"/>
      <c r="AJ11" s="215"/>
      <c r="AK11" s="521"/>
      <c r="AL11" s="215"/>
      <c r="AM11" s="522"/>
      <c r="AO11" s="130"/>
      <c r="AP11" s="130" t="str">
        <f t="shared" si="11"/>
        <v xml:space="preserve">Добавить группу потребителей</v>
      </c>
      <c r="AQ11" s="130"/>
      <c r="AR11" s="130"/>
      <c r="AS11" s="50">
        <v>0</v>
      </c>
    </row>
    <row r="12" ht="14.25" hidden="1" customHeight="1">
      <c r="A12" s="480"/>
      <c r="B12" s="480"/>
      <c r="C12" s="480"/>
      <c r="D12" s="480"/>
      <c r="E12" s="492"/>
      <c r="F12" s="492"/>
      <c r="G12" s="492"/>
      <c r="H12" s="481"/>
      <c r="I12" s="480"/>
      <c r="J12" s="480"/>
      <c r="K12" s="480"/>
      <c r="L12" s="482"/>
      <c r="M12" s="483"/>
      <c r="N12" s="483"/>
      <c r="O12" s="53"/>
      <c r="P12" s="144"/>
      <c r="Q12" s="523"/>
      <c r="R12" s="484"/>
      <c r="S12" s="516"/>
      <c r="T12" s="524" t="s">
        <v>407</v>
      </c>
      <c r="U12" s="215"/>
      <c r="V12" s="215"/>
      <c r="W12" s="215"/>
      <c r="X12" s="215"/>
      <c r="Y12" s="215"/>
      <c r="Z12" s="215"/>
      <c r="AA12" s="215"/>
      <c r="AB12" s="215"/>
      <c r="AC12" s="521"/>
      <c r="AD12" s="215"/>
      <c r="AE12" s="215"/>
      <c r="AF12" s="215"/>
      <c r="AG12" s="215"/>
      <c r="AH12" s="215"/>
      <c r="AI12" s="215"/>
      <c r="AJ12" s="215"/>
      <c r="AK12" s="521"/>
      <c r="AL12" s="215"/>
      <c r="AM12" s="522"/>
      <c r="AO12" s="130"/>
      <c r="AP12" s="130" t="str">
        <f t="shared" si="11"/>
        <v xml:space="preserve">Добавить схему подключения</v>
      </c>
      <c r="AQ12" s="130"/>
      <c r="AR12" s="130"/>
      <c r="AS12" s="50">
        <v>0</v>
      </c>
    </row>
    <row r="13" s="57" customFormat="1" ht="0.75" hidden="1" customHeight="1">
      <c r="A13" s="134"/>
      <c r="B13" s="134"/>
      <c r="C13" s="134"/>
      <c r="D13" s="134"/>
      <c r="E13" s="492"/>
      <c r="F13" s="492"/>
      <c r="G13" s="481"/>
      <c r="H13" s="134"/>
      <c r="I13" s="134"/>
      <c r="J13" s="134"/>
      <c r="K13" s="134"/>
      <c r="L13" s="213"/>
      <c r="M13" s="465"/>
      <c r="N13" s="465"/>
      <c r="P13" s="168"/>
      <c r="Q13" s="525"/>
      <c r="R13" s="168"/>
      <c r="S13" s="526"/>
      <c r="T13" s="527" t="s">
        <v>408</v>
      </c>
      <c r="U13" s="528"/>
      <c r="V13" s="528"/>
      <c r="W13" s="528"/>
      <c r="X13" s="528"/>
      <c r="Y13" s="528"/>
      <c r="Z13" s="528"/>
      <c r="AA13" s="528"/>
      <c r="AB13" s="528"/>
      <c r="AC13" s="528"/>
      <c r="AD13" s="528"/>
      <c r="AE13" s="528"/>
      <c r="AF13" s="528"/>
      <c r="AG13" s="528"/>
      <c r="AH13" s="528"/>
      <c r="AI13" s="528"/>
      <c r="AJ13" s="528"/>
      <c r="AK13" s="528"/>
      <c r="AL13" s="528"/>
      <c r="AM13" s="528"/>
      <c r="AO13" s="130"/>
      <c r="AP13" s="130" t="str">
        <f t="shared" si="11"/>
        <v xml:space="preserve">Добавить источник для дифференциации</v>
      </c>
      <c r="AQ13" s="130"/>
      <c r="AR13" s="130"/>
      <c r="AS13" s="57">
        <v>0</v>
      </c>
    </row>
    <row r="14" s="57" customFormat="1" ht="0.75" hidden="1" customHeight="1">
      <c r="A14" s="134"/>
      <c r="B14" s="134"/>
      <c r="C14" s="134"/>
      <c r="D14" s="134"/>
      <c r="E14" s="492"/>
      <c r="F14" s="481"/>
      <c r="G14" s="134"/>
      <c r="H14" s="134"/>
      <c r="I14" s="134"/>
      <c r="J14" s="134"/>
      <c r="K14" s="134"/>
      <c r="L14" s="213"/>
      <c r="M14" s="529"/>
      <c r="N14" s="529"/>
      <c r="P14" s="168"/>
      <c r="Q14" s="525"/>
      <c r="R14" s="168"/>
      <c r="S14" s="530"/>
      <c r="T14" s="531" t="s">
        <v>409</v>
      </c>
      <c r="U14" s="532"/>
      <c r="V14" s="532"/>
      <c r="W14" s="532"/>
      <c r="X14" s="532"/>
      <c r="Y14" s="532"/>
      <c r="Z14" s="532"/>
      <c r="AA14" s="532"/>
      <c r="AB14" s="532"/>
      <c r="AC14" s="532"/>
      <c r="AD14" s="532"/>
      <c r="AE14" s="532"/>
      <c r="AF14" s="532"/>
      <c r="AG14" s="532"/>
      <c r="AH14" s="532"/>
      <c r="AI14" s="532"/>
      <c r="AJ14" s="532"/>
      <c r="AK14" s="532"/>
      <c r="AL14" s="532"/>
      <c r="AM14" s="532"/>
      <c r="AO14" s="130"/>
      <c r="AP14" s="130" t="str">
        <f t="shared" si="11"/>
        <v xml:space="preserve">Добавить централизованную систему для дифференциации</v>
      </c>
      <c r="AQ14" s="130"/>
      <c r="AR14" s="130"/>
      <c r="AS14" s="57">
        <v>0</v>
      </c>
    </row>
    <row r="15" s="57" customFormat="1" ht="0.75" hidden="1" customHeight="1">
      <c r="A15" s="134"/>
      <c r="B15" s="134"/>
      <c r="C15" s="134"/>
      <c r="D15" s="134"/>
      <c r="E15" s="481"/>
      <c r="F15" s="134"/>
      <c r="G15" s="134"/>
      <c r="H15" s="134"/>
      <c r="I15" s="134"/>
      <c r="J15" s="134"/>
      <c r="K15" s="134"/>
      <c r="L15" s="213"/>
      <c r="M15" s="529"/>
      <c r="N15" s="529"/>
      <c r="P15" s="168"/>
      <c r="Q15" s="525"/>
      <c r="R15" s="168"/>
      <c r="S15" s="530"/>
      <c r="T15" s="533" t="s">
        <v>410</v>
      </c>
      <c r="U15" s="532"/>
      <c r="V15" s="532"/>
      <c r="W15" s="532"/>
      <c r="X15" s="532"/>
      <c r="Y15" s="532"/>
      <c r="Z15" s="532"/>
      <c r="AA15" s="532"/>
      <c r="AB15" s="532"/>
      <c r="AC15" s="532"/>
      <c r="AD15" s="532"/>
      <c r="AE15" s="532"/>
      <c r="AF15" s="532"/>
      <c r="AG15" s="532"/>
      <c r="AH15" s="532"/>
      <c r="AI15" s="532"/>
      <c r="AJ15" s="532"/>
      <c r="AK15" s="532"/>
      <c r="AL15" s="532"/>
      <c r="AM15" s="532"/>
      <c r="AO15" s="130"/>
      <c r="AP15" s="130" t="str">
        <f t="shared" si="11"/>
        <v xml:space="preserve">Добавить территорию для дифференциации</v>
      </c>
      <c r="AQ15" s="130"/>
      <c r="AR15" s="130"/>
      <c r="AS15" s="57">
        <v>0</v>
      </c>
    </row>
    <row r="16" ht="14.25" hidden="1" customHeight="1">
      <c r="AC16" s="50"/>
      <c r="AK16" s="50"/>
      <c r="AS16" s="50">
        <v>0</v>
      </c>
    </row>
    <row r="17" ht="14.25" hidden="1" customHeight="1">
      <c r="AD17" s="534"/>
      <c r="AE17" s="534"/>
      <c r="AF17" s="534"/>
      <c r="AG17" s="535"/>
      <c r="AH17" s="536"/>
      <c r="AI17" s="537" t="s">
        <v>64</v>
      </c>
      <c r="AJ17" s="536"/>
      <c r="AK17" s="537" t="s">
        <v>64</v>
      </c>
      <c r="AS17" s="50">
        <v>0</v>
      </c>
    </row>
    <row r="18" ht="14.25" hidden="1" customHeight="1">
      <c r="AD18" s="534"/>
      <c r="AE18" s="534"/>
      <c r="AF18" s="534"/>
      <c r="AG18" s="513" t="str">
        <f>AH17&amp;"-"&amp;AJ17</f>
        <v>-</v>
      </c>
      <c r="AH18" s="537"/>
      <c r="AI18" s="537"/>
      <c r="AJ18" s="537"/>
      <c r="AK18" s="537"/>
      <c r="AS18" s="50">
        <v>0</v>
      </c>
    </row>
    <row r="19" ht="14.25" hidden="1" customHeight="1">
      <c r="AK19" s="50"/>
      <c r="AS19" s="50">
        <v>0</v>
      </c>
    </row>
    <row r="20" s="53" customFormat="1" ht="22.5" hidden="1" customHeight="1">
      <c r="L20" s="114"/>
      <c r="M20" s="61"/>
      <c r="N20" s="61"/>
      <c r="O20" s="538" t="s">
        <v>411</v>
      </c>
      <c r="P20" s="61"/>
      <c r="Q20" s="539"/>
      <c r="R20" s="539"/>
      <c r="S20" s="483"/>
      <c r="Z20" s="538"/>
      <c r="AB20" s="538"/>
      <c r="AC20" s="53"/>
      <c r="AH20" s="538"/>
      <c r="AJ20" s="538"/>
      <c r="AK20" s="53"/>
      <c r="AN20" s="57"/>
      <c r="AO20" s="57"/>
      <c r="AP20" s="57"/>
      <c r="AQ20" s="57"/>
      <c r="AR20" s="57"/>
      <c r="AS20" s="53">
        <v>0</v>
      </c>
    </row>
    <row r="21" s="53" customFormat="1" ht="14.25" hidden="1" customHeight="1">
      <c r="L21" s="114"/>
      <c r="M21" s="61"/>
      <c r="N21" s="61"/>
      <c r="O21" s="61"/>
      <c r="P21" s="61"/>
      <c r="Q21" s="539"/>
      <c r="R21" s="539"/>
      <c r="S21" s="483"/>
      <c r="AC21" s="53"/>
      <c r="AK21" s="53"/>
      <c r="AN21" s="57"/>
      <c r="AO21" s="57"/>
      <c r="AP21" s="57"/>
      <c r="AQ21" s="57"/>
      <c r="AR21" s="57"/>
      <c r="AS21" s="53">
        <v>0</v>
      </c>
    </row>
    <row r="22" s="53" customFormat="1" ht="33.75" hidden="1" customHeight="1">
      <c r="L22" s="114"/>
      <c r="M22" s="61"/>
      <c r="N22" s="61"/>
      <c r="O22" s="482" t="s">
        <v>412</v>
      </c>
      <c r="P22" s="61"/>
      <c r="Q22" s="539"/>
      <c r="R22" s="539"/>
      <c r="S22" s="483"/>
      <c r="T22" s="53" t="s">
        <v>413</v>
      </c>
      <c r="AA22" s="152" t="s">
        <v>414</v>
      </c>
      <c r="AC22" s="152" t="s">
        <v>415</v>
      </c>
      <c r="AD22" s="53" t="s">
        <v>413</v>
      </c>
      <c r="AI22" s="152" t="s">
        <v>416</v>
      </c>
      <c r="AK22" s="152" t="s">
        <v>415</v>
      </c>
      <c r="AN22" s="57"/>
      <c r="AO22" s="57"/>
      <c r="AP22" s="57"/>
      <c r="AQ22" s="57"/>
      <c r="AR22" s="57"/>
      <c r="AS22" s="53">
        <v>0</v>
      </c>
    </row>
    <row r="23" ht="14.25" hidden="1" customHeight="1">
      <c r="O23" s="482"/>
      <c r="AS23" s="50">
        <v>0</v>
      </c>
    </row>
    <row r="24" ht="14.25" hidden="1" customHeight="1">
      <c r="O24" s="482"/>
      <c r="AS24" s="50">
        <v>0</v>
      </c>
    </row>
    <row r="25" ht="14.65" customHeight="1">
      <c r="Q25" s="540"/>
      <c r="R25" s="540"/>
      <c r="S25" s="541"/>
      <c r="T25" s="91"/>
      <c r="U25" s="91"/>
      <c r="V25" s="50"/>
      <c r="W25" s="50"/>
      <c r="X25" s="50"/>
      <c r="Y25" s="50"/>
      <c r="Z25" s="50"/>
      <c r="AA25" s="50"/>
      <c r="AB25" s="50"/>
      <c r="AC25" s="50"/>
      <c r="AD25" s="50"/>
      <c r="AE25" s="50"/>
      <c r="AF25" s="50"/>
      <c r="AG25" s="50"/>
      <c r="AH25" s="50"/>
      <c r="AI25" s="50"/>
      <c r="AJ25" s="50"/>
      <c r="AK25" s="50"/>
      <c r="AS25" s="50">
        <v>14</v>
      </c>
    </row>
    <row r="26" ht="29.25" customHeight="1">
      <c r="Q26" s="540"/>
      <c r="R26" s="540"/>
      <c r="S26" s="453" t="str">
        <f>IF(TEMPLATE_GROUP="P",PT_P_FORM_HEAT_4_NAME_FORM,PT_R_FORM_HEAT_21_NAME_FORM)</f>
        <v xml:space="preserve">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453"/>
      <c r="U26" s="453"/>
      <c r="V26" s="453"/>
      <c r="W26" s="453"/>
      <c r="X26" s="453"/>
      <c r="Y26" s="453"/>
      <c r="Z26" s="453"/>
      <c r="AA26" s="453"/>
      <c r="AB26" s="453"/>
      <c r="AC26" s="453"/>
      <c r="AD26" s="453"/>
      <c r="AE26" s="453"/>
      <c r="AF26" s="453"/>
      <c r="AG26" s="453"/>
      <c r="AH26" s="453"/>
      <c r="AI26" s="453"/>
      <c r="AJ26" s="453"/>
      <c r="AK26" s="241"/>
      <c r="AS26" s="50">
        <v>28</v>
      </c>
    </row>
    <row r="27" ht="14.65" customHeight="1">
      <c r="Q27" s="540"/>
      <c r="R27" s="540"/>
      <c r="S27" s="304" t="str">
        <f>IF(org=0,"Не определено",org)</f>
        <v xml:space="preserve">АО "ДГК" СП "Биробиджанская ТЭЦ"</v>
      </c>
      <c r="T27" s="304"/>
      <c r="U27" s="304"/>
      <c r="V27" s="304"/>
      <c r="W27" s="304"/>
      <c r="X27" s="304"/>
      <c r="Y27" s="304"/>
      <c r="Z27" s="304"/>
      <c r="AA27" s="304"/>
      <c r="AB27" s="304"/>
      <c r="AC27" s="304"/>
      <c r="AD27" s="304"/>
      <c r="AE27" s="304"/>
      <c r="AF27" s="304"/>
      <c r="AG27" s="304"/>
      <c r="AH27" s="304"/>
      <c r="AI27" s="304"/>
      <c r="AJ27" s="304"/>
      <c r="AK27" s="241"/>
      <c r="AS27" s="50">
        <v>14</v>
      </c>
    </row>
    <row r="28" ht="14.25" hidden="1" customHeight="1">
      <c r="Q28" s="540"/>
      <c r="R28" s="540"/>
      <c r="S28" s="541"/>
      <c r="T28" s="91"/>
      <c r="U28" s="91"/>
      <c r="V28" s="542"/>
      <c r="W28" s="542"/>
      <c r="X28" s="542"/>
      <c r="Y28" s="542"/>
      <c r="Z28" s="542"/>
      <c r="AA28" s="542"/>
      <c r="AB28" s="542"/>
      <c r="AC28" s="542"/>
      <c r="AD28" s="542"/>
      <c r="AE28" s="542"/>
      <c r="AF28" s="542"/>
      <c r="AG28" s="542"/>
      <c r="AH28" s="542"/>
      <c r="AI28" s="542"/>
      <c r="AJ28" s="542"/>
      <c r="AK28" s="542"/>
      <c r="AL28" s="50"/>
      <c r="AS28" s="50">
        <v>0</v>
      </c>
    </row>
    <row r="29" s="185" customFormat="1" ht="25.5" hidden="1" customHeight="1">
      <c r="A29" s="152"/>
      <c r="B29" s="152"/>
      <c r="C29" s="152"/>
      <c r="D29" s="152"/>
      <c r="E29" s="152"/>
      <c r="F29" s="152"/>
      <c r="G29" s="152"/>
      <c r="H29" s="152"/>
      <c r="I29" s="152"/>
      <c r="J29" s="152"/>
      <c r="K29" s="152"/>
      <c r="L29" s="482"/>
      <c r="M29" s="152"/>
      <c r="N29" s="152"/>
      <c r="O29" s="152"/>
      <c r="S29" s="543" t="s">
        <v>41</v>
      </c>
      <c r="T29" s="543"/>
      <c r="U29" s="544"/>
      <c r="V29" s="545" t="str">
        <f>IF(TITLE_NAME_OR_PR_CHANGE="",IF(TITLE_NAME_OR_PR="","",TITLE_NAME_OR_PR),TITLE_NAME_OR_PR_CHANGE)</f>
        <v/>
      </c>
      <c r="W29" s="545"/>
      <c r="X29" s="545"/>
      <c r="Y29" s="545"/>
      <c r="Z29" s="545"/>
      <c r="AA29" s="545"/>
      <c r="AB29" s="545"/>
      <c r="AC29" s="50"/>
      <c r="AD29" s="545" t="str">
        <f>IF(TITLE_NAME_OR_PR_CHANGE="",IF(TITLE_NAME_OR_PR="","",TITLE_NAME_OR_PR),TITLE_NAME_OR_PR_CHANGE)</f>
        <v/>
      </c>
      <c r="AE29" s="545"/>
      <c r="AF29" s="545"/>
      <c r="AG29" s="545"/>
      <c r="AH29" s="545"/>
      <c r="AI29" s="545"/>
      <c r="AJ29" s="545"/>
      <c r="AK29" s="50"/>
      <c r="AL29" s="50"/>
      <c r="AM29" s="546"/>
      <c r="AN29" s="130"/>
      <c r="AO29" s="130"/>
      <c r="AP29" s="130"/>
      <c r="AQ29" s="130"/>
      <c r="AR29" s="130"/>
      <c r="AS29" s="185">
        <v>0</v>
      </c>
    </row>
    <row r="30" s="185" customFormat="1" ht="18.75" hidden="1" customHeight="1">
      <c r="A30" s="152"/>
      <c r="B30" s="152"/>
      <c r="C30" s="152"/>
      <c r="D30" s="152"/>
      <c r="E30" s="152"/>
      <c r="F30" s="152"/>
      <c r="G30" s="152"/>
      <c r="H30" s="152"/>
      <c r="I30" s="152"/>
      <c r="J30" s="152"/>
      <c r="K30" s="152"/>
      <c r="L30" s="482"/>
      <c r="M30" s="152"/>
      <c r="N30" s="152"/>
      <c r="O30" s="152"/>
      <c r="S30" s="543" t="s">
        <v>417</v>
      </c>
      <c r="T30" s="543"/>
      <c r="U30" s="544"/>
      <c r="V30" s="547" t="str">
        <f>IF(TITLE_DATE_PR_CHANGE="",IF(TITLE_DATE_PR="","",TITLE_DATE_PR),TITLE_DATE_PR_CHANGE)</f>
        <v/>
      </c>
      <c r="W30" s="547"/>
      <c r="X30" s="547"/>
      <c r="Y30" s="547"/>
      <c r="Z30" s="547"/>
      <c r="AA30" s="547"/>
      <c r="AB30" s="547"/>
      <c r="AC30" s="50"/>
      <c r="AD30" s="547" t="str">
        <f>IF(TITLE_DATE_PR_CHANGE="",IF(TITLE_DATE_PR="","",TITLE_DATE_PR),TITLE_DATE_PR_CHANGE)</f>
        <v/>
      </c>
      <c r="AE30" s="547"/>
      <c r="AF30" s="547"/>
      <c r="AG30" s="547"/>
      <c r="AH30" s="547"/>
      <c r="AI30" s="547"/>
      <c r="AJ30" s="547"/>
      <c r="AK30" s="50"/>
      <c r="AL30" s="50"/>
      <c r="AM30" s="546"/>
      <c r="AN30" s="130"/>
      <c r="AO30" s="130"/>
      <c r="AP30" s="130"/>
      <c r="AQ30" s="130"/>
      <c r="AR30" s="130"/>
      <c r="AS30" s="185">
        <v>0</v>
      </c>
    </row>
    <row r="31" s="185" customFormat="1" ht="18.75" hidden="1" customHeight="1">
      <c r="A31" s="152"/>
      <c r="B31" s="152"/>
      <c r="C31" s="152"/>
      <c r="D31" s="152"/>
      <c r="E31" s="152"/>
      <c r="F31" s="152"/>
      <c r="G31" s="152"/>
      <c r="H31" s="152"/>
      <c r="I31" s="152"/>
      <c r="J31" s="152"/>
      <c r="K31" s="152"/>
      <c r="L31" s="482"/>
      <c r="M31" s="152"/>
      <c r="N31" s="152"/>
      <c r="O31" s="152"/>
      <c r="S31" s="543" t="s">
        <v>418</v>
      </c>
      <c r="T31" s="543"/>
      <c r="U31" s="544"/>
      <c r="V31" s="545" t="str">
        <f>IF(TITLE_NUMBER_PR_CHANGE="",IF(TITLE_NUMBER_PR="","",TITLE_NUMBER_PR),TITLE_NUMBER_PR_CHANGE)</f>
        <v/>
      </c>
      <c r="W31" s="545"/>
      <c r="X31" s="545"/>
      <c r="Y31" s="545"/>
      <c r="Z31" s="545"/>
      <c r="AA31" s="545"/>
      <c r="AB31" s="545"/>
      <c r="AC31" s="50"/>
      <c r="AD31" s="545" t="str">
        <f>IF(TITLE_NUMBER_PR_CHANGE="",IF(TITLE_NUMBER_PR="","",TITLE_NUMBER_PR),TITLE_NUMBER_PR_CHANGE)</f>
        <v/>
      </c>
      <c r="AE31" s="545"/>
      <c r="AF31" s="545"/>
      <c r="AG31" s="545"/>
      <c r="AH31" s="545"/>
      <c r="AI31" s="545"/>
      <c r="AJ31" s="545"/>
      <c r="AK31" s="50"/>
      <c r="AL31" s="50"/>
      <c r="AM31" s="546"/>
      <c r="AN31" s="130"/>
      <c r="AO31" s="130"/>
      <c r="AP31" s="130"/>
      <c r="AQ31" s="130"/>
      <c r="AR31" s="130"/>
      <c r="AS31" s="185">
        <v>0</v>
      </c>
    </row>
    <row r="32" s="185" customFormat="1" ht="18.75" hidden="1" customHeight="1">
      <c r="A32" s="152"/>
      <c r="B32" s="152"/>
      <c r="C32" s="152"/>
      <c r="D32" s="152"/>
      <c r="E32" s="152"/>
      <c r="F32" s="152"/>
      <c r="G32" s="152"/>
      <c r="H32" s="152"/>
      <c r="I32" s="152"/>
      <c r="J32" s="152"/>
      <c r="K32" s="152"/>
      <c r="L32" s="482"/>
      <c r="M32" s="152"/>
      <c r="N32" s="152"/>
      <c r="O32" s="152"/>
      <c r="S32" s="543" t="s">
        <v>42</v>
      </c>
      <c r="T32" s="543"/>
      <c r="U32" s="544"/>
      <c r="V32" s="545" t="str">
        <f>IF(TITLE_IST_PUB_CHANGE="",IF(TITLE_IST_PUB="","",TITLE_IST_PUB),TITLE_IST_PUB_CHANGE)</f>
        <v/>
      </c>
      <c r="W32" s="545"/>
      <c r="X32" s="545"/>
      <c r="Y32" s="545"/>
      <c r="Z32" s="545"/>
      <c r="AA32" s="545"/>
      <c r="AB32" s="545"/>
      <c r="AC32" s="50"/>
      <c r="AD32" s="545" t="str">
        <f>IF(TITLE_IST_PUB_CHANGE="",IF(TITLE_IST_PUB="","",TITLE_IST_PUB),TITLE_IST_PUB_CHANGE)</f>
        <v/>
      </c>
      <c r="AE32" s="545"/>
      <c r="AF32" s="545"/>
      <c r="AG32" s="545"/>
      <c r="AH32" s="545"/>
      <c r="AI32" s="545"/>
      <c r="AJ32" s="545"/>
      <c r="AK32" s="50"/>
      <c r="AL32" s="50"/>
      <c r="AM32" s="546"/>
      <c r="AN32" s="130"/>
      <c r="AO32" s="130"/>
      <c r="AP32" s="130"/>
      <c r="AQ32" s="130"/>
      <c r="AR32" s="130"/>
      <c r="AS32" s="185">
        <v>0</v>
      </c>
    </row>
    <row r="33" ht="14.25" hidden="1" customHeight="1">
      <c r="Q33" s="540"/>
      <c r="R33" s="540"/>
      <c r="S33" s="541"/>
      <c r="T33" s="91"/>
      <c r="U33" s="91"/>
      <c r="V33" s="542"/>
      <c r="W33" s="542"/>
      <c r="X33" s="542"/>
      <c r="Y33" s="542"/>
      <c r="Z33" s="542"/>
      <c r="AA33" s="542"/>
      <c r="AB33" s="542"/>
      <c r="AC33" s="542"/>
      <c r="AD33" s="542"/>
      <c r="AE33" s="542"/>
      <c r="AF33" s="542"/>
      <c r="AG33" s="542"/>
      <c r="AH33" s="542"/>
      <c r="AI33" s="542"/>
      <c r="AJ33" s="542"/>
      <c r="AK33" s="542"/>
      <c r="AL33" s="50"/>
      <c r="AS33" s="50">
        <v>0</v>
      </c>
    </row>
    <row r="34" s="185" customFormat="1" ht="18.75" hidden="1" customHeight="1">
      <c r="A34" s="152"/>
      <c r="B34" s="152"/>
      <c r="C34" s="152"/>
      <c r="D34" s="152"/>
      <c r="E34" s="152"/>
      <c r="F34" s="152"/>
      <c r="G34" s="152"/>
      <c r="H34" s="152"/>
      <c r="I34" s="152"/>
      <c r="J34" s="152"/>
      <c r="K34" s="152"/>
      <c r="L34" s="482"/>
      <c r="M34" s="152"/>
      <c r="N34" s="152"/>
      <c r="O34" s="152"/>
      <c r="S34" s="543" t="s">
        <v>419</v>
      </c>
      <c r="T34" s="543"/>
      <c r="U34" s="544"/>
      <c r="V34" s="547" t="str">
        <f>IF(TITLE_DATE_PR_CHANGE="",IF(TITLE_DATE_PR="","",TITLE_DATE_PR),TITLE_DATE_PR_CHANGE)</f>
        <v/>
      </c>
      <c r="W34" s="547"/>
      <c r="X34" s="547"/>
      <c r="Y34" s="547"/>
      <c r="Z34" s="547"/>
      <c r="AA34" s="547"/>
      <c r="AB34" s="547"/>
      <c r="AC34" s="50"/>
      <c r="AD34" s="547" t="str">
        <f>IF(TITLE_DATE_PR_CHANGE="",IF(TITLE_DATE_PR="","",TITLE_DATE_PR),TITLE_DATE_PR_CHANGE)</f>
        <v/>
      </c>
      <c r="AE34" s="547"/>
      <c r="AF34" s="547"/>
      <c r="AG34" s="547"/>
      <c r="AH34" s="547"/>
      <c r="AI34" s="547"/>
      <c r="AJ34" s="547"/>
      <c r="AK34" s="50"/>
      <c r="AL34" s="50"/>
      <c r="AM34" s="546"/>
      <c r="AN34" s="130"/>
      <c r="AO34" s="130"/>
      <c r="AP34" s="130"/>
      <c r="AQ34" s="130"/>
      <c r="AR34" s="130"/>
      <c r="AS34" s="185">
        <v>0</v>
      </c>
    </row>
    <row r="35" s="185" customFormat="1" ht="18.75" hidden="1" customHeight="1">
      <c r="A35" s="152"/>
      <c r="B35" s="152"/>
      <c r="C35" s="152"/>
      <c r="D35" s="152"/>
      <c r="E35" s="152"/>
      <c r="F35" s="152"/>
      <c r="G35" s="152"/>
      <c r="H35" s="152"/>
      <c r="I35" s="152"/>
      <c r="J35" s="152"/>
      <c r="K35" s="152"/>
      <c r="L35" s="482"/>
      <c r="M35" s="152"/>
      <c r="N35" s="152"/>
      <c r="O35" s="152"/>
      <c r="S35" s="543" t="s">
        <v>420</v>
      </c>
      <c r="T35" s="543"/>
      <c r="U35" s="544"/>
      <c r="V35" s="545" t="str">
        <f>IF(TITLE_NUMBER_PR_CHANGE="",IF(TITLE_NUMBER_PR="","",TITLE_NUMBER_PR),TITLE_NUMBER_PR_CHANGE)</f>
        <v/>
      </c>
      <c r="W35" s="545"/>
      <c r="X35" s="545"/>
      <c r="Y35" s="545"/>
      <c r="Z35" s="545"/>
      <c r="AA35" s="545"/>
      <c r="AB35" s="545"/>
      <c r="AC35" s="50"/>
      <c r="AD35" s="545" t="str">
        <f>IF(TITLE_NUMBER_PR_CHANGE="",IF(TITLE_NUMBER_PR="","",TITLE_NUMBER_PR),TITLE_NUMBER_PR_CHANGE)</f>
        <v/>
      </c>
      <c r="AE35" s="545"/>
      <c r="AF35" s="545"/>
      <c r="AG35" s="545"/>
      <c r="AH35" s="545"/>
      <c r="AI35" s="545"/>
      <c r="AJ35" s="545"/>
      <c r="AK35" s="50"/>
      <c r="AL35" s="50"/>
      <c r="AM35" s="546"/>
      <c r="AN35" s="130"/>
      <c r="AO35" s="130"/>
      <c r="AP35" s="130"/>
      <c r="AQ35" s="130"/>
      <c r="AR35" s="130"/>
      <c r="AS35" s="185">
        <v>0</v>
      </c>
    </row>
    <row r="36" s="185" customFormat="1" ht="0" customHeight="1">
      <c r="A36" s="152"/>
      <c r="B36" s="152"/>
      <c r="C36" s="152"/>
      <c r="D36" s="152"/>
      <c r="E36" s="152"/>
      <c r="F36" s="152"/>
      <c r="G36" s="152"/>
      <c r="H36" s="152"/>
      <c r="I36" s="152"/>
      <c r="J36" s="152"/>
      <c r="K36" s="152"/>
      <c r="L36" s="482"/>
      <c r="M36" s="152"/>
      <c r="N36" s="152"/>
      <c r="O36" s="152"/>
      <c r="S36" s="50"/>
      <c r="T36" s="50"/>
      <c r="U36" s="141"/>
      <c r="V36" s="50"/>
      <c r="W36" s="50"/>
      <c r="X36" s="50"/>
      <c r="Y36" s="50"/>
      <c r="Z36" s="50"/>
      <c r="AA36" s="50"/>
      <c r="AB36" s="50"/>
      <c r="AC36" s="57" t="s">
        <v>421</v>
      </c>
      <c r="AD36" s="50"/>
      <c r="AE36" s="50"/>
      <c r="AF36" s="50"/>
      <c r="AG36" s="50"/>
      <c r="AH36" s="50"/>
      <c r="AI36" s="50"/>
      <c r="AJ36" s="50"/>
      <c r="AK36" s="57" t="s">
        <v>421</v>
      </c>
      <c r="AN36" s="130"/>
      <c r="AO36" s="130"/>
      <c r="AP36" s="130"/>
      <c r="AQ36" s="130"/>
      <c r="AR36" s="130"/>
      <c r="AS36" s="185">
        <v>0</v>
      </c>
    </row>
    <row r="37" ht="14.65" customHeight="1">
      <c r="Q37" s="540"/>
      <c r="R37" s="540"/>
      <c r="S37" s="541"/>
      <c r="T37" s="91"/>
      <c r="U37" s="548"/>
      <c r="V37" s="549"/>
      <c r="W37" s="549"/>
      <c r="X37" s="549"/>
      <c r="Y37" s="549"/>
      <c r="Z37" s="549"/>
      <c r="AA37" s="549"/>
      <c r="AB37" s="549"/>
      <c r="AC37" s="549"/>
      <c r="AD37" s="549"/>
      <c r="AE37" s="549"/>
      <c r="AF37" s="549"/>
      <c r="AG37" s="549"/>
      <c r="AH37" s="549"/>
      <c r="AI37" s="549"/>
      <c r="AJ37" s="549"/>
      <c r="AK37" s="549"/>
      <c r="AS37" s="50">
        <v>14</v>
      </c>
    </row>
    <row r="38" ht="14.65" customHeight="1">
      <c r="Q38" s="540"/>
      <c r="R38" s="540"/>
      <c r="S38" s="158" t="s">
        <v>294</v>
      </c>
      <c r="T38" s="158"/>
      <c r="U38" s="158"/>
      <c r="V38" s="158"/>
      <c r="W38" s="158"/>
      <c r="X38" s="158"/>
      <c r="Y38" s="158"/>
      <c r="Z38" s="158"/>
      <c r="AA38" s="158"/>
      <c r="AB38" s="158"/>
      <c r="AC38" s="158"/>
      <c r="AD38" s="158"/>
      <c r="AE38" s="158"/>
      <c r="AF38" s="158"/>
      <c r="AG38" s="158"/>
      <c r="AH38" s="158"/>
      <c r="AI38" s="158"/>
      <c r="AJ38" s="158"/>
      <c r="AK38" s="158"/>
      <c r="AL38" s="158"/>
      <c r="AM38" s="158" t="s">
        <v>295</v>
      </c>
      <c r="AS38" s="50">
        <v>14</v>
      </c>
    </row>
    <row r="39" ht="14.65" customHeight="1">
      <c r="Q39" s="540"/>
      <c r="R39" s="540"/>
      <c r="S39" s="485" t="s">
        <v>87</v>
      </c>
      <c r="T39" s="348" t="s">
        <v>422</v>
      </c>
      <c r="U39" s="550"/>
      <c r="V39" s="551" t="s">
        <v>423</v>
      </c>
      <c r="W39" s="552"/>
      <c r="X39" s="585"/>
      <c r="Y39" s="585"/>
      <c r="Z39" s="552"/>
      <c r="AA39" s="552"/>
      <c r="AB39" s="553"/>
      <c r="AC39" s="554" t="s">
        <v>424</v>
      </c>
      <c r="AD39" s="551" t="s">
        <v>423</v>
      </c>
      <c r="AE39" s="552"/>
      <c r="AF39" s="585"/>
      <c r="AG39" s="585"/>
      <c r="AH39" s="552"/>
      <c r="AI39" s="552"/>
      <c r="AJ39" s="553"/>
      <c r="AK39" s="554" t="s">
        <v>425</v>
      </c>
      <c r="AL39" s="555" t="s">
        <v>426</v>
      </c>
      <c r="AM39" s="158"/>
      <c r="AS39" s="50">
        <v>14</v>
      </c>
    </row>
    <row r="40" ht="24" customHeight="1">
      <c r="Q40" s="540"/>
      <c r="R40" s="540"/>
      <c r="S40" s="485"/>
      <c r="T40" s="348"/>
      <c r="U40" s="556"/>
      <c r="V40" s="586" t="s">
        <v>427</v>
      </c>
      <c r="W40" s="305" t="s">
        <v>428</v>
      </c>
      <c r="X40" s="351" t="s">
        <v>429</v>
      </c>
      <c r="Y40" s="351"/>
      <c r="Z40" s="146" t="s">
        <v>430</v>
      </c>
      <c r="AA40" s="146"/>
      <c r="AB40" s="72"/>
      <c r="AC40" s="558"/>
      <c r="AD40" s="586" t="s">
        <v>427</v>
      </c>
      <c r="AE40" s="305" t="s">
        <v>428</v>
      </c>
      <c r="AF40" s="351" t="s">
        <v>429</v>
      </c>
      <c r="AG40" s="351"/>
      <c r="AH40" s="146" t="s">
        <v>430</v>
      </c>
      <c r="AI40" s="146"/>
      <c r="AJ40" s="72"/>
      <c r="AK40" s="558"/>
      <c r="AL40" s="559"/>
      <c r="AM40" s="158"/>
      <c r="AS40" s="50">
        <v>23</v>
      </c>
    </row>
    <row r="41" s="107" customFormat="1" ht="24" customHeight="1">
      <c r="A41" s="152"/>
      <c r="B41" s="152" t="s">
        <v>131</v>
      </c>
      <c r="C41" s="152" t="s">
        <v>132</v>
      </c>
      <c r="D41" s="152" t="s">
        <v>133</v>
      </c>
      <c r="E41" s="482" t="s">
        <v>431</v>
      </c>
      <c r="F41" s="482" t="s">
        <v>432</v>
      </c>
      <c r="G41" s="482" t="s">
        <v>433</v>
      </c>
      <c r="H41" s="482" t="s">
        <v>434</v>
      </c>
      <c r="I41" s="482" t="s">
        <v>435</v>
      </c>
      <c r="J41" s="482" t="s">
        <v>436</v>
      </c>
      <c r="K41" s="482" t="s">
        <v>437</v>
      </c>
      <c r="L41" s="482" t="s">
        <v>412</v>
      </c>
      <c r="M41" s="61"/>
      <c r="N41" s="61"/>
      <c r="O41" s="61"/>
      <c r="P41" s="60"/>
      <c r="Q41" s="540"/>
      <c r="R41" s="540"/>
      <c r="S41" s="485"/>
      <c r="T41" s="348"/>
      <c r="U41" s="560"/>
      <c r="V41" s="164"/>
      <c r="W41" s="311"/>
      <c r="X41" s="159" t="s">
        <v>438</v>
      </c>
      <c r="Y41" s="159" t="s">
        <v>439</v>
      </c>
      <c r="Z41" s="418" t="s">
        <v>440</v>
      </c>
      <c r="AA41" s="416" t="s">
        <v>441</v>
      </c>
      <c r="AB41" s="418"/>
      <c r="AC41" s="562"/>
      <c r="AD41" s="164"/>
      <c r="AE41" s="311"/>
      <c r="AF41" s="159" t="s">
        <v>438</v>
      </c>
      <c r="AG41" s="159" t="s">
        <v>439</v>
      </c>
      <c r="AH41" s="418" t="s">
        <v>440</v>
      </c>
      <c r="AI41" s="416" t="s">
        <v>441</v>
      </c>
      <c r="AJ41" s="418"/>
      <c r="AK41" s="562"/>
      <c r="AL41" s="563"/>
      <c r="AM41" s="158"/>
      <c r="AN41" s="57"/>
      <c r="AO41" s="130"/>
      <c r="AP41" s="130"/>
      <c r="AQ41" s="130"/>
      <c r="AR41" s="130"/>
      <c r="AS41" s="107">
        <v>23</v>
      </c>
    </row>
    <row r="42" s="132" customFormat="1" ht="11.25" hidden="1" customHeight="1">
      <c r="A42" s="152"/>
      <c r="B42" s="152"/>
      <c r="C42" s="152"/>
      <c r="D42" s="152"/>
      <c r="E42" s="152"/>
      <c r="F42" s="152"/>
      <c r="G42" s="152"/>
      <c r="H42" s="152"/>
      <c r="I42" s="152"/>
      <c r="J42" s="152"/>
      <c r="K42" s="152"/>
      <c r="L42" s="482"/>
      <c r="M42" s="61"/>
      <c r="N42" s="61"/>
      <c r="O42" s="61"/>
      <c r="P42" s="564"/>
      <c r="Q42" s="565"/>
      <c r="R42" s="566">
        <v>1</v>
      </c>
      <c r="S42" s="567" t="s">
        <v>105</v>
      </c>
      <c r="T42" s="568" t="s">
        <v>106</v>
      </c>
      <c r="U42" s="569" t="str">
        <f ca="1">OFFSET(U42,0,-1)</f>
        <v>2</v>
      </c>
      <c r="V42" s="570">
        <f ca="1">OFFSET(V42,0,-1)+1</f>
        <v>3</v>
      </c>
      <c r="W42" s="570"/>
      <c r="X42" s="427">
        <f ca="1">OFFSET(X42,0,-1)+1</f>
        <v>1</v>
      </c>
      <c r="Y42" s="427">
        <f ca="1">OFFSET(Y42,0,-1)+1</f>
        <v>2</v>
      </c>
      <c r="Z42" s="570">
        <f ca="1">OFFSET(Z42,0,-1)+1</f>
        <v>3</v>
      </c>
      <c r="AA42" s="570">
        <f ca="1">OFFSET(AA42,0,-1)+1</f>
        <v>4</v>
      </c>
      <c r="AB42" s="570"/>
      <c r="AC42" s="570">
        <f ca="1">OFFSET(AC42,0,-2)+1</f>
        <v>5</v>
      </c>
      <c r="AD42" s="570">
        <f ca="1">OFFSET(AD42,0,-1)+1</f>
        <v>6</v>
      </c>
      <c r="AE42" s="570"/>
      <c r="AF42" s="427">
        <f ca="1">OFFSET(AF42,0,-1)+1</f>
        <v>1</v>
      </c>
      <c r="AG42" s="427">
        <f ca="1">OFFSET(AG42,0,-1)+1</f>
        <v>2</v>
      </c>
      <c r="AH42" s="570">
        <f ca="1">OFFSET(AH42,0,-1)+1</f>
        <v>3</v>
      </c>
      <c r="AI42" s="570">
        <f ca="1">OFFSET(AI42,0,-1)+1</f>
        <v>4</v>
      </c>
      <c r="AJ42" s="570"/>
      <c r="AK42" s="570">
        <f ca="1">OFFSET(AK42,0,-2)+1</f>
        <v>5</v>
      </c>
      <c r="AL42" s="569">
        <f ca="1">OFFSET(AL42,0,-1)</f>
        <v>5</v>
      </c>
      <c r="AM42" s="570">
        <f ca="1">OFFSET(AM42,0,-1)+1</f>
        <v>6</v>
      </c>
      <c r="AN42" s="57"/>
      <c r="AO42" s="57"/>
      <c r="AP42" s="57"/>
      <c r="AQ42" s="57"/>
      <c r="AR42" s="57"/>
      <c r="AS42" s="132">
        <v>0</v>
      </c>
    </row>
    <row r="43" ht="22" customHeight="1">
      <c r="A43" s="480" t="s">
        <v>188</v>
      </c>
      <c r="B43" s="480"/>
      <c r="C43" s="480"/>
      <c r="D43" s="480"/>
      <c r="E43" s="481">
        <v>1</v>
      </c>
      <c r="F43" s="480"/>
      <c r="G43" s="480"/>
      <c r="H43" s="480"/>
      <c r="I43" s="480"/>
      <c r="J43" s="480"/>
      <c r="K43" s="480"/>
      <c r="L43" s="482"/>
      <c r="M43" s="483"/>
      <c r="N43" s="483"/>
      <c r="O43" s="483"/>
      <c r="P43" s="60"/>
      <c r="Q43" s="144"/>
      <c r="R43" s="484"/>
      <c r="S43" s="485">
        <f>INDEX(PT_DIFFERENTIATION_NUM_NTAR,MATCH(A43,PT_DIFFERENTIATION_NTAR_ID,0))</f>
        <v>0</v>
      </c>
      <c r="T43" s="486" t="s">
        <v>119</v>
      </c>
      <c r="U43" s="487"/>
      <c r="V43" s="488"/>
      <c r="W43" s="489"/>
      <c r="X43" s="489"/>
      <c r="Y43" s="489"/>
      <c r="Z43" s="489"/>
      <c r="AA43" s="489"/>
      <c r="AB43" s="489"/>
      <c r="AC43" s="490"/>
      <c r="AD43" s="488" t="str">
        <f>INDEX(PT_DIFFERENTIATION_NTAR,MATCH(A43,PT_DIFFERENTIATION_NTAR_ID,0))</f>
        <v/>
      </c>
      <c r="AE43" s="489"/>
      <c r="AF43" s="489"/>
      <c r="AG43" s="489"/>
      <c r="AH43" s="489"/>
      <c r="AI43" s="489"/>
      <c r="AJ43" s="489"/>
      <c r="AK43" s="489"/>
      <c r="AL43" s="490"/>
      <c r="AM43" s="49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30"/>
      <c r="AP43" s="130" t="str">
        <f t="shared" si="11"/>
        <v xml:space="preserve">Наименование тарифа</v>
      </c>
      <c r="AQ43" s="130"/>
      <c r="AR43" s="130"/>
      <c r="AS43" s="50">
        <v>21</v>
      </c>
    </row>
    <row r="44" ht="22" customHeight="1">
      <c r="A44" s="480" t="s">
        <v>188</v>
      </c>
      <c r="B44" s="480" t="s">
        <v>189</v>
      </c>
      <c r="C44" s="480"/>
      <c r="D44" s="480"/>
      <c r="E44" s="492"/>
      <c r="F44" s="481">
        <v>1</v>
      </c>
      <c r="G44" s="480"/>
      <c r="H44" s="480"/>
      <c r="I44" s="480"/>
      <c r="J44" s="480"/>
      <c r="K44" s="480"/>
      <c r="L44" s="482"/>
      <c r="M44" s="483"/>
      <c r="N44" s="483"/>
      <c r="O44" s="483"/>
      <c r="P44" s="51"/>
      <c r="Q44" s="493"/>
      <c r="R44" s="494"/>
      <c r="S44" s="485" t="str">
        <f>INDEX(PT_DIFFERENTIATION_NUM_TER,MATCH(B44,PT_DIFFERENTIATION_TER_ID,0))</f>
        <v>.</v>
      </c>
      <c r="T44" s="495" t="s">
        <v>391</v>
      </c>
      <c r="U44" s="487"/>
      <c r="V44" s="488"/>
      <c r="W44" s="489"/>
      <c r="X44" s="489"/>
      <c r="Y44" s="489"/>
      <c r="Z44" s="489"/>
      <c r="AA44" s="489"/>
      <c r="AB44" s="489"/>
      <c r="AC44" s="490"/>
      <c r="AD44" s="488" t="str">
        <f>INDEX(PT_DIFFERENTIATION_TER,MATCH(B44,PT_DIFFERENTIATION_TER_ID,0))</f>
        <v/>
      </c>
      <c r="AE44" s="489"/>
      <c r="AF44" s="489"/>
      <c r="AG44" s="489"/>
      <c r="AH44" s="489"/>
      <c r="AI44" s="489"/>
      <c r="AJ44" s="489"/>
      <c r="AK44" s="489"/>
      <c r="AL44" s="490"/>
      <c r="AM44" s="491" t="s">
        <v>392</v>
      </c>
      <c r="AO44" s="130"/>
      <c r="AP44" s="130" t="str">
        <f t="shared" si="11"/>
        <v xml:space="preserve">Территория действия тарифа</v>
      </c>
      <c r="AQ44" s="130"/>
      <c r="AR44" s="130"/>
      <c r="AS44" s="50">
        <v>21</v>
      </c>
    </row>
    <row r="45" ht="24" customHeight="1">
      <c r="A45" s="480" t="s">
        <v>188</v>
      </c>
      <c r="B45" s="480" t="s">
        <v>189</v>
      </c>
      <c r="C45" s="480" t="s">
        <v>190</v>
      </c>
      <c r="D45" s="480"/>
      <c r="E45" s="492"/>
      <c r="F45" s="492"/>
      <c r="G45" s="481">
        <v>1</v>
      </c>
      <c r="H45" s="480"/>
      <c r="I45" s="480"/>
      <c r="J45" s="480"/>
      <c r="K45" s="480"/>
      <c r="L45" s="482"/>
      <c r="M45" s="483"/>
      <c r="N45" s="483"/>
      <c r="O45" s="483"/>
      <c r="P45" s="496"/>
      <c r="Q45" s="493"/>
      <c r="R45" s="494"/>
      <c r="S45" s="485" t="str">
        <f>INDEX(PT_DIFFERENTIATION_NUM_CS,MATCH(C45,PT_DIFFERENTIATION_CS_ID,0))</f>
        <v>..</v>
      </c>
      <c r="T45" s="497" t="s">
        <v>393</v>
      </c>
      <c r="U45" s="487"/>
      <c r="V45" s="488"/>
      <c r="W45" s="489"/>
      <c r="X45" s="489"/>
      <c r="Y45" s="489"/>
      <c r="Z45" s="489"/>
      <c r="AA45" s="489"/>
      <c r="AB45" s="489"/>
      <c r="AC45" s="490"/>
      <c r="AD45" s="488" t="str">
        <f>INDEX(PT_DIFFERENTIATION_CS,MATCH(C45,PT_DIFFERENTIATION_CS_ID,0))</f>
        <v/>
      </c>
      <c r="AE45" s="489"/>
      <c r="AF45" s="489"/>
      <c r="AG45" s="489"/>
      <c r="AH45" s="489"/>
      <c r="AI45" s="489"/>
      <c r="AJ45" s="489"/>
      <c r="AK45" s="489"/>
      <c r="AL45" s="490"/>
      <c r="AM45" s="491" t="s">
        <v>394</v>
      </c>
      <c r="AO45" s="130"/>
      <c r="AP45" s="130" t="str">
        <f t="shared" si="11"/>
        <v xml:space="preserve">Наименование системы теплоснабжения </v>
      </c>
      <c r="AQ45" s="130"/>
      <c r="AR45" s="130"/>
      <c r="AS45" s="50">
        <v>23</v>
      </c>
    </row>
    <row r="46" ht="22" customHeight="1">
      <c r="A46" s="480" t="s">
        <v>188</v>
      </c>
      <c r="B46" s="480" t="s">
        <v>189</v>
      </c>
      <c r="C46" s="480" t="s">
        <v>190</v>
      </c>
      <c r="D46" s="480" t="s">
        <v>191</v>
      </c>
      <c r="E46" s="492"/>
      <c r="F46" s="492"/>
      <c r="G46" s="492"/>
      <c r="H46" s="481">
        <v>1</v>
      </c>
      <c r="I46" s="480"/>
      <c r="J46" s="480"/>
      <c r="K46" s="480"/>
      <c r="L46" s="482"/>
      <c r="M46" s="483"/>
      <c r="N46" s="483"/>
      <c r="O46" s="483"/>
      <c r="P46" s="496"/>
      <c r="Q46" s="493"/>
      <c r="R46" s="494"/>
      <c r="S46" s="485" t="str">
        <f>INDEX(PT_DIFFERENTIATION_NUM_IST_TE,MATCH(D46,PT_DIFFERENTIATION_IST_TE_ID,0))</f>
        <v>...</v>
      </c>
      <c r="T46" s="498" t="s">
        <v>395</v>
      </c>
      <c r="U46" s="487"/>
      <c r="V46" s="488"/>
      <c r="W46" s="489"/>
      <c r="X46" s="489"/>
      <c r="Y46" s="489"/>
      <c r="Z46" s="489"/>
      <c r="AA46" s="489"/>
      <c r="AB46" s="489"/>
      <c r="AC46" s="490"/>
      <c r="AD46" s="488" t="str">
        <f>INDEX(PT_DIFFERENTIATION_IST_TE,MATCH(D46,PT_DIFFERENTIATION_IST_TE_ID,0))</f>
        <v/>
      </c>
      <c r="AE46" s="489"/>
      <c r="AF46" s="489"/>
      <c r="AG46" s="489"/>
      <c r="AH46" s="489"/>
      <c r="AI46" s="489"/>
      <c r="AJ46" s="489"/>
      <c r="AK46" s="489"/>
      <c r="AL46" s="490"/>
      <c r="AM46" s="491" t="s">
        <v>396</v>
      </c>
      <c r="AO46" s="130"/>
      <c r="AP46" s="130" t="str">
        <f t="shared" si="11"/>
        <v xml:space="preserve">Источник тепловой энергии  </v>
      </c>
      <c r="AQ46" s="130"/>
      <c r="AR46" s="130"/>
      <c r="AS46" s="50">
        <v>21</v>
      </c>
    </row>
    <row r="47" ht="49.5" customHeight="1">
      <c r="A47" s="480" t="s">
        <v>188</v>
      </c>
      <c r="B47" s="480" t="s">
        <v>189</v>
      </c>
      <c r="C47" s="480" t="s">
        <v>190</v>
      </c>
      <c r="D47" s="480" t="s">
        <v>191</v>
      </c>
      <c r="E47" s="492"/>
      <c r="F47" s="492"/>
      <c r="G47" s="492"/>
      <c r="H47" s="492"/>
      <c r="I47" s="499" t="str">
        <f>S46&amp;".1"</f>
        <v>....1</v>
      </c>
      <c r="J47" s="480"/>
      <c r="K47" s="480"/>
      <c r="L47" s="482" t="s">
        <v>397</v>
      </c>
      <c r="P47" s="133">
        <v>1</v>
      </c>
      <c r="Q47" s="133"/>
      <c r="R47" s="500"/>
      <c r="S47" s="485" t="str">
        <f>$I47</f>
        <v>....1</v>
      </c>
      <c r="T47" s="501" t="s">
        <v>398</v>
      </c>
      <c r="U47" s="487"/>
      <c r="V47" s="432"/>
      <c r="W47" s="502"/>
      <c r="X47" s="502"/>
      <c r="Y47" s="502"/>
      <c r="Z47" s="502"/>
      <c r="AA47" s="502"/>
      <c r="AB47" s="502"/>
      <c r="AC47" s="503"/>
      <c r="AD47" s="432"/>
      <c r="AE47" s="502"/>
      <c r="AF47" s="502"/>
      <c r="AG47" s="502"/>
      <c r="AH47" s="502"/>
      <c r="AI47" s="502"/>
      <c r="AJ47" s="502"/>
      <c r="AK47" s="502"/>
      <c r="AL47" s="503"/>
      <c r="AM47" s="491" t="s">
        <v>399</v>
      </c>
      <c r="AO47" s="130"/>
      <c r="AP47" s="130" t="str">
        <f t="shared" si="11"/>
        <v xml:space="preserve">Схема подключения теплопотребляющей установки к коллектору источника тепловой энергии</v>
      </c>
      <c r="AQ47" s="130"/>
      <c r="AR47" s="130"/>
      <c r="AS47" s="50">
        <v>47</v>
      </c>
    </row>
    <row r="48" ht="22" customHeight="1">
      <c r="A48" s="480" t="s">
        <v>188</v>
      </c>
      <c r="B48" s="480" t="s">
        <v>189</v>
      </c>
      <c r="C48" s="480" t="s">
        <v>190</v>
      </c>
      <c r="D48" s="480" t="s">
        <v>191</v>
      </c>
      <c r="E48" s="492"/>
      <c r="F48" s="492"/>
      <c r="G48" s="492"/>
      <c r="H48" s="492"/>
      <c r="I48" s="504"/>
      <c r="J48" s="499" t="str">
        <f>I47&amp;".1"</f>
        <v>....1.1</v>
      </c>
      <c r="K48" s="480"/>
      <c r="L48" s="482" t="s">
        <v>400</v>
      </c>
      <c r="P48" s="133"/>
      <c r="Q48" s="133">
        <v>1</v>
      </c>
      <c r="R48" s="505"/>
      <c r="S48" s="485" t="str">
        <f>$J48</f>
        <v>....1.1</v>
      </c>
      <c r="T48" s="506" t="s">
        <v>401</v>
      </c>
      <c r="U48" s="487"/>
      <c r="V48" s="432"/>
      <c r="W48" s="502"/>
      <c r="X48" s="502"/>
      <c r="Y48" s="502"/>
      <c r="Z48" s="502"/>
      <c r="AA48" s="502"/>
      <c r="AB48" s="502"/>
      <c r="AC48" s="503"/>
      <c r="AD48" s="432"/>
      <c r="AE48" s="502"/>
      <c r="AF48" s="502"/>
      <c r="AG48" s="502"/>
      <c r="AH48" s="502"/>
      <c r="AI48" s="502"/>
      <c r="AJ48" s="502"/>
      <c r="AK48" s="502"/>
      <c r="AL48" s="503"/>
      <c r="AM48" s="491" t="s">
        <v>402</v>
      </c>
      <c r="AO48" s="130"/>
      <c r="AP48" s="130" t="str">
        <f t="shared" si="11"/>
        <v xml:space="preserve">Группа потребителей</v>
      </c>
      <c r="AQ48" s="130"/>
      <c r="AR48" s="130"/>
      <c r="AS48" s="50">
        <v>21</v>
      </c>
    </row>
    <row r="49" ht="22" customHeight="1">
      <c r="A49" s="480" t="s">
        <v>188</v>
      </c>
      <c r="B49" s="480" t="s">
        <v>189</v>
      </c>
      <c r="C49" s="480" t="s">
        <v>190</v>
      </c>
      <c r="D49" s="480" t="s">
        <v>191</v>
      </c>
      <c r="E49" s="492"/>
      <c r="F49" s="492"/>
      <c r="G49" s="492"/>
      <c r="H49" s="492"/>
      <c r="I49" s="504"/>
      <c r="J49" s="504"/>
      <c r="K49" s="499" t="str">
        <f>J48&amp;".1"</f>
        <v>....1.1.1</v>
      </c>
      <c r="L49" s="482" t="s">
        <v>403</v>
      </c>
      <c r="P49" s="133"/>
      <c r="Q49" s="133"/>
      <c r="R49" s="505">
        <v>1</v>
      </c>
      <c r="S49" s="485" t="str">
        <f>$K49</f>
        <v>....1.1.1</v>
      </c>
      <c r="T49" s="507"/>
      <c r="U49" s="487"/>
      <c r="V49" s="509"/>
      <c r="W49" s="508"/>
      <c r="X49" s="509"/>
      <c r="Y49" s="584"/>
      <c r="Z49" s="511"/>
      <c r="AA49" s="225" t="s">
        <v>64</v>
      </c>
      <c r="AB49" s="511"/>
      <c r="AC49" s="225" t="s">
        <v>64</v>
      </c>
      <c r="AD49" s="509"/>
      <c r="AE49" s="508"/>
      <c r="AF49" s="509"/>
      <c r="AG49" s="584"/>
      <c r="AH49" s="511"/>
      <c r="AI49" s="225" t="s">
        <v>64</v>
      </c>
      <c r="AJ49" s="571"/>
      <c r="AK49" s="225" t="s">
        <v>64</v>
      </c>
      <c r="AL49" s="572"/>
      <c r="AM49" s="512" t="s">
        <v>404</v>
      </c>
      <c r="AN49" s="57" t="e">
        <f>STRCHECKDATE(V50:AL50)</f>
        <v>#NAME?</v>
      </c>
      <c r="AO49" s="130"/>
      <c r="AP49" s="130" t="str">
        <f t="shared" si="11"/>
        <v/>
      </c>
      <c r="AQ49" s="130"/>
      <c r="AR49" s="130"/>
      <c r="AS49" s="50">
        <v>21</v>
      </c>
    </row>
    <row r="50" ht="1.05" customHeight="1">
      <c r="A50" s="480" t="s">
        <v>188</v>
      </c>
      <c r="B50" s="480" t="s">
        <v>189</v>
      </c>
      <c r="C50" s="480" t="s">
        <v>190</v>
      </c>
      <c r="D50" s="480" t="s">
        <v>191</v>
      </c>
      <c r="E50" s="492"/>
      <c r="F50" s="492"/>
      <c r="G50" s="492"/>
      <c r="H50" s="492"/>
      <c r="I50" s="504"/>
      <c r="J50" s="504"/>
      <c r="K50" s="499"/>
      <c r="L50" s="482"/>
      <c r="P50" s="133"/>
      <c r="Q50" s="133"/>
      <c r="R50" s="505"/>
      <c r="S50" s="459"/>
      <c r="T50" s="487"/>
      <c r="U50" s="487"/>
      <c r="V50" s="509"/>
      <c r="W50" s="509"/>
      <c r="X50" s="509"/>
      <c r="Y50" s="513" t="str">
        <f>Z49&amp;"-"&amp;AB49</f>
        <v>-</v>
      </c>
      <c r="Z50" s="514"/>
      <c r="AA50" s="225"/>
      <c r="AB50" s="514"/>
      <c r="AC50" s="225"/>
      <c r="AD50" s="509"/>
      <c r="AE50" s="509"/>
      <c r="AF50" s="509"/>
      <c r="AG50" s="513" t="str">
        <f>AH49&amp;"-"&amp;AJ49</f>
        <v>-</v>
      </c>
      <c r="AH50" s="514"/>
      <c r="AI50" s="225"/>
      <c r="AJ50" s="573"/>
      <c r="AK50" s="225"/>
      <c r="AL50" s="574"/>
      <c r="AM50" s="515"/>
      <c r="AO50" s="130"/>
      <c r="AP50" s="130" t="str">
        <f t="shared" si="11"/>
        <v/>
      </c>
      <c r="AQ50" s="130"/>
      <c r="AR50" s="130"/>
      <c r="AS50" s="50">
        <v>1</v>
      </c>
    </row>
    <row r="51" ht="11.5" customHeight="1">
      <c r="A51" s="480" t="s">
        <v>188</v>
      </c>
      <c r="B51" s="480" t="s">
        <v>189</v>
      </c>
      <c r="C51" s="480" t="s">
        <v>190</v>
      </c>
      <c r="D51" s="480" t="s">
        <v>191</v>
      </c>
      <c r="E51" s="492"/>
      <c r="F51" s="492"/>
      <c r="G51" s="492"/>
      <c r="H51" s="492"/>
      <c r="I51" s="504"/>
      <c r="J51" s="499"/>
      <c r="K51" s="480"/>
      <c r="L51" s="482"/>
      <c r="P51" s="133"/>
      <c r="Q51" s="133"/>
      <c r="R51" s="500"/>
      <c r="S51" s="516"/>
      <c r="T51" s="517" t="s">
        <v>405</v>
      </c>
      <c r="U51" s="215"/>
      <c r="V51" s="215"/>
      <c r="W51" s="215"/>
      <c r="X51" s="215"/>
      <c r="Y51" s="215"/>
      <c r="Z51" s="215"/>
      <c r="AA51" s="215"/>
      <c r="AB51" s="215"/>
      <c r="AC51" s="215"/>
      <c r="AD51" s="215"/>
      <c r="AE51" s="215"/>
      <c r="AF51" s="215"/>
      <c r="AG51" s="215"/>
      <c r="AH51" s="215"/>
      <c r="AI51" s="215"/>
      <c r="AJ51" s="215"/>
      <c r="AK51" s="215"/>
      <c r="AL51" s="518"/>
      <c r="AM51" s="519"/>
      <c r="AO51" s="130"/>
      <c r="AP51" s="130" t="str">
        <f t="shared" si="11"/>
        <v xml:space="preserve">Добавить вид теплоносителя (параметры теплоносителя)</v>
      </c>
      <c r="AQ51" s="130"/>
      <c r="AR51" s="130"/>
      <c r="AS51" s="50">
        <v>11</v>
      </c>
    </row>
    <row r="52" ht="11.5" customHeight="1">
      <c r="A52" s="480" t="s">
        <v>188</v>
      </c>
      <c r="B52" s="480" t="s">
        <v>189</v>
      </c>
      <c r="C52" s="480" t="s">
        <v>190</v>
      </c>
      <c r="D52" s="480" t="s">
        <v>191</v>
      </c>
      <c r="E52" s="492"/>
      <c r="F52" s="492"/>
      <c r="G52" s="492"/>
      <c r="H52" s="492"/>
      <c r="I52" s="499"/>
      <c r="J52" s="480"/>
      <c r="K52" s="480"/>
      <c r="L52" s="482"/>
      <c r="P52" s="133"/>
      <c r="Q52" s="133"/>
      <c r="R52" s="500"/>
      <c r="S52" s="516"/>
      <c r="T52" s="520" t="s">
        <v>406</v>
      </c>
      <c r="U52" s="215"/>
      <c r="V52" s="215"/>
      <c r="W52" s="215"/>
      <c r="X52" s="215"/>
      <c r="Y52" s="215"/>
      <c r="Z52" s="215"/>
      <c r="AA52" s="215"/>
      <c r="AB52" s="215"/>
      <c r="AC52" s="521"/>
      <c r="AD52" s="215"/>
      <c r="AE52" s="215"/>
      <c r="AF52" s="215"/>
      <c r="AG52" s="215"/>
      <c r="AH52" s="215"/>
      <c r="AI52" s="215"/>
      <c r="AJ52" s="215"/>
      <c r="AK52" s="521"/>
      <c r="AL52" s="215"/>
      <c r="AM52" s="522"/>
      <c r="AO52" s="130"/>
      <c r="AP52" s="130" t="str">
        <f t="shared" si="11"/>
        <v xml:space="preserve">Добавить группу потребителей</v>
      </c>
      <c r="AQ52" s="130"/>
      <c r="AR52" s="130"/>
      <c r="AS52" s="50">
        <v>11</v>
      </c>
    </row>
    <row r="53" ht="14.65" customHeight="1">
      <c r="A53" s="480" t="s">
        <v>188</v>
      </c>
      <c r="B53" s="480" t="s">
        <v>189</v>
      </c>
      <c r="C53" s="480" t="s">
        <v>190</v>
      </c>
      <c r="D53" s="480" t="s">
        <v>191</v>
      </c>
      <c r="E53" s="492"/>
      <c r="F53" s="492"/>
      <c r="G53" s="492"/>
      <c r="H53" s="481"/>
      <c r="I53" s="480"/>
      <c r="J53" s="480"/>
      <c r="K53" s="480"/>
      <c r="L53" s="482"/>
      <c r="M53" s="483"/>
      <c r="N53" s="483"/>
      <c r="O53" s="53"/>
      <c r="P53" s="144"/>
      <c r="Q53" s="523"/>
      <c r="R53" s="484"/>
      <c r="S53" s="516"/>
      <c r="T53" s="524" t="s">
        <v>407</v>
      </c>
      <c r="U53" s="215"/>
      <c r="V53" s="215"/>
      <c r="W53" s="215"/>
      <c r="X53" s="215"/>
      <c r="Y53" s="215"/>
      <c r="Z53" s="215"/>
      <c r="AA53" s="215"/>
      <c r="AB53" s="215"/>
      <c r="AC53" s="521"/>
      <c r="AD53" s="215"/>
      <c r="AE53" s="215"/>
      <c r="AF53" s="215"/>
      <c r="AG53" s="215"/>
      <c r="AH53" s="215"/>
      <c r="AI53" s="215"/>
      <c r="AJ53" s="215"/>
      <c r="AK53" s="521"/>
      <c r="AL53" s="215"/>
      <c r="AM53" s="522"/>
      <c r="AO53" s="130"/>
      <c r="AP53" s="130" t="str">
        <f t="shared" si="11"/>
        <v xml:space="preserve">Добавить схему подключения</v>
      </c>
      <c r="AQ53" s="130"/>
      <c r="AR53" s="130"/>
      <c r="AS53" s="50">
        <v>14</v>
      </c>
    </row>
    <row r="54" s="57" customFormat="1" ht="1.05" customHeight="1">
      <c r="A54" s="134" t="s">
        <v>188</v>
      </c>
      <c r="B54" s="134" t="s">
        <v>189</v>
      </c>
      <c r="C54" s="134" t="s">
        <v>190</v>
      </c>
      <c r="D54" s="134"/>
      <c r="E54" s="492"/>
      <c r="F54" s="492"/>
      <c r="G54" s="481"/>
      <c r="H54" s="134"/>
      <c r="I54" s="134"/>
      <c r="J54" s="134"/>
      <c r="K54" s="134"/>
      <c r="L54" s="213"/>
      <c r="M54" s="465"/>
      <c r="N54" s="465"/>
      <c r="P54" s="168"/>
      <c r="Q54" s="525"/>
      <c r="R54" s="168"/>
      <c r="S54" s="530"/>
      <c r="T54" s="533" t="s">
        <v>408</v>
      </c>
      <c r="U54" s="532"/>
      <c r="V54" s="532"/>
      <c r="W54" s="532"/>
      <c r="X54" s="532"/>
      <c r="Y54" s="532"/>
      <c r="Z54" s="532"/>
      <c r="AA54" s="532"/>
      <c r="AB54" s="532"/>
      <c r="AC54" s="532"/>
      <c r="AD54" s="532"/>
      <c r="AE54" s="532"/>
      <c r="AF54" s="532"/>
      <c r="AG54" s="532"/>
      <c r="AH54" s="532"/>
      <c r="AI54" s="532"/>
      <c r="AJ54" s="532"/>
      <c r="AK54" s="532"/>
      <c r="AL54" s="532"/>
      <c r="AM54" s="532"/>
      <c r="AO54" s="130"/>
      <c r="AP54" s="130" t="str">
        <f t="shared" si="11"/>
        <v xml:space="preserve">Добавить источник для дифференциации</v>
      </c>
      <c r="AQ54" s="130"/>
      <c r="AR54" s="130"/>
      <c r="AS54" s="57">
        <v>1</v>
      </c>
    </row>
    <row r="55" s="57" customFormat="1" ht="1.05" customHeight="1">
      <c r="A55" s="134" t="s">
        <v>188</v>
      </c>
      <c r="B55" s="134" t="s">
        <v>189</v>
      </c>
      <c r="C55" s="134"/>
      <c r="D55" s="134"/>
      <c r="E55" s="492"/>
      <c r="F55" s="481"/>
      <c r="G55" s="134"/>
      <c r="H55" s="134"/>
      <c r="I55" s="134"/>
      <c r="J55" s="134"/>
      <c r="K55" s="134"/>
      <c r="L55" s="213"/>
      <c r="M55" s="529"/>
      <c r="N55" s="529"/>
      <c r="P55" s="168"/>
      <c r="Q55" s="525"/>
      <c r="R55" s="168"/>
      <c r="S55" s="530"/>
      <c r="T55" s="533" t="s">
        <v>409</v>
      </c>
      <c r="U55" s="532"/>
      <c r="V55" s="532"/>
      <c r="W55" s="532"/>
      <c r="X55" s="532"/>
      <c r="Y55" s="532"/>
      <c r="Z55" s="532"/>
      <c r="AA55" s="532"/>
      <c r="AB55" s="532"/>
      <c r="AC55" s="532"/>
      <c r="AD55" s="532"/>
      <c r="AE55" s="532"/>
      <c r="AF55" s="532"/>
      <c r="AG55" s="532"/>
      <c r="AH55" s="532"/>
      <c r="AI55" s="532"/>
      <c r="AJ55" s="532"/>
      <c r="AK55" s="532"/>
      <c r="AL55" s="532"/>
      <c r="AM55" s="532"/>
      <c r="AO55" s="130"/>
      <c r="AP55" s="130" t="str">
        <f t="shared" si="11"/>
        <v xml:space="preserve">Добавить централизованную систему для дифференциации</v>
      </c>
      <c r="AQ55" s="130"/>
      <c r="AR55" s="130"/>
      <c r="AS55" s="57">
        <v>1</v>
      </c>
    </row>
    <row r="56" s="57" customFormat="1" ht="1.05" customHeight="1">
      <c r="A56" s="134" t="s">
        <v>188</v>
      </c>
      <c r="B56" s="134"/>
      <c r="C56" s="134"/>
      <c r="D56" s="134"/>
      <c r="E56" s="481"/>
      <c r="F56" s="134"/>
      <c r="G56" s="134"/>
      <c r="H56" s="134"/>
      <c r="I56" s="134"/>
      <c r="J56" s="134"/>
      <c r="K56" s="134"/>
      <c r="L56" s="213"/>
      <c r="M56" s="529"/>
      <c r="N56" s="529"/>
      <c r="O56" s="57"/>
      <c r="P56" s="168"/>
      <c r="Q56" s="525"/>
      <c r="R56" s="168"/>
      <c r="S56" s="530"/>
      <c r="T56" s="533" t="s">
        <v>410</v>
      </c>
      <c r="U56" s="532"/>
      <c r="V56" s="532"/>
      <c r="W56" s="532"/>
      <c r="X56" s="532"/>
      <c r="Y56" s="532"/>
      <c r="Z56" s="532"/>
      <c r="AA56" s="532"/>
      <c r="AB56" s="532"/>
      <c r="AC56" s="532"/>
      <c r="AD56" s="532"/>
      <c r="AE56" s="532"/>
      <c r="AF56" s="532"/>
      <c r="AG56" s="532"/>
      <c r="AH56" s="532"/>
      <c r="AI56" s="532"/>
      <c r="AJ56" s="532"/>
      <c r="AK56" s="532"/>
      <c r="AL56" s="532"/>
      <c r="AM56" s="532"/>
      <c r="AO56" s="130"/>
      <c r="AP56" s="130" t="str">
        <f t="shared" si="11"/>
        <v xml:space="preserve">Добавить территорию для дифференциации</v>
      </c>
      <c r="AQ56" s="130"/>
      <c r="AR56" s="130"/>
      <c r="AS56" s="57">
        <v>1</v>
      </c>
    </row>
    <row r="57" s="57" customFormat="1" ht="1.05" customHeight="1">
      <c r="A57" s="134"/>
      <c r="B57" s="134"/>
      <c r="C57" s="134"/>
      <c r="D57" s="134"/>
      <c r="E57" s="134"/>
      <c r="F57" s="134"/>
      <c r="G57" s="134"/>
      <c r="H57" s="134"/>
      <c r="I57" s="134"/>
      <c r="J57" s="134"/>
      <c r="K57" s="134"/>
      <c r="L57" s="213"/>
      <c r="M57" s="529"/>
      <c r="N57" s="529"/>
      <c r="P57" s="168"/>
      <c r="Q57" s="525"/>
      <c r="R57" s="168"/>
      <c r="S57" s="530"/>
      <c r="T57" s="533" t="s">
        <v>442</v>
      </c>
      <c r="U57" s="532"/>
      <c r="V57" s="532"/>
      <c r="W57" s="532"/>
      <c r="X57" s="532"/>
      <c r="Y57" s="532"/>
      <c r="Z57" s="532"/>
      <c r="AA57" s="532"/>
      <c r="AB57" s="532"/>
      <c r="AC57" s="532"/>
      <c r="AD57" s="532"/>
      <c r="AE57" s="532"/>
      <c r="AF57" s="532"/>
      <c r="AG57" s="532"/>
      <c r="AH57" s="532"/>
      <c r="AI57" s="532"/>
      <c r="AJ57" s="532"/>
      <c r="AK57" s="532"/>
      <c r="AL57" s="532"/>
      <c r="AM57" s="532"/>
      <c r="AO57" s="130"/>
      <c r="AP57" s="130" t="str">
        <f t="shared" si="11"/>
        <v xml:space="preserve">Добавить наименование тарифа</v>
      </c>
      <c r="AQ57" s="130"/>
      <c r="AR57" s="130"/>
      <c r="AS57" s="57">
        <v>1</v>
      </c>
    </row>
    <row r="58" ht="11.5" customHeight="1">
      <c r="M58" s="53"/>
      <c r="N58" s="53"/>
      <c r="O58" s="53"/>
      <c r="P58" s="50"/>
      <c r="Q58" s="50"/>
      <c r="R58" s="50"/>
      <c r="S58" s="50"/>
      <c r="AN58" s="50"/>
      <c r="AO58" s="50"/>
      <c r="AP58" s="50"/>
      <c r="AQ58" s="50"/>
      <c r="AR58" s="50"/>
      <c r="AS58" s="50">
        <v>11</v>
      </c>
    </row>
    <row r="59" ht="28.5" customHeight="1">
      <c r="O59" s="53"/>
      <c r="S59" s="477"/>
      <c r="T59" s="575"/>
      <c r="U59" s="575"/>
      <c r="V59" s="575"/>
      <c r="W59" s="575"/>
      <c r="X59" s="575"/>
      <c r="Y59" s="575"/>
      <c r="Z59" s="575"/>
      <c r="AA59" s="575"/>
      <c r="AB59" s="575"/>
      <c r="AC59" s="575"/>
      <c r="AD59" s="575"/>
      <c r="AE59" s="575"/>
      <c r="AF59" s="575"/>
      <c r="AG59" s="575"/>
      <c r="AH59" s="575"/>
      <c r="AI59" s="575"/>
      <c r="AJ59" s="575"/>
      <c r="AK59" s="575"/>
      <c r="AL59" s="575"/>
      <c r="AM59" s="575"/>
      <c r="AS59" s="50">
        <v>27</v>
      </c>
    </row>
    <row r="60" ht="78.75" customHeight="1">
      <c r="O60" s="53"/>
      <c r="T60" s="575"/>
      <c r="U60" s="575"/>
      <c r="V60" s="575"/>
      <c r="W60" s="575"/>
      <c r="X60" s="575"/>
      <c r="Y60" s="575"/>
      <c r="Z60" s="575"/>
      <c r="AA60" s="575"/>
      <c r="AB60" s="575"/>
      <c r="AC60" s="575"/>
      <c r="AD60" s="575"/>
      <c r="AE60" s="575"/>
      <c r="AF60" s="575"/>
      <c r="AG60" s="575"/>
      <c r="AH60" s="575"/>
      <c r="AI60" s="575"/>
      <c r="AJ60" s="575"/>
      <c r="AK60" s="575"/>
      <c r="AL60" s="575"/>
      <c r="AM60" s="575"/>
      <c r="AS60" s="50">
        <v>75</v>
      </c>
    </row>
    <row r="61" ht="14.65" customHeight="1">
      <c r="O61" s="53"/>
      <c r="AS61" s="50">
        <v>14</v>
      </c>
    </row>
    <row r="62" ht="18.75" customHeight="1">
      <c r="O62" s="53"/>
      <c r="S62" s="477"/>
      <c r="T62" s="575"/>
      <c r="U62" s="575"/>
      <c r="V62" s="575"/>
      <c r="W62" s="575"/>
      <c r="X62" s="575"/>
      <c r="Y62" s="575"/>
      <c r="Z62" s="575"/>
      <c r="AA62" s="575"/>
      <c r="AB62" s="575"/>
      <c r="AC62" s="575"/>
      <c r="AD62" s="575"/>
      <c r="AE62" s="575"/>
      <c r="AF62" s="575"/>
      <c r="AG62" s="575"/>
      <c r="AH62" s="575"/>
      <c r="AI62" s="575"/>
      <c r="AJ62" s="575"/>
      <c r="AK62" s="575"/>
      <c r="AL62" s="575"/>
      <c r="AM62" s="575"/>
      <c r="AS62" s="50">
        <v>18</v>
      </c>
    </row>
    <row r="63" ht="18.75" customHeight="1">
      <c r="O63" s="53"/>
      <c r="T63" s="575"/>
      <c r="U63" s="575"/>
      <c r="V63" s="575"/>
      <c r="W63" s="575"/>
      <c r="X63" s="575"/>
      <c r="Y63" s="575"/>
      <c r="Z63" s="575"/>
      <c r="AA63" s="575"/>
      <c r="AB63" s="575"/>
      <c r="AC63" s="575"/>
      <c r="AD63" s="575"/>
      <c r="AE63" s="575"/>
      <c r="AF63" s="575"/>
      <c r="AG63" s="575"/>
      <c r="AH63" s="575"/>
      <c r="AI63" s="575"/>
      <c r="AJ63" s="575"/>
      <c r="AK63" s="575"/>
      <c r="AL63" s="575"/>
      <c r="AM63" s="575"/>
      <c r="AS63" s="50">
        <v>18</v>
      </c>
    </row>
    <row r="64" ht="39.75" customHeight="1">
      <c r="O64" s="53"/>
      <c r="S64" s="477"/>
      <c r="T64" s="575"/>
      <c r="U64" s="575"/>
      <c r="V64" s="575"/>
      <c r="W64" s="575"/>
      <c r="X64" s="575"/>
      <c r="Y64" s="575"/>
      <c r="Z64" s="575"/>
      <c r="AA64" s="575"/>
      <c r="AB64" s="575"/>
      <c r="AC64" s="575"/>
      <c r="AD64" s="575"/>
      <c r="AE64" s="575"/>
      <c r="AF64" s="575"/>
      <c r="AG64" s="575"/>
      <c r="AH64" s="575"/>
      <c r="AI64" s="575"/>
      <c r="AJ64" s="575"/>
      <c r="AK64" s="575"/>
      <c r="AL64" s="575"/>
      <c r="AM64" s="575"/>
      <c r="AS64" s="50">
        <v>38</v>
      </c>
    </row>
    <row r="65" ht="22.5" hidden="1" customHeight="1">
      <c r="A65" s="53" t="s">
        <v>81</v>
      </c>
      <c r="B65" s="53">
        <v>0</v>
      </c>
      <c r="C65" s="53">
        <v>0</v>
      </c>
      <c r="D65" s="53">
        <v>0</v>
      </c>
      <c r="E65" s="53">
        <v>0</v>
      </c>
      <c r="F65" s="53">
        <v>0</v>
      </c>
      <c r="G65" s="53">
        <v>0</v>
      </c>
      <c r="H65" s="53">
        <v>0</v>
      </c>
      <c r="I65" s="53">
        <v>0</v>
      </c>
      <c r="J65" s="53">
        <v>0</v>
      </c>
      <c r="K65" s="53">
        <v>0</v>
      </c>
      <c r="L65" s="114">
        <v>0</v>
      </c>
      <c r="M65" s="61">
        <v>0</v>
      </c>
      <c r="N65" s="61">
        <v>0</v>
      </c>
      <c r="O65" s="61">
        <v>0</v>
      </c>
      <c r="P65" s="60">
        <v>3</v>
      </c>
      <c r="Q65" s="479">
        <v>3</v>
      </c>
      <c r="R65" s="479">
        <v>3</v>
      </c>
      <c r="S65" s="86">
        <v>12</v>
      </c>
      <c r="T65" s="50">
        <v>31</v>
      </c>
      <c r="U65" s="50">
        <v>0</v>
      </c>
      <c r="V65" s="50">
        <v>0</v>
      </c>
      <c r="W65" s="50">
        <v>0</v>
      </c>
      <c r="X65" s="50">
        <v>0</v>
      </c>
      <c r="Y65" s="50">
        <v>0</v>
      </c>
      <c r="Z65" s="50">
        <v>0</v>
      </c>
      <c r="AA65" s="50">
        <v>0</v>
      </c>
      <c r="AB65" s="50">
        <v>0</v>
      </c>
      <c r="AC65" s="50">
        <v>0</v>
      </c>
      <c r="AD65" s="50">
        <v>0</v>
      </c>
      <c r="AE65" s="50">
        <v>24</v>
      </c>
      <c r="AF65" s="50">
        <v>0</v>
      </c>
      <c r="AG65" s="50">
        <v>0</v>
      </c>
      <c r="AH65" s="50">
        <v>11</v>
      </c>
      <c r="AI65" s="50">
        <v>3</v>
      </c>
      <c r="AJ65" s="50">
        <v>11</v>
      </c>
      <c r="AK65" s="50">
        <v>0</v>
      </c>
      <c r="AL65" s="50">
        <v>4</v>
      </c>
      <c r="AM65" s="50">
        <v>115</v>
      </c>
      <c r="AN65" s="57">
        <v>10</v>
      </c>
      <c r="AO65" s="57">
        <v>10</v>
      </c>
      <c r="AP65" s="57">
        <v>10</v>
      </c>
      <c r="AQ65" s="57">
        <v>10</v>
      </c>
      <c r="AR65" s="57">
        <v>10</v>
      </c>
      <c r="AS65" s="50">
        <v>23</v>
      </c>
    </row>
  </sheetData>
  <sheetProtection autoFilter="0" deleteColumns="1" deleteRows="1" formatCells="1" formatColumns="0" formatRows="0" insertColumns="1" insertHyperlinks="1" insertRows="1" objects="0" pivotTables="1" scenarios="0" selectLockedCells="0" selectUnlockedCells="0" sheet="1" sort="1"/>
  <mergeCells count="110">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K8:K9"/>
    <mergeCell ref="Z8:Z9"/>
    <mergeCell ref="AA8:AA9"/>
    <mergeCell ref="AB8:AB9"/>
    <mergeCell ref="AC8:AC9"/>
    <mergeCell ref="AH8:AH9"/>
    <mergeCell ref="AI8:AI9"/>
    <mergeCell ref="AJ8:AJ9"/>
    <mergeCell ref="AK8:AK9"/>
    <mergeCell ref="AM8:AM10"/>
    <mergeCell ref="AH17:AH18"/>
    <mergeCell ref="AI17:AI18"/>
    <mergeCell ref="AJ17:AJ18"/>
    <mergeCell ref="AK17:AK18"/>
    <mergeCell ref="S26:AJ26"/>
    <mergeCell ref="S27:AJ27"/>
    <mergeCell ref="S29:T29"/>
    <mergeCell ref="V29:AB29"/>
    <mergeCell ref="AD29:AJ29"/>
    <mergeCell ref="S30:T30"/>
    <mergeCell ref="V30:AB30"/>
    <mergeCell ref="AD30:AJ30"/>
    <mergeCell ref="S31:T31"/>
    <mergeCell ref="V31:AB31"/>
    <mergeCell ref="AD31:AJ31"/>
    <mergeCell ref="S32:T32"/>
    <mergeCell ref="V32:AB32"/>
    <mergeCell ref="AD32:AJ32"/>
    <mergeCell ref="S34:T34"/>
    <mergeCell ref="V34:AB34"/>
    <mergeCell ref="AD34:AJ34"/>
    <mergeCell ref="S35:T35"/>
    <mergeCell ref="V35:AB35"/>
    <mergeCell ref="AD35:AJ35"/>
    <mergeCell ref="V37:AC37"/>
    <mergeCell ref="AD37:AK37"/>
    <mergeCell ref="S38:AL38"/>
    <mergeCell ref="AM38:AM41"/>
    <mergeCell ref="S39:S41"/>
    <mergeCell ref="T39:T41"/>
    <mergeCell ref="V39:AB39"/>
    <mergeCell ref="AC39:AC41"/>
    <mergeCell ref="AD39:AJ39"/>
    <mergeCell ref="AK39:AK41"/>
    <mergeCell ref="AL39:AL41"/>
    <mergeCell ref="V40:V41"/>
    <mergeCell ref="W40:W41"/>
    <mergeCell ref="Z40:AB40"/>
    <mergeCell ref="AD40:AD41"/>
    <mergeCell ref="AE40:AE41"/>
    <mergeCell ref="AH40:AJ40"/>
    <mergeCell ref="AA41:AB41"/>
    <mergeCell ref="AI41:AJ41"/>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AM49:AM51"/>
    <mergeCell ref="T59:AM59"/>
    <mergeCell ref="T60:AM60"/>
    <mergeCell ref="T62:AM62"/>
    <mergeCell ref="T63:AM63"/>
    <mergeCell ref="T64:AM64"/>
  </mergeCells>
  <dataValidations count="4" disablePrompts="0">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type="none" allowBlank="1" errorStyle="stop" imeMode="noControl" operator="between" promptTitle="checkPeriodRange" showDropDown="0" showErrorMessage="0" showInputMessage="0"/>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S131123:AM131129 S196659:AM196665 S262195:AM262201 S327731:AM327737 S393267:AM393273 S458803:AM458809 S524339:AM524345 S589875:AM589881 S655411:AM655417 S720947:AM720953 S786483:AM786489 S852019:AM852025 S917555:AM917561 S983091:AM983097 S65587:AM65593"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2F00FF-0045-4501-8E76-00300084000F}" type="textLength" allowBlank="1" error="Допускается ввод не более 900 символов!" errorStyle="stop" errorTitle="Ошибка" imeMode="noControl" operator="lessThanOrEqual" showDropDown="0"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1B006B-0034-45E6-B0B9-0074008C0067}" type="list" allowBlank="1" error="Выберите значение из списка" errorStyle="stop" errorTitle="Ошибка" imeMode="noControl" operator="between" showDropDown="0"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5E00CC-00E6-4E5F-B886-0083001A005C}" type="list" allowBlank="1" error="Выберите значение из списка" errorStyle="stop" errorTitle="Ошибка" imeMode="noControl" operator="between" showDropDown="0" showErrorMessage="1" showInputMessage="1">
          <x14:formula1>
            <xm:f>kind_of_heat_transfer</xm:f>
          </x14:formula1>
          <xm:sqref>T65585 T131121 T196657 T262193 T327729 T393265 T458801 T524337 T589873 T655409 T720945 T786481 T852017 T917553 T983089</xm:sqref>
        </x14:dataValidation>
        <x14:dataValidation xr:uid="{00370087-000A-4A28-9F41-00D500810027}"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s>
    </ext>
  </extLs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9" ySplit="42" topLeftCell="AD43"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4" width="19.140625"/>
    <col customWidth="1" hidden="1" min="13" max="14" style="61" width="12.28125"/>
    <col customWidth="1" hidden="1" min="15" max="15" style="61" width="23.421875"/>
    <col customWidth="1" hidden="1" min="16" max="16" style="60" width="3.7109375"/>
    <col customWidth="1" min="17" max="18" style="479" width="3.00390625"/>
    <col customWidth="1" min="19" max="19" style="86" width="12.00390625"/>
    <col customWidth="1" min="20" max="20" style="50" width="31.00390625"/>
    <col customWidth="1" min="21" max="21" style="50" width="0.140625"/>
    <col customWidth="1" hidden="1" min="22" max="22" style="50" width="24.7109375"/>
    <col customWidth="1" hidden="1" min="23" max="23" style="50" width="0.140625"/>
    <col customWidth="1" hidden="1" min="24" max="25" style="50" width="24.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24.7109375"/>
    <col customWidth="1" min="31" max="31" style="50" width="0.140625"/>
    <col customWidth="1" min="32" max="33" style="50" width="24.00390625"/>
    <col customWidth="1" min="34" max="34" style="50" width="11.00390625"/>
    <col customWidth="1" min="35" max="35" style="50" width="3.7109375"/>
    <col customWidth="1" min="36" max="36" style="50" width="11.00390625"/>
    <col customWidth="1" hidden="1" min="37" max="37" style="50" width="8.57421875"/>
    <col customWidth="1" min="38" max="38" style="50" width="4.00390625"/>
    <col customWidth="1" min="39" max="39" style="50" width="115.00390625"/>
    <col customWidth="1" min="40" max="44" style="57" width="10.00390625"/>
    <col customWidth="1" hidden="1" min="45" max="45" style="50" width="8.421875"/>
  </cols>
  <sheetData>
    <row r="1" ht="22.5" hidden="1" customHeight="1">
      <c r="Y1" s="50"/>
      <c r="Z1" s="50"/>
      <c r="AG1" s="50"/>
      <c r="AH1" s="50"/>
      <c r="AS1" s="50" t="s">
        <v>14</v>
      </c>
    </row>
    <row r="2" ht="21" hidden="1" customHeight="1">
      <c r="A2" s="480"/>
      <c r="B2" s="480"/>
      <c r="C2" s="480"/>
      <c r="D2" s="480"/>
      <c r="E2" s="481">
        <v>1</v>
      </c>
      <c r="F2" s="480"/>
      <c r="G2" s="480"/>
      <c r="H2" s="480"/>
      <c r="I2" s="480"/>
      <c r="J2" s="480"/>
      <c r="K2" s="480"/>
      <c r="L2" s="482"/>
      <c r="M2" s="483"/>
      <c r="N2" s="483"/>
      <c r="O2" s="483"/>
      <c r="P2" s="60"/>
      <c r="Q2" s="144"/>
      <c r="R2" s="484"/>
      <c r="S2" s="485" t="e">
        <f>INDEX(PT_DIFFERENTIATION_NUM_NTAR,MATCH(A2,PT_DIFFERENTIATION_NTAR_ID,0))</f>
        <v>#VALUE!</v>
      </c>
      <c r="T2" s="486" t="s">
        <v>119</v>
      </c>
      <c r="U2" s="487"/>
      <c r="V2" s="488"/>
      <c r="W2" s="489"/>
      <c r="X2" s="489"/>
      <c r="Y2" s="489"/>
      <c r="Z2" s="489"/>
      <c r="AA2" s="489"/>
      <c r="AB2" s="489"/>
      <c r="AC2" s="490"/>
      <c r="AD2" s="488" t="e">
        <f>INDEX(PT_DIFFERENTIATION_NTAR,MATCH(A2,PT_DIFFERENTIATION_NTAR_ID,0))</f>
        <v>#VALUE!</v>
      </c>
      <c r="AE2" s="489"/>
      <c r="AF2" s="489"/>
      <c r="AG2" s="489"/>
      <c r="AH2" s="489"/>
      <c r="AI2" s="489"/>
      <c r="AJ2" s="489"/>
      <c r="AK2" s="489"/>
      <c r="AL2" s="490"/>
      <c r="AM2" s="491" t="s">
        <v>390</v>
      </c>
      <c r="AO2" s="130"/>
      <c r="AP2" s="130" t="str">
        <f t="shared" ref="AP2:AP9" si="12">IF(T2="","",T2)</f>
        <v xml:space="preserve">Наименование тарифа</v>
      </c>
      <c r="AQ2" s="130"/>
      <c r="AR2" s="130"/>
      <c r="AS2" s="50">
        <v>0</v>
      </c>
    </row>
    <row r="3" ht="21" hidden="1" customHeight="1">
      <c r="A3" s="480"/>
      <c r="B3" s="480"/>
      <c r="C3" s="480"/>
      <c r="D3" s="480"/>
      <c r="E3" s="492"/>
      <c r="F3" s="481">
        <v>1</v>
      </c>
      <c r="G3" s="480"/>
      <c r="H3" s="480"/>
      <c r="I3" s="480"/>
      <c r="J3" s="480"/>
      <c r="K3" s="480"/>
      <c r="L3" s="482"/>
      <c r="M3" s="483"/>
      <c r="N3" s="483"/>
      <c r="O3" s="483"/>
      <c r="P3" s="51"/>
      <c r="Q3" s="493"/>
      <c r="R3" s="494"/>
      <c r="S3" s="485" t="e">
        <f>INDEX(PT_DIFFERENTIATION_NUM_TER,MATCH(B3,PT_DIFFERENTIATION_TER_ID,0))</f>
        <v>#VALUE!</v>
      </c>
      <c r="T3" s="495" t="s">
        <v>391</v>
      </c>
      <c r="U3" s="487"/>
      <c r="V3" s="488"/>
      <c r="W3" s="489"/>
      <c r="X3" s="489"/>
      <c r="Y3" s="489"/>
      <c r="Z3" s="489"/>
      <c r="AA3" s="489"/>
      <c r="AB3" s="489"/>
      <c r="AC3" s="490"/>
      <c r="AD3" s="488" t="e">
        <f>INDEX(PT_DIFFERENTIATION_TER,MATCH(B3,PT_DIFFERENTIATION_TER_ID,0))</f>
        <v>#VALUE!</v>
      </c>
      <c r="AE3" s="489"/>
      <c r="AF3" s="489"/>
      <c r="AG3" s="489"/>
      <c r="AH3" s="489"/>
      <c r="AI3" s="489"/>
      <c r="AJ3" s="489"/>
      <c r="AK3" s="489"/>
      <c r="AL3" s="490"/>
      <c r="AM3" s="491" t="s">
        <v>392</v>
      </c>
      <c r="AO3" s="130"/>
      <c r="AP3" s="130" t="str">
        <f t="shared" si="12"/>
        <v xml:space="preserve">Территория действия тарифа</v>
      </c>
      <c r="AQ3" s="130"/>
      <c r="AR3" s="130"/>
      <c r="AS3" s="50">
        <v>0</v>
      </c>
    </row>
    <row r="4" ht="23.25" hidden="1" customHeight="1">
      <c r="A4" s="480"/>
      <c r="B4" s="480"/>
      <c r="C4" s="480"/>
      <c r="D4" s="480"/>
      <c r="E4" s="492"/>
      <c r="F4" s="492"/>
      <c r="G4" s="481">
        <v>1</v>
      </c>
      <c r="H4" s="480"/>
      <c r="I4" s="480"/>
      <c r="J4" s="480"/>
      <c r="K4" s="480"/>
      <c r="L4" s="482"/>
      <c r="M4" s="483"/>
      <c r="N4" s="483"/>
      <c r="O4" s="483"/>
      <c r="P4" s="496"/>
      <c r="Q4" s="493"/>
      <c r="R4" s="494"/>
      <c r="S4" s="485" t="e">
        <f>INDEX(PT_DIFFERENTIATION_NUM_CS,MATCH(C4,PT_DIFFERENTIATION_CS_ID,0))</f>
        <v>#VALUE!</v>
      </c>
      <c r="T4" s="497" t="s">
        <v>393</v>
      </c>
      <c r="U4" s="487"/>
      <c r="V4" s="488"/>
      <c r="W4" s="489"/>
      <c r="X4" s="489"/>
      <c r="Y4" s="489"/>
      <c r="Z4" s="489"/>
      <c r="AA4" s="489"/>
      <c r="AB4" s="489"/>
      <c r="AC4" s="490"/>
      <c r="AD4" s="488" t="e">
        <f>INDEX(PT_DIFFERENTIATION_CS,MATCH(C4,PT_DIFFERENTIATION_CS_ID,0))</f>
        <v>#VALUE!</v>
      </c>
      <c r="AE4" s="489"/>
      <c r="AF4" s="489"/>
      <c r="AG4" s="489"/>
      <c r="AH4" s="489"/>
      <c r="AI4" s="489"/>
      <c r="AJ4" s="489"/>
      <c r="AK4" s="489"/>
      <c r="AL4" s="490"/>
      <c r="AM4" s="491" t="s">
        <v>394</v>
      </c>
      <c r="AO4" s="130"/>
      <c r="AP4" s="130" t="str">
        <f t="shared" si="12"/>
        <v xml:space="preserve">Наименование системы теплоснабжения </v>
      </c>
      <c r="AQ4" s="130"/>
      <c r="AR4" s="130"/>
      <c r="AS4" s="50">
        <v>0</v>
      </c>
    </row>
    <row r="5" ht="21" hidden="1" customHeight="1">
      <c r="A5" s="480"/>
      <c r="B5" s="480"/>
      <c r="C5" s="480"/>
      <c r="D5" s="480"/>
      <c r="E5" s="492"/>
      <c r="F5" s="492"/>
      <c r="G5" s="492"/>
      <c r="H5" s="481">
        <v>1</v>
      </c>
      <c r="I5" s="480"/>
      <c r="J5" s="480"/>
      <c r="K5" s="480"/>
      <c r="L5" s="482"/>
      <c r="M5" s="483"/>
      <c r="N5" s="483"/>
      <c r="O5" s="483"/>
      <c r="P5" s="496"/>
      <c r="Q5" s="493"/>
      <c r="R5" s="494"/>
      <c r="S5" s="485" t="e">
        <f>INDEX(PT_DIFFERENTIATION_NUM_IST_TE,MATCH(D5,PT_DIFFERENTIATION_IST_TE_ID,0))</f>
        <v>#VALUE!</v>
      </c>
      <c r="T5" s="498" t="s">
        <v>395</v>
      </c>
      <c r="U5" s="487"/>
      <c r="V5" s="488"/>
      <c r="W5" s="489"/>
      <c r="X5" s="489"/>
      <c r="Y5" s="489"/>
      <c r="Z5" s="489"/>
      <c r="AA5" s="489"/>
      <c r="AB5" s="489"/>
      <c r="AC5" s="490"/>
      <c r="AD5" s="488" t="e">
        <f>INDEX(PT_DIFFERENTIATION_IST_TE,MATCH(D5,PT_DIFFERENTIATION_IST_TE_ID,0))</f>
        <v>#VALUE!</v>
      </c>
      <c r="AE5" s="489"/>
      <c r="AF5" s="489"/>
      <c r="AG5" s="489"/>
      <c r="AH5" s="489"/>
      <c r="AI5" s="489"/>
      <c r="AJ5" s="489"/>
      <c r="AK5" s="489"/>
      <c r="AL5" s="490"/>
      <c r="AM5" s="491" t="s">
        <v>396</v>
      </c>
      <c r="AO5" s="130"/>
      <c r="AP5" s="130" t="str">
        <f t="shared" si="12"/>
        <v xml:space="preserve">Источник тепловой энергии  </v>
      </c>
      <c r="AQ5" s="130"/>
      <c r="AR5" s="130"/>
      <c r="AS5" s="50">
        <v>0</v>
      </c>
    </row>
    <row r="6" ht="14.25" hidden="1" customHeight="1">
      <c r="A6" s="480"/>
      <c r="B6" s="480"/>
      <c r="C6" s="480"/>
      <c r="D6" s="480"/>
      <c r="E6" s="492"/>
      <c r="F6" s="492"/>
      <c r="G6" s="492"/>
      <c r="H6" s="492"/>
      <c r="I6" s="499" t="e">
        <f>S5&amp;".1"</f>
        <v>#VALUE!</v>
      </c>
      <c r="J6" s="480"/>
      <c r="K6" s="480"/>
      <c r="L6" s="482" t="s">
        <v>397</v>
      </c>
      <c r="M6" s="53"/>
      <c r="P6" s="133">
        <v>1</v>
      </c>
      <c r="Q6" s="133"/>
      <c r="R6" s="500"/>
      <c r="S6" s="352"/>
      <c r="T6" s="587"/>
      <c r="U6" s="588"/>
      <c r="V6" s="589"/>
      <c r="W6" s="590"/>
      <c r="X6" s="590"/>
      <c r="Y6" s="590"/>
      <c r="Z6" s="590"/>
      <c r="AA6" s="590"/>
      <c r="AB6" s="590"/>
      <c r="AC6" s="591"/>
      <c r="AD6" s="589"/>
      <c r="AE6" s="590"/>
      <c r="AF6" s="590"/>
      <c r="AG6" s="590"/>
      <c r="AH6" s="590"/>
      <c r="AI6" s="590"/>
      <c r="AJ6" s="590"/>
      <c r="AK6" s="590"/>
      <c r="AL6" s="591"/>
      <c r="AM6" s="592"/>
      <c r="AO6" s="130"/>
      <c r="AP6" s="130" t="str">
        <f t="shared" si="12"/>
        <v/>
      </c>
      <c r="AQ6" s="130"/>
      <c r="AR6" s="130"/>
      <c r="AS6" s="50">
        <v>0</v>
      </c>
    </row>
    <row r="7" ht="21" hidden="1" customHeight="1">
      <c r="A7" s="480"/>
      <c r="B7" s="480"/>
      <c r="C7" s="480"/>
      <c r="D7" s="480"/>
      <c r="E7" s="492"/>
      <c r="F7" s="492"/>
      <c r="G7" s="492"/>
      <c r="H7" s="492"/>
      <c r="I7" s="504"/>
      <c r="J7" s="499" t="e">
        <f>I6&amp;".1"</f>
        <v>#VALUE!</v>
      </c>
      <c r="K7" s="480"/>
      <c r="L7" s="482" t="s">
        <v>400</v>
      </c>
      <c r="M7" s="53"/>
      <c r="N7" s="53"/>
      <c r="P7" s="133"/>
      <c r="Q7" s="133">
        <v>1</v>
      </c>
      <c r="R7" s="505"/>
      <c r="S7" s="485" t="e">
        <f>$J7</f>
        <v>#VALUE!</v>
      </c>
      <c r="T7" s="506" t="s">
        <v>401</v>
      </c>
      <c r="U7" s="487"/>
      <c r="V7" s="432"/>
      <c r="W7" s="502"/>
      <c r="X7" s="502"/>
      <c r="Y7" s="502"/>
      <c r="Z7" s="502"/>
      <c r="AA7" s="502"/>
      <c r="AB7" s="502"/>
      <c r="AC7" s="503"/>
      <c r="AD7" s="432"/>
      <c r="AE7" s="502"/>
      <c r="AF7" s="502"/>
      <c r="AG7" s="502"/>
      <c r="AH7" s="502"/>
      <c r="AI7" s="502"/>
      <c r="AJ7" s="502"/>
      <c r="AK7" s="502"/>
      <c r="AL7" s="503"/>
      <c r="AM7" s="491" t="s">
        <v>402</v>
      </c>
      <c r="AO7" s="130"/>
      <c r="AP7" s="130" t="str">
        <f t="shared" si="12"/>
        <v xml:space="preserve">Группа потребителей</v>
      </c>
      <c r="AQ7" s="130"/>
      <c r="AR7" s="130"/>
      <c r="AS7" s="50">
        <v>0</v>
      </c>
    </row>
    <row r="8" ht="21" hidden="1" customHeight="1">
      <c r="A8" s="480"/>
      <c r="B8" s="480"/>
      <c r="C8" s="480"/>
      <c r="D8" s="480"/>
      <c r="E8" s="492"/>
      <c r="F8" s="492"/>
      <c r="G8" s="492"/>
      <c r="H8" s="492"/>
      <c r="I8" s="504"/>
      <c r="J8" s="504"/>
      <c r="K8" s="499" t="e">
        <f>J7&amp;".1"</f>
        <v>#VALUE!</v>
      </c>
      <c r="L8" s="482" t="s">
        <v>403</v>
      </c>
      <c r="M8" s="53"/>
      <c r="N8" s="53"/>
      <c r="O8" s="53"/>
      <c r="P8" s="133"/>
      <c r="Q8" s="133"/>
      <c r="R8" s="505">
        <v>1</v>
      </c>
      <c r="S8" s="485" t="e">
        <f>$K8</f>
        <v>#VALUE!</v>
      </c>
      <c r="T8" s="507"/>
      <c r="U8" s="487"/>
      <c r="V8" s="508"/>
      <c r="W8" s="509"/>
      <c r="X8" s="508"/>
      <c r="Y8" s="510"/>
      <c r="Z8" s="511"/>
      <c r="AA8" s="225" t="s">
        <v>64</v>
      </c>
      <c r="AB8" s="511"/>
      <c r="AC8" s="225" t="s">
        <v>64</v>
      </c>
      <c r="AD8" s="508"/>
      <c r="AE8" s="509"/>
      <c r="AF8" s="508"/>
      <c r="AG8" s="510"/>
      <c r="AH8" s="511"/>
      <c r="AI8" s="225" t="s">
        <v>64</v>
      </c>
      <c r="AJ8" s="511"/>
      <c r="AK8" s="225" t="s">
        <v>64</v>
      </c>
      <c r="AL8" s="509"/>
      <c r="AM8" s="512" t="s">
        <v>404</v>
      </c>
      <c r="AN8" s="57" t="e">
        <f>STRCHECKDATE(V9:AL9)</f>
        <v>#NAME?</v>
      </c>
      <c r="AO8" s="130"/>
      <c r="AP8" s="130" t="str">
        <f t="shared" si="12"/>
        <v/>
      </c>
      <c r="AQ8" s="130"/>
      <c r="AR8" s="130"/>
      <c r="AS8" s="50">
        <v>0</v>
      </c>
    </row>
    <row r="9" ht="0.75" hidden="1" customHeight="1">
      <c r="A9" s="480"/>
      <c r="B9" s="480"/>
      <c r="C9" s="480"/>
      <c r="D9" s="480"/>
      <c r="E9" s="492"/>
      <c r="F9" s="492"/>
      <c r="G9" s="492"/>
      <c r="H9" s="492"/>
      <c r="I9" s="504"/>
      <c r="J9" s="504"/>
      <c r="K9" s="499"/>
      <c r="L9" s="482"/>
      <c r="M9" s="53"/>
      <c r="N9" s="53"/>
      <c r="O9" s="53"/>
      <c r="P9" s="133"/>
      <c r="Q9" s="133"/>
      <c r="R9" s="505"/>
      <c r="S9" s="459"/>
      <c r="T9" s="487"/>
      <c r="U9" s="487"/>
      <c r="V9" s="509"/>
      <c r="W9" s="509"/>
      <c r="X9" s="509"/>
      <c r="Y9" s="513" t="str">
        <f>Z8&amp;"-"&amp;AB8</f>
        <v>-</v>
      </c>
      <c r="Z9" s="514"/>
      <c r="AA9" s="225"/>
      <c r="AB9" s="514"/>
      <c r="AC9" s="225"/>
      <c r="AD9" s="509"/>
      <c r="AE9" s="509"/>
      <c r="AF9" s="509"/>
      <c r="AG9" s="513" t="str">
        <f>AH8&amp;"-"&amp;AJ8</f>
        <v>-</v>
      </c>
      <c r="AH9" s="514"/>
      <c r="AI9" s="225"/>
      <c r="AJ9" s="514"/>
      <c r="AK9" s="225"/>
      <c r="AL9" s="509"/>
      <c r="AM9" s="515"/>
      <c r="AO9" s="130"/>
      <c r="AP9" s="130" t="str">
        <f t="shared" si="12"/>
        <v/>
      </c>
      <c r="AQ9" s="130"/>
      <c r="AR9" s="130"/>
      <c r="AS9" s="50">
        <v>0</v>
      </c>
    </row>
    <row r="10" ht="15" hidden="1" customHeight="1">
      <c r="A10" s="480"/>
      <c r="B10" s="480"/>
      <c r="C10" s="480"/>
      <c r="D10" s="480"/>
      <c r="E10" s="492"/>
      <c r="F10" s="492"/>
      <c r="G10" s="492"/>
      <c r="H10" s="492"/>
      <c r="I10" s="504"/>
      <c r="J10" s="499"/>
      <c r="K10" s="480"/>
      <c r="L10" s="482"/>
      <c r="M10" s="53"/>
      <c r="N10" s="53"/>
      <c r="P10" s="133"/>
      <c r="Q10" s="133"/>
      <c r="R10" s="500"/>
      <c r="S10" s="516"/>
      <c r="T10" s="520" t="s">
        <v>405</v>
      </c>
      <c r="U10" s="215"/>
      <c r="V10" s="215"/>
      <c r="W10" s="215"/>
      <c r="X10" s="215"/>
      <c r="Y10" s="215"/>
      <c r="Z10" s="215"/>
      <c r="AA10" s="215"/>
      <c r="AB10" s="215"/>
      <c r="AC10" s="215"/>
      <c r="AD10" s="215"/>
      <c r="AE10" s="215"/>
      <c r="AF10" s="215"/>
      <c r="AG10" s="215"/>
      <c r="AH10" s="215"/>
      <c r="AI10" s="215"/>
      <c r="AJ10" s="215"/>
      <c r="AK10" s="215"/>
      <c r="AL10" s="518"/>
      <c r="AM10" s="519"/>
      <c r="AO10" s="130"/>
      <c r="AP10" s="130" t="str">
        <f t="shared" ref="AP10:AP57" si="13">IF(T10="","",T10)</f>
        <v xml:space="preserve">Добавить вид теплоносителя (параметры теплоносителя)</v>
      </c>
      <c r="AQ10" s="130"/>
      <c r="AR10" s="130"/>
      <c r="AS10" s="50">
        <v>0</v>
      </c>
    </row>
    <row r="11" ht="15" hidden="1" customHeight="1">
      <c r="A11" s="480"/>
      <c r="B11" s="480"/>
      <c r="C11" s="480"/>
      <c r="D11" s="480"/>
      <c r="E11" s="492"/>
      <c r="F11" s="492"/>
      <c r="G11" s="492"/>
      <c r="H11" s="492"/>
      <c r="I11" s="499"/>
      <c r="J11" s="480"/>
      <c r="K11" s="480"/>
      <c r="L11" s="482"/>
      <c r="M11" s="53"/>
      <c r="P11" s="133"/>
      <c r="Q11" s="133"/>
      <c r="R11" s="500"/>
      <c r="S11" s="516"/>
      <c r="T11" s="524" t="s">
        <v>406</v>
      </c>
      <c r="U11" s="215"/>
      <c r="V11" s="215"/>
      <c r="W11" s="215"/>
      <c r="X11" s="215"/>
      <c r="Y11" s="215"/>
      <c r="Z11" s="215"/>
      <c r="AA11" s="215"/>
      <c r="AB11" s="215"/>
      <c r="AC11" s="521"/>
      <c r="AD11" s="215"/>
      <c r="AE11" s="215"/>
      <c r="AF11" s="215"/>
      <c r="AG11" s="215"/>
      <c r="AH11" s="215"/>
      <c r="AI11" s="215"/>
      <c r="AJ11" s="215"/>
      <c r="AK11" s="521"/>
      <c r="AL11" s="215"/>
      <c r="AM11" s="522"/>
      <c r="AO11" s="130"/>
      <c r="AP11" s="130" t="str">
        <f t="shared" si="13"/>
        <v xml:space="preserve">Добавить группу потребителей</v>
      </c>
      <c r="AQ11" s="130"/>
      <c r="AR11" s="130"/>
      <c r="AS11" s="50">
        <v>0</v>
      </c>
    </row>
    <row r="12" ht="14.25" hidden="1" customHeight="1">
      <c r="A12" s="480"/>
      <c r="B12" s="480"/>
      <c r="C12" s="480"/>
      <c r="D12" s="480"/>
      <c r="E12" s="492"/>
      <c r="F12" s="492"/>
      <c r="G12" s="492"/>
      <c r="H12" s="481"/>
      <c r="I12" s="480"/>
      <c r="J12" s="480"/>
      <c r="K12" s="480"/>
      <c r="L12" s="482"/>
      <c r="M12" s="483"/>
      <c r="N12" s="483"/>
      <c r="O12" s="53"/>
      <c r="P12" s="144"/>
      <c r="Q12" s="523"/>
      <c r="R12" s="484"/>
      <c r="S12" s="593"/>
      <c r="T12" s="594"/>
      <c r="U12" s="595"/>
      <c r="V12" s="595"/>
      <c r="W12" s="595"/>
      <c r="X12" s="595"/>
      <c r="Y12" s="595"/>
      <c r="Z12" s="595"/>
      <c r="AA12" s="595"/>
      <c r="AB12" s="595"/>
      <c r="AC12" s="595"/>
      <c r="AD12" s="595"/>
      <c r="AE12" s="595"/>
      <c r="AF12" s="595"/>
      <c r="AG12" s="595"/>
      <c r="AH12" s="595"/>
      <c r="AI12" s="595"/>
      <c r="AJ12" s="595"/>
      <c r="AK12" s="595"/>
      <c r="AL12" s="595"/>
      <c r="AM12" s="596"/>
      <c r="AO12" s="130"/>
      <c r="AP12" s="130" t="str">
        <f t="shared" si="13"/>
        <v/>
      </c>
      <c r="AQ12" s="130"/>
      <c r="AR12" s="130"/>
      <c r="AS12" s="50">
        <v>0</v>
      </c>
    </row>
    <row r="13" s="57" customFormat="1" ht="0.75" hidden="1" customHeight="1">
      <c r="A13" s="134"/>
      <c r="B13" s="134"/>
      <c r="C13" s="134"/>
      <c r="D13" s="134"/>
      <c r="E13" s="492"/>
      <c r="F13" s="492"/>
      <c r="G13" s="481"/>
      <c r="H13" s="134"/>
      <c r="I13" s="134"/>
      <c r="J13" s="134"/>
      <c r="K13" s="134"/>
      <c r="L13" s="213"/>
      <c r="M13" s="465"/>
      <c r="N13" s="465"/>
      <c r="P13" s="168"/>
      <c r="Q13" s="525"/>
      <c r="R13" s="168"/>
      <c r="S13" s="526"/>
      <c r="T13" s="527" t="s">
        <v>408</v>
      </c>
      <c r="U13" s="528"/>
      <c r="V13" s="528"/>
      <c r="W13" s="528"/>
      <c r="X13" s="528"/>
      <c r="Y13" s="528"/>
      <c r="Z13" s="528"/>
      <c r="AA13" s="528"/>
      <c r="AB13" s="528"/>
      <c r="AC13" s="528"/>
      <c r="AD13" s="528"/>
      <c r="AE13" s="528"/>
      <c r="AF13" s="528"/>
      <c r="AG13" s="528"/>
      <c r="AH13" s="528"/>
      <c r="AI13" s="528"/>
      <c r="AJ13" s="528"/>
      <c r="AK13" s="528"/>
      <c r="AL13" s="528"/>
      <c r="AM13" s="528"/>
      <c r="AO13" s="130"/>
      <c r="AP13" s="130" t="str">
        <f t="shared" si="13"/>
        <v xml:space="preserve">Добавить источник для дифференциации</v>
      </c>
      <c r="AQ13" s="130"/>
      <c r="AR13" s="130"/>
      <c r="AS13" s="57">
        <v>0</v>
      </c>
    </row>
    <row r="14" s="57" customFormat="1" ht="0.75" hidden="1" customHeight="1">
      <c r="A14" s="134"/>
      <c r="B14" s="134"/>
      <c r="C14" s="134"/>
      <c r="D14" s="134"/>
      <c r="E14" s="492"/>
      <c r="F14" s="481"/>
      <c r="G14" s="134"/>
      <c r="H14" s="134"/>
      <c r="I14" s="134"/>
      <c r="J14" s="134"/>
      <c r="K14" s="134"/>
      <c r="L14" s="213"/>
      <c r="M14" s="529"/>
      <c r="N14" s="529"/>
      <c r="P14" s="168"/>
      <c r="Q14" s="525"/>
      <c r="R14" s="168"/>
      <c r="S14" s="530"/>
      <c r="T14" s="531" t="s">
        <v>409</v>
      </c>
      <c r="U14" s="532"/>
      <c r="V14" s="532"/>
      <c r="W14" s="532"/>
      <c r="X14" s="532"/>
      <c r="Y14" s="532"/>
      <c r="Z14" s="532"/>
      <c r="AA14" s="532"/>
      <c r="AB14" s="532"/>
      <c r="AC14" s="532"/>
      <c r="AD14" s="532"/>
      <c r="AE14" s="532"/>
      <c r="AF14" s="532"/>
      <c r="AG14" s="532"/>
      <c r="AH14" s="532"/>
      <c r="AI14" s="532"/>
      <c r="AJ14" s="532"/>
      <c r="AK14" s="532"/>
      <c r="AL14" s="532"/>
      <c r="AM14" s="532"/>
      <c r="AO14" s="130"/>
      <c r="AP14" s="130" t="str">
        <f t="shared" si="13"/>
        <v xml:space="preserve">Добавить централизованную систему для дифференциации</v>
      </c>
      <c r="AQ14" s="130"/>
      <c r="AR14" s="130"/>
      <c r="AS14" s="57">
        <v>0</v>
      </c>
    </row>
    <row r="15" s="57" customFormat="1" ht="0.75" hidden="1" customHeight="1">
      <c r="A15" s="134"/>
      <c r="B15" s="134"/>
      <c r="C15" s="134"/>
      <c r="D15" s="134"/>
      <c r="E15" s="481"/>
      <c r="F15" s="134"/>
      <c r="G15" s="134"/>
      <c r="H15" s="134"/>
      <c r="I15" s="134"/>
      <c r="J15" s="134"/>
      <c r="K15" s="134"/>
      <c r="L15" s="213"/>
      <c r="M15" s="529"/>
      <c r="N15" s="529"/>
      <c r="P15" s="168"/>
      <c r="Q15" s="525"/>
      <c r="R15" s="168"/>
      <c r="S15" s="530"/>
      <c r="T15" s="533" t="s">
        <v>410</v>
      </c>
      <c r="U15" s="532"/>
      <c r="V15" s="532"/>
      <c r="W15" s="532"/>
      <c r="X15" s="532"/>
      <c r="Y15" s="532"/>
      <c r="Z15" s="532"/>
      <c r="AA15" s="532"/>
      <c r="AB15" s="532"/>
      <c r="AC15" s="532"/>
      <c r="AD15" s="532"/>
      <c r="AE15" s="532"/>
      <c r="AF15" s="532"/>
      <c r="AG15" s="532"/>
      <c r="AH15" s="532"/>
      <c r="AI15" s="532"/>
      <c r="AJ15" s="532"/>
      <c r="AK15" s="532"/>
      <c r="AL15" s="532"/>
      <c r="AM15" s="532"/>
      <c r="AO15" s="130"/>
      <c r="AP15" s="130" t="str">
        <f t="shared" si="13"/>
        <v xml:space="preserve">Добавить территорию для дифференциации</v>
      </c>
      <c r="AQ15" s="130"/>
      <c r="AR15" s="130"/>
      <c r="AS15" s="57">
        <v>0</v>
      </c>
    </row>
    <row r="16" ht="14.25" hidden="1" customHeight="1">
      <c r="AC16" s="50"/>
      <c r="AK16" s="50"/>
      <c r="AS16" s="50">
        <v>0</v>
      </c>
    </row>
    <row r="17" ht="14.25" hidden="1" customHeight="1">
      <c r="AD17" s="534"/>
      <c r="AE17" s="534"/>
      <c r="AF17" s="534"/>
      <c r="AG17" s="535"/>
      <c r="AH17" s="536"/>
      <c r="AI17" s="537" t="s">
        <v>64</v>
      </c>
      <c r="AJ17" s="536"/>
      <c r="AK17" s="537" t="s">
        <v>64</v>
      </c>
      <c r="AS17" s="50">
        <v>0</v>
      </c>
    </row>
    <row r="18" ht="14.25" hidden="1" customHeight="1">
      <c r="AD18" s="534"/>
      <c r="AE18" s="534"/>
      <c r="AF18" s="534"/>
      <c r="AG18" s="513" t="str">
        <f>AH17&amp;"-"&amp;AJ17</f>
        <v>-</v>
      </c>
      <c r="AH18" s="537"/>
      <c r="AI18" s="537"/>
      <c r="AJ18" s="537"/>
      <c r="AK18" s="537"/>
      <c r="AS18" s="50">
        <v>0</v>
      </c>
    </row>
    <row r="19" ht="14.25" hidden="1" customHeight="1">
      <c r="AK19" s="50"/>
      <c r="AS19" s="50">
        <v>0</v>
      </c>
    </row>
    <row r="20" s="53" customFormat="1" ht="22.5" hidden="1" customHeight="1">
      <c r="L20" s="114"/>
      <c r="M20" s="61"/>
      <c r="N20" s="61"/>
      <c r="O20" s="538" t="s">
        <v>411</v>
      </c>
      <c r="P20" s="61"/>
      <c r="Q20" s="539"/>
      <c r="R20" s="539"/>
      <c r="S20" s="483"/>
      <c r="Z20" s="538"/>
      <c r="AB20" s="538"/>
      <c r="AC20" s="53"/>
      <c r="AH20" s="538"/>
      <c r="AJ20" s="538"/>
      <c r="AK20" s="53"/>
      <c r="AN20" s="57"/>
      <c r="AO20" s="57"/>
      <c r="AP20" s="57"/>
      <c r="AQ20" s="57"/>
      <c r="AR20" s="57"/>
      <c r="AS20" s="53">
        <v>0</v>
      </c>
    </row>
    <row r="21" s="53" customFormat="1" ht="14.25" hidden="1" customHeight="1">
      <c r="L21" s="114"/>
      <c r="M21" s="61"/>
      <c r="N21" s="61"/>
      <c r="O21" s="61"/>
      <c r="P21" s="61"/>
      <c r="Q21" s="539"/>
      <c r="R21" s="539"/>
      <c r="S21" s="483"/>
      <c r="AC21" s="53"/>
      <c r="AK21" s="53"/>
      <c r="AN21" s="57"/>
      <c r="AO21" s="57"/>
      <c r="AP21" s="57"/>
      <c r="AQ21" s="57"/>
      <c r="AR21" s="57"/>
      <c r="AS21" s="53">
        <v>0</v>
      </c>
    </row>
    <row r="22" s="53" customFormat="1" ht="14.25" hidden="1" customHeight="1">
      <c r="L22" s="114"/>
      <c r="M22" s="61"/>
      <c r="N22" s="61"/>
      <c r="O22" s="482" t="s">
        <v>412</v>
      </c>
      <c r="P22" s="61"/>
      <c r="Q22" s="539"/>
      <c r="R22" s="539"/>
      <c r="S22" s="483"/>
      <c r="T22" s="53" t="s">
        <v>413</v>
      </c>
      <c r="AA22" s="152" t="s">
        <v>414</v>
      </c>
      <c r="AC22" s="152" t="s">
        <v>415</v>
      </c>
      <c r="AD22" s="53" t="s">
        <v>413</v>
      </c>
      <c r="AI22" s="152" t="s">
        <v>416</v>
      </c>
      <c r="AK22" s="152" t="s">
        <v>415</v>
      </c>
      <c r="AN22" s="57"/>
      <c r="AO22" s="57"/>
      <c r="AP22" s="57"/>
      <c r="AQ22" s="57"/>
      <c r="AR22" s="57"/>
      <c r="AS22" s="53">
        <v>0</v>
      </c>
    </row>
    <row r="23" ht="14.25" hidden="1" customHeight="1">
      <c r="O23" s="482"/>
      <c r="AS23" s="50">
        <v>0</v>
      </c>
    </row>
    <row r="24" ht="14.25" hidden="1" customHeight="1">
      <c r="O24" s="482"/>
      <c r="AS24" s="50">
        <v>0</v>
      </c>
    </row>
    <row r="25" ht="14.65" customHeight="1">
      <c r="Q25" s="540"/>
      <c r="R25" s="540"/>
      <c r="S25" s="541"/>
      <c r="T25" s="91"/>
      <c r="U25" s="91"/>
      <c r="V25" s="50"/>
      <c r="W25" s="50"/>
      <c r="X25" s="50"/>
      <c r="Y25" s="50"/>
      <c r="Z25" s="50"/>
      <c r="AA25" s="50"/>
      <c r="AB25" s="50"/>
      <c r="AC25" s="50"/>
      <c r="AD25" s="50"/>
      <c r="AE25" s="50"/>
      <c r="AF25" s="50"/>
      <c r="AG25" s="50"/>
      <c r="AH25" s="50"/>
      <c r="AI25" s="50"/>
      <c r="AJ25" s="50"/>
      <c r="AK25" s="50"/>
      <c r="AS25" s="50">
        <v>14</v>
      </c>
    </row>
    <row r="26" ht="63" customHeight="1">
      <c r="Q26" s="540"/>
      <c r="R26" s="540"/>
      <c r="S26" s="453" t="str">
        <f>IF(TEMPLATE_GROUP="P",PT_P_FORM_HEAT_5_NAME_FORM,PT_R_FORM_HEAT_22_NAME_FORM)</f>
        <v xml:space="preserve">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453"/>
      <c r="U26" s="453"/>
      <c r="V26" s="453"/>
      <c r="W26" s="453"/>
      <c r="X26" s="453"/>
      <c r="Y26" s="453"/>
      <c r="Z26" s="453"/>
      <c r="AA26" s="453"/>
      <c r="AB26" s="453"/>
      <c r="AC26" s="453"/>
      <c r="AD26" s="453"/>
      <c r="AE26" s="453"/>
      <c r="AF26" s="453"/>
      <c r="AG26" s="453"/>
      <c r="AH26" s="453"/>
      <c r="AI26" s="453"/>
      <c r="AJ26" s="453"/>
      <c r="AK26" s="241"/>
      <c r="AS26" s="50">
        <v>60</v>
      </c>
    </row>
    <row r="27" ht="14.65" customHeight="1">
      <c r="Q27" s="540"/>
      <c r="R27" s="540"/>
      <c r="S27" s="304" t="str">
        <f>IF(org=0,"Не определено",org)</f>
        <v xml:space="preserve">АО "ДГК" СП "Биробиджанская ТЭЦ"</v>
      </c>
      <c r="T27" s="304"/>
      <c r="U27" s="304"/>
      <c r="V27" s="304"/>
      <c r="W27" s="304"/>
      <c r="X27" s="304"/>
      <c r="Y27" s="304"/>
      <c r="Z27" s="304"/>
      <c r="AA27" s="304"/>
      <c r="AB27" s="304"/>
      <c r="AC27" s="304"/>
      <c r="AD27" s="304"/>
      <c r="AE27" s="304"/>
      <c r="AF27" s="304"/>
      <c r="AG27" s="304"/>
      <c r="AH27" s="304"/>
      <c r="AI27" s="304"/>
      <c r="AJ27" s="304"/>
      <c r="AK27" s="241"/>
      <c r="AS27" s="50">
        <v>14</v>
      </c>
    </row>
    <row r="28" ht="14.25" hidden="1" customHeight="1">
      <c r="Q28" s="540"/>
      <c r="R28" s="540"/>
      <c r="S28" s="541"/>
      <c r="T28" s="91"/>
      <c r="U28" s="91"/>
      <c r="V28" s="542"/>
      <c r="W28" s="542"/>
      <c r="X28" s="542"/>
      <c r="Y28" s="542"/>
      <c r="Z28" s="542"/>
      <c r="AA28" s="542"/>
      <c r="AB28" s="542"/>
      <c r="AC28" s="542"/>
      <c r="AD28" s="542"/>
      <c r="AE28" s="542"/>
      <c r="AF28" s="542"/>
      <c r="AG28" s="542"/>
      <c r="AH28" s="542"/>
      <c r="AI28" s="542"/>
      <c r="AJ28" s="542"/>
      <c r="AK28" s="542"/>
      <c r="AL28" s="50"/>
      <c r="AS28" s="50">
        <v>0</v>
      </c>
    </row>
    <row r="29" s="185" customFormat="1" ht="25.5" hidden="1" customHeight="1">
      <c r="A29" s="152"/>
      <c r="B29" s="152"/>
      <c r="C29" s="152"/>
      <c r="D29" s="152"/>
      <c r="E29" s="152"/>
      <c r="F29" s="152"/>
      <c r="G29" s="152"/>
      <c r="H29" s="152"/>
      <c r="I29" s="152"/>
      <c r="J29" s="152"/>
      <c r="K29" s="152"/>
      <c r="L29" s="482"/>
      <c r="M29" s="152"/>
      <c r="N29" s="152"/>
      <c r="O29" s="152"/>
      <c r="S29" s="543" t="s">
        <v>41</v>
      </c>
      <c r="T29" s="543"/>
      <c r="U29" s="544"/>
      <c r="V29" s="545" t="str">
        <f>IF(TITLE_NAME_OR_PR_CHANGE="",IF(TITLE_NAME_OR_PR="","",TITLE_NAME_OR_PR),TITLE_NAME_OR_PR_CHANGE)</f>
        <v/>
      </c>
      <c r="W29" s="545"/>
      <c r="X29" s="545"/>
      <c r="Y29" s="545"/>
      <c r="Z29" s="545"/>
      <c r="AA29" s="545"/>
      <c r="AB29" s="545"/>
      <c r="AC29" s="50"/>
      <c r="AD29" s="545" t="str">
        <f>IF(TITLE_NAME_OR_PR_CHANGE="",IF(TITLE_NAME_OR_PR="","",TITLE_NAME_OR_PR),TITLE_NAME_OR_PR_CHANGE)</f>
        <v/>
      </c>
      <c r="AE29" s="545"/>
      <c r="AF29" s="545"/>
      <c r="AG29" s="545"/>
      <c r="AH29" s="545"/>
      <c r="AI29" s="545"/>
      <c r="AJ29" s="545"/>
      <c r="AK29" s="50"/>
      <c r="AL29" s="50"/>
      <c r="AM29" s="546"/>
      <c r="AN29" s="130"/>
      <c r="AO29" s="130"/>
      <c r="AP29" s="130"/>
      <c r="AQ29" s="130"/>
      <c r="AR29" s="130"/>
      <c r="AS29" s="185">
        <v>0</v>
      </c>
    </row>
    <row r="30" s="185" customFormat="1" ht="18.75" hidden="1" customHeight="1">
      <c r="A30" s="152"/>
      <c r="B30" s="152"/>
      <c r="C30" s="152"/>
      <c r="D30" s="152"/>
      <c r="E30" s="152"/>
      <c r="F30" s="152"/>
      <c r="G30" s="152"/>
      <c r="H30" s="152"/>
      <c r="I30" s="152"/>
      <c r="J30" s="152"/>
      <c r="K30" s="152"/>
      <c r="L30" s="482"/>
      <c r="M30" s="152"/>
      <c r="N30" s="152"/>
      <c r="O30" s="152"/>
      <c r="S30" s="543" t="s">
        <v>417</v>
      </c>
      <c r="T30" s="543"/>
      <c r="U30" s="544"/>
      <c r="V30" s="547" t="str">
        <f>IF(TITLE_DATE_PR_CHANGE="",IF(TITLE_DATE_PR="","",TITLE_DATE_PR),TITLE_DATE_PR_CHANGE)</f>
        <v/>
      </c>
      <c r="W30" s="547"/>
      <c r="X30" s="547"/>
      <c r="Y30" s="547"/>
      <c r="Z30" s="547"/>
      <c r="AA30" s="547"/>
      <c r="AB30" s="547"/>
      <c r="AC30" s="50"/>
      <c r="AD30" s="547" t="str">
        <f>IF(TITLE_DATE_PR_CHANGE="",IF(TITLE_DATE_PR="","",TITLE_DATE_PR),TITLE_DATE_PR_CHANGE)</f>
        <v/>
      </c>
      <c r="AE30" s="547"/>
      <c r="AF30" s="547"/>
      <c r="AG30" s="547"/>
      <c r="AH30" s="547"/>
      <c r="AI30" s="547"/>
      <c r="AJ30" s="547"/>
      <c r="AK30" s="50"/>
      <c r="AL30" s="50"/>
      <c r="AM30" s="546"/>
      <c r="AN30" s="130"/>
      <c r="AO30" s="130"/>
      <c r="AP30" s="130"/>
      <c r="AQ30" s="130"/>
      <c r="AR30" s="130"/>
      <c r="AS30" s="185">
        <v>0</v>
      </c>
    </row>
    <row r="31" s="185" customFormat="1" ht="18.75" hidden="1" customHeight="1">
      <c r="A31" s="152"/>
      <c r="B31" s="152"/>
      <c r="C31" s="152"/>
      <c r="D31" s="152"/>
      <c r="E31" s="152"/>
      <c r="F31" s="152"/>
      <c r="G31" s="152"/>
      <c r="H31" s="152"/>
      <c r="I31" s="152"/>
      <c r="J31" s="152"/>
      <c r="K31" s="152"/>
      <c r="L31" s="482"/>
      <c r="M31" s="152"/>
      <c r="N31" s="152"/>
      <c r="O31" s="152"/>
      <c r="S31" s="543" t="s">
        <v>418</v>
      </c>
      <c r="T31" s="543"/>
      <c r="U31" s="544"/>
      <c r="V31" s="545" t="str">
        <f>IF(TITLE_NUMBER_PR_CHANGE="",IF(TITLE_NUMBER_PR="","",TITLE_NUMBER_PR),TITLE_NUMBER_PR_CHANGE)</f>
        <v/>
      </c>
      <c r="W31" s="545"/>
      <c r="X31" s="545"/>
      <c r="Y31" s="545"/>
      <c r="Z31" s="545"/>
      <c r="AA31" s="545"/>
      <c r="AB31" s="545"/>
      <c r="AC31" s="50"/>
      <c r="AD31" s="545" t="str">
        <f>IF(TITLE_NUMBER_PR_CHANGE="",IF(TITLE_NUMBER_PR="","",TITLE_NUMBER_PR),TITLE_NUMBER_PR_CHANGE)</f>
        <v/>
      </c>
      <c r="AE31" s="545"/>
      <c r="AF31" s="545"/>
      <c r="AG31" s="545"/>
      <c r="AH31" s="545"/>
      <c r="AI31" s="545"/>
      <c r="AJ31" s="545"/>
      <c r="AK31" s="50"/>
      <c r="AL31" s="50"/>
      <c r="AM31" s="546"/>
      <c r="AN31" s="130"/>
      <c r="AO31" s="130"/>
      <c r="AP31" s="130"/>
      <c r="AQ31" s="130"/>
      <c r="AR31" s="130"/>
      <c r="AS31" s="185">
        <v>0</v>
      </c>
    </row>
    <row r="32" s="185" customFormat="1" ht="18.75" hidden="1" customHeight="1">
      <c r="A32" s="152"/>
      <c r="B32" s="152"/>
      <c r="C32" s="152"/>
      <c r="D32" s="152"/>
      <c r="E32" s="152"/>
      <c r="F32" s="152"/>
      <c r="G32" s="152"/>
      <c r="H32" s="152"/>
      <c r="I32" s="152"/>
      <c r="J32" s="152"/>
      <c r="K32" s="152"/>
      <c r="L32" s="482"/>
      <c r="M32" s="152"/>
      <c r="N32" s="152"/>
      <c r="O32" s="152"/>
      <c r="S32" s="543" t="s">
        <v>42</v>
      </c>
      <c r="T32" s="543"/>
      <c r="U32" s="544"/>
      <c r="V32" s="545" t="str">
        <f>IF(TITLE_IST_PUB_CHANGE="",IF(TITLE_IST_PUB="","",TITLE_IST_PUB),TITLE_IST_PUB_CHANGE)</f>
        <v/>
      </c>
      <c r="W32" s="545"/>
      <c r="X32" s="545"/>
      <c r="Y32" s="545"/>
      <c r="Z32" s="545"/>
      <c r="AA32" s="545"/>
      <c r="AB32" s="545"/>
      <c r="AC32" s="50"/>
      <c r="AD32" s="545" t="str">
        <f>IF(TITLE_IST_PUB_CHANGE="",IF(TITLE_IST_PUB="","",TITLE_IST_PUB),TITLE_IST_PUB_CHANGE)</f>
        <v/>
      </c>
      <c r="AE32" s="545"/>
      <c r="AF32" s="545"/>
      <c r="AG32" s="545"/>
      <c r="AH32" s="545"/>
      <c r="AI32" s="545"/>
      <c r="AJ32" s="545"/>
      <c r="AK32" s="50"/>
      <c r="AL32" s="50"/>
      <c r="AM32" s="546"/>
      <c r="AN32" s="130"/>
      <c r="AO32" s="130"/>
      <c r="AP32" s="130"/>
      <c r="AQ32" s="130"/>
      <c r="AR32" s="130"/>
      <c r="AS32" s="185">
        <v>0</v>
      </c>
    </row>
    <row r="33" ht="14.25" hidden="1" customHeight="1">
      <c r="Q33" s="540"/>
      <c r="R33" s="540"/>
      <c r="S33" s="541"/>
      <c r="T33" s="91"/>
      <c r="U33" s="91"/>
      <c r="V33" s="542"/>
      <c r="W33" s="542"/>
      <c r="X33" s="542"/>
      <c r="Y33" s="542"/>
      <c r="Z33" s="542"/>
      <c r="AA33" s="542"/>
      <c r="AB33" s="542"/>
      <c r="AC33" s="542"/>
      <c r="AD33" s="542"/>
      <c r="AE33" s="542"/>
      <c r="AF33" s="542"/>
      <c r="AG33" s="542"/>
      <c r="AH33" s="542"/>
      <c r="AI33" s="542"/>
      <c r="AJ33" s="542"/>
      <c r="AK33" s="542"/>
      <c r="AL33" s="50"/>
      <c r="AS33" s="50">
        <v>0</v>
      </c>
    </row>
    <row r="34" s="185" customFormat="1" ht="18.75" hidden="1" customHeight="1">
      <c r="A34" s="152"/>
      <c r="B34" s="152"/>
      <c r="C34" s="152"/>
      <c r="D34" s="152"/>
      <c r="E34" s="152"/>
      <c r="F34" s="152"/>
      <c r="G34" s="152"/>
      <c r="H34" s="152"/>
      <c r="I34" s="152"/>
      <c r="J34" s="152"/>
      <c r="K34" s="152"/>
      <c r="L34" s="482"/>
      <c r="M34" s="152"/>
      <c r="N34" s="152"/>
      <c r="O34" s="152"/>
      <c r="S34" s="543" t="s">
        <v>419</v>
      </c>
      <c r="T34" s="543"/>
      <c r="U34" s="544"/>
      <c r="V34" s="547" t="str">
        <f>IF(TITLE_DATE_PR_CHANGE="",IF(TITLE_DATE_PR="","",TITLE_DATE_PR),TITLE_DATE_PR_CHANGE)</f>
        <v/>
      </c>
      <c r="W34" s="547"/>
      <c r="X34" s="547"/>
      <c r="Y34" s="547"/>
      <c r="Z34" s="547"/>
      <c r="AA34" s="547"/>
      <c r="AB34" s="547"/>
      <c r="AC34" s="50"/>
      <c r="AD34" s="547" t="str">
        <f>IF(TITLE_DATE_PR_CHANGE="",IF(TITLE_DATE_PR="","",TITLE_DATE_PR),TITLE_DATE_PR_CHANGE)</f>
        <v/>
      </c>
      <c r="AE34" s="547"/>
      <c r="AF34" s="547"/>
      <c r="AG34" s="547"/>
      <c r="AH34" s="547"/>
      <c r="AI34" s="547"/>
      <c r="AJ34" s="547"/>
      <c r="AK34" s="50"/>
      <c r="AL34" s="50"/>
      <c r="AM34" s="546"/>
      <c r="AN34" s="130"/>
      <c r="AO34" s="130"/>
      <c r="AP34" s="130"/>
      <c r="AQ34" s="130"/>
      <c r="AR34" s="130"/>
      <c r="AS34" s="185">
        <v>0</v>
      </c>
    </row>
    <row r="35" s="185" customFormat="1" ht="18.75" hidden="1" customHeight="1">
      <c r="A35" s="152"/>
      <c r="B35" s="152"/>
      <c r="C35" s="152"/>
      <c r="D35" s="152"/>
      <c r="E35" s="152"/>
      <c r="F35" s="152"/>
      <c r="G35" s="152"/>
      <c r="H35" s="152"/>
      <c r="I35" s="152"/>
      <c r="J35" s="152"/>
      <c r="K35" s="152"/>
      <c r="L35" s="482"/>
      <c r="M35" s="152"/>
      <c r="N35" s="152"/>
      <c r="O35" s="152"/>
      <c r="S35" s="543" t="s">
        <v>420</v>
      </c>
      <c r="T35" s="543"/>
      <c r="U35" s="544"/>
      <c r="V35" s="545" t="str">
        <f>IF(TITLE_NUMBER_PR_CHANGE="",IF(TITLE_NUMBER_PR="","",TITLE_NUMBER_PR),TITLE_NUMBER_PR_CHANGE)</f>
        <v/>
      </c>
      <c r="W35" s="545"/>
      <c r="X35" s="545"/>
      <c r="Y35" s="545"/>
      <c r="Z35" s="545"/>
      <c r="AA35" s="545"/>
      <c r="AB35" s="545"/>
      <c r="AC35" s="50"/>
      <c r="AD35" s="545" t="str">
        <f>IF(TITLE_NUMBER_PR_CHANGE="",IF(TITLE_NUMBER_PR="","",TITLE_NUMBER_PR),TITLE_NUMBER_PR_CHANGE)</f>
        <v/>
      </c>
      <c r="AE35" s="545"/>
      <c r="AF35" s="545"/>
      <c r="AG35" s="545"/>
      <c r="AH35" s="545"/>
      <c r="AI35" s="545"/>
      <c r="AJ35" s="545"/>
      <c r="AK35" s="50"/>
      <c r="AL35" s="50"/>
      <c r="AM35" s="546"/>
      <c r="AN35" s="130"/>
      <c r="AO35" s="130"/>
      <c r="AP35" s="130"/>
      <c r="AQ35" s="130"/>
      <c r="AR35" s="130"/>
      <c r="AS35" s="185">
        <v>0</v>
      </c>
    </row>
    <row r="36" s="185" customFormat="1" ht="0" customHeight="1">
      <c r="A36" s="152"/>
      <c r="B36" s="152"/>
      <c r="C36" s="152"/>
      <c r="D36" s="152"/>
      <c r="E36" s="152"/>
      <c r="F36" s="152"/>
      <c r="G36" s="152"/>
      <c r="H36" s="152"/>
      <c r="I36" s="152"/>
      <c r="J36" s="152"/>
      <c r="K36" s="152"/>
      <c r="L36" s="482"/>
      <c r="M36" s="152"/>
      <c r="N36" s="152"/>
      <c r="O36" s="152"/>
      <c r="S36" s="50"/>
      <c r="T36" s="50"/>
      <c r="U36" s="141"/>
      <c r="V36" s="50"/>
      <c r="W36" s="50"/>
      <c r="X36" s="50"/>
      <c r="Y36" s="50"/>
      <c r="Z36" s="50"/>
      <c r="AA36" s="50"/>
      <c r="AB36" s="50"/>
      <c r="AC36" s="57" t="s">
        <v>421</v>
      </c>
      <c r="AD36" s="50"/>
      <c r="AE36" s="50"/>
      <c r="AF36" s="50"/>
      <c r="AG36" s="50"/>
      <c r="AH36" s="50"/>
      <c r="AI36" s="50"/>
      <c r="AJ36" s="50"/>
      <c r="AK36" s="57" t="s">
        <v>421</v>
      </c>
      <c r="AN36" s="130"/>
      <c r="AO36" s="130"/>
      <c r="AP36" s="130"/>
      <c r="AQ36" s="130"/>
      <c r="AR36" s="130"/>
      <c r="AS36" s="185">
        <v>0</v>
      </c>
    </row>
    <row r="37" ht="14.65" customHeight="1">
      <c r="Q37" s="540"/>
      <c r="R37" s="540"/>
      <c r="S37" s="541"/>
      <c r="T37" s="91"/>
      <c r="U37" s="548"/>
      <c r="V37" s="549"/>
      <c r="W37" s="549"/>
      <c r="X37" s="549"/>
      <c r="Y37" s="549"/>
      <c r="Z37" s="549"/>
      <c r="AA37" s="549"/>
      <c r="AB37" s="549"/>
      <c r="AC37" s="549"/>
      <c r="AD37" s="549"/>
      <c r="AE37" s="549"/>
      <c r="AF37" s="549"/>
      <c r="AG37" s="549"/>
      <c r="AH37" s="549"/>
      <c r="AI37" s="549"/>
      <c r="AJ37" s="549"/>
      <c r="AK37" s="549"/>
      <c r="AS37" s="50">
        <v>14</v>
      </c>
    </row>
    <row r="38" ht="14.65" customHeight="1">
      <c r="Q38" s="540"/>
      <c r="R38" s="540"/>
      <c r="S38" s="158" t="s">
        <v>294</v>
      </c>
      <c r="T38" s="158"/>
      <c r="U38" s="158"/>
      <c r="V38" s="158"/>
      <c r="W38" s="158"/>
      <c r="X38" s="158"/>
      <c r="Y38" s="158"/>
      <c r="Z38" s="158"/>
      <c r="AA38" s="158"/>
      <c r="AB38" s="158"/>
      <c r="AC38" s="158"/>
      <c r="AD38" s="158"/>
      <c r="AE38" s="158"/>
      <c r="AF38" s="158"/>
      <c r="AG38" s="158"/>
      <c r="AH38" s="158"/>
      <c r="AI38" s="158"/>
      <c r="AJ38" s="158"/>
      <c r="AK38" s="158"/>
      <c r="AL38" s="158"/>
      <c r="AM38" s="158" t="s">
        <v>295</v>
      </c>
      <c r="AS38" s="50">
        <v>14</v>
      </c>
    </row>
    <row r="39" ht="14.65" customHeight="1">
      <c r="Q39" s="540"/>
      <c r="R39" s="540"/>
      <c r="S39" s="485" t="s">
        <v>87</v>
      </c>
      <c r="T39" s="348" t="s">
        <v>422</v>
      </c>
      <c r="U39" s="550"/>
      <c r="V39" s="551" t="s">
        <v>423</v>
      </c>
      <c r="W39" s="552"/>
      <c r="X39" s="552"/>
      <c r="Y39" s="552"/>
      <c r="Z39" s="552"/>
      <c r="AA39" s="552"/>
      <c r="AB39" s="553"/>
      <c r="AC39" s="554" t="s">
        <v>424</v>
      </c>
      <c r="AD39" s="551" t="s">
        <v>423</v>
      </c>
      <c r="AE39" s="552"/>
      <c r="AF39" s="552"/>
      <c r="AG39" s="552"/>
      <c r="AH39" s="552"/>
      <c r="AI39" s="552"/>
      <c r="AJ39" s="553"/>
      <c r="AK39" s="554" t="s">
        <v>425</v>
      </c>
      <c r="AL39" s="555" t="s">
        <v>426</v>
      </c>
      <c r="AM39" s="158"/>
      <c r="AS39" s="50">
        <v>14</v>
      </c>
    </row>
    <row r="40" ht="35.649999999999999" customHeight="1">
      <c r="Q40" s="540"/>
      <c r="R40" s="540"/>
      <c r="S40" s="485"/>
      <c r="T40" s="348"/>
      <c r="U40" s="556"/>
      <c r="V40" s="308" t="s">
        <v>427</v>
      </c>
      <c r="W40" s="557"/>
      <c r="X40" s="73" t="s">
        <v>429</v>
      </c>
      <c r="Y40" s="72"/>
      <c r="Z40" s="73" t="s">
        <v>430</v>
      </c>
      <c r="AA40" s="146"/>
      <c r="AB40" s="72"/>
      <c r="AC40" s="558"/>
      <c r="AD40" s="308" t="s">
        <v>444</v>
      </c>
      <c r="AE40" s="557"/>
      <c r="AF40" s="73" t="s">
        <v>429</v>
      </c>
      <c r="AG40" s="72"/>
      <c r="AH40" s="73" t="s">
        <v>430</v>
      </c>
      <c r="AI40" s="146"/>
      <c r="AJ40" s="72"/>
      <c r="AK40" s="558"/>
      <c r="AL40" s="559"/>
      <c r="AM40" s="158"/>
      <c r="AS40" s="50">
        <v>34</v>
      </c>
    </row>
    <row r="41" ht="35.649999999999999" customHeight="1">
      <c r="A41" s="152"/>
      <c r="B41" s="152" t="s">
        <v>131</v>
      </c>
      <c r="C41" s="152" t="s">
        <v>132</v>
      </c>
      <c r="D41" s="152" t="s">
        <v>133</v>
      </c>
      <c r="E41" s="482" t="s">
        <v>431</v>
      </c>
      <c r="F41" s="482" t="s">
        <v>432</v>
      </c>
      <c r="G41" s="482" t="s">
        <v>433</v>
      </c>
      <c r="H41" s="482" t="s">
        <v>434</v>
      </c>
      <c r="I41" s="482" t="s">
        <v>435</v>
      </c>
      <c r="J41" s="482" t="s">
        <v>436</v>
      </c>
      <c r="K41" s="482" t="s">
        <v>437</v>
      </c>
      <c r="L41" s="482" t="s">
        <v>412</v>
      </c>
      <c r="Q41" s="540"/>
      <c r="R41" s="540"/>
      <c r="S41" s="485"/>
      <c r="T41" s="348"/>
      <c r="U41" s="560"/>
      <c r="V41" s="163"/>
      <c r="W41" s="561"/>
      <c r="X41" s="247" t="s">
        <v>438</v>
      </c>
      <c r="Y41" s="247" t="s">
        <v>439</v>
      </c>
      <c r="Z41" s="247" t="s">
        <v>440</v>
      </c>
      <c r="AA41" s="416" t="s">
        <v>441</v>
      </c>
      <c r="AB41" s="418"/>
      <c r="AC41" s="562"/>
      <c r="AD41" s="163"/>
      <c r="AE41" s="561"/>
      <c r="AF41" s="247" t="s">
        <v>438</v>
      </c>
      <c r="AG41" s="247" t="s">
        <v>439</v>
      </c>
      <c r="AH41" s="247" t="s">
        <v>440</v>
      </c>
      <c r="AI41" s="416" t="s">
        <v>441</v>
      </c>
      <c r="AJ41" s="418"/>
      <c r="AK41" s="562"/>
      <c r="AL41" s="563"/>
      <c r="AM41" s="158"/>
      <c r="AS41" s="50">
        <v>34</v>
      </c>
    </row>
    <row r="42" s="132" customFormat="1" ht="11.25" hidden="1" customHeight="1">
      <c r="A42" s="152"/>
      <c r="B42" s="152"/>
      <c r="C42" s="152"/>
      <c r="D42" s="152"/>
      <c r="E42" s="152"/>
      <c r="F42" s="152"/>
      <c r="G42" s="152"/>
      <c r="H42" s="152"/>
      <c r="I42" s="152"/>
      <c r="J42" s="152"/>
      <c r="K42" s="152"/>
      <c r="L42" s="482"/>
      <c r="M42" s="61"/>
      <c r="N42" s="61"/>
      <c r="O42" s="61"/>
      <c r="P42" s="564"/>
      <c r="Q42" s="565"/>
      <c r="R42" s="566">
        <v>1</v>
      </c>
      <c r="S42" s="567" t="s">
        <v>105</v>
      </c>
      <c r="T42" s="568" t="s">
        <v>106</v>
      </c>
      <c r="U42" s="569" t="str">
        <f ca="1">OFFSET(U42,0,-1)</f>
        <v>2</v>
      </c>
      <c r="V42" s="570">
        <f ca="1">OFFSET(V42,0,-1)+1</f>
        <v>3</v>
      </c>
      <c r="W42" s="570"/>
      <c r="X42" s="570">
        <f ca="1">OFFSET(X42,0,-1)+1</f>
        <v>1</v>
      </c>
      <c r="Y42" s="570">
        <f ca="1">OFFSET(Y42,0,-1)+1</f>
        <v>2</v>
      </c>
      <c r="Z42" s="570">
        <f ca="1">OFFSET(Z42,0,-1)+1</f>
        <v>3</v>
      </c>
      <c r="AA42" s="570">
        <f ca="1">OFFSET(AA42,0,-1)+1</f>
        <v>4</v>
      </c>
      <c r="AB42" s="570"/>
      <c r="AC42" s="570">
        <f ca="1">OFFSET(AC42,0,-2)+1</f>
        <v>5</v>
      </c>
      <c r="AD42" s="570">
        <f ca="1">OFFSET(AD42,0,-1)+1</f>
        <v>6</v>
      </c>
      <c r="AE42" s="570"/>
      <c r="AF42" s="570">
        <f ca="1">OFFSET(AF42,0,-1)+1</f>
        <v>1</v>
      </c>
      <c r="AG42" s="570">
        <f ca="1">OFFSET(AG42,0,-1)+1</f>
        <v>2</v>
      </c>
      <c r="AH42" s="570">
        <f ca="1">OFFSET(AH42,0,-1)+1</f>
        <v>3</v>
      </c>
      <c r="AI42" s="570">
        <f ca="1">OFFSET(AI42,0,-1)+1</f>
        <v>4</v>
      </c>
      <c r="AJ42" s="570"/>
      <c r="AK42" s="570">
        <f ca="1">OFFSET(AK42,0,-2)+1</f>
        <v>5</v>
      </c>
      <c r="AL42" s="569">
        <f ca="1">OFFSET(AL42,0,-1)</f>
        <v>5</v>
      </c>
      <c r="AM42" s="570">
        <f ca="1">OFFSET(AM42,0,-1)+1</f>
        <v>6</v>
      </c>
      <c r="AN42" s="57"/>
      <c r="AO42" s="57"/>
      <c r="AP42" s="57"/>
      <c r="AQ42" s="57"/>
      <c r="AR42" s="57"/>
      <c r="AS42" s="132">
        <v>0</v>
      </c>
    </row>
    <row r="43" ht="22" customHeight="1">
      <c r="A43" s="480" t="s">
        <v>164</v>
      </c>
      <c r="B43" s="480"/>
      <c r="C43" s="480"/>
      <c r="D43" s="480"/>
      <c r="E43" s="481">
        <v>1</v>
      </c>
      <c r="F43" s="480"/>
      <c r="G43" s="480"/>
      <c r="H43" s="480"/>
      <c r="I43" s="480"/>
      <c r="J43" s="480"/>
      <c r="K43" s="480"/>
      <c r="L43" s="482"/>
      <c r="M43" s="483"/>
      <c r="N43" s="483"/>
      <c r="O43" s="483"/>
      <c r="P43" s="60"/>
      <c r="Q43" s="144"/>
      <c r="R43" s="484"/>
      <c r="S43" s="485">
        <f>INDEX(PT_DIFFERENTIATION_NUM_NTAR,MATCH(A43,PT_DIFFERENTIATION_NTAR_ID,0))</f>
        <v>0</v>
      </c>
      <c r="T43" s="486" t="s">
        <v>119</v>
      </c>
      <c r="U43" s="487"/>
      <c r="V43" s="488"/>
      <c r="W43" s="489"/>
      <c r="X43" s="489"/>
      <c r="Y43" s="489"/>
      <c r="Z43" s="489"/>
      <c r="AA43" s="489"/>
      <c r="AB43" s="489"/>
      <c r="AC43" s="490"/>
      <c r="AD43" s="488" t="str">
        <f>INDEX(PT_DIFFERENTIATION_NTAR,MATCH(A43,PT_DIFFERENTIATION_NTAR_ID,0))</f>
        <v/>
      </c>
      <c r="AE43" s="489"/>
      <c r="AF43" s="489"/>
      <c r="AG43" s="489"/>
      <c r="AH43" s="489"/>
      <c r="AI43" s="489"/>
      <c r="AJ43" s="489"/>
      <c r="AK43" s="489"/>
      <c r="AL43" s="490"/>
      <c r="AM43" s="49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30"/>
      <c r="AP43" s="130" t="str">
        <f t="shared" si="13"/>
        <v xml:space="preserve">Наименование тарифа</v>
      </c>
      <c r="AQ43" s="130"/>
      <c r="AR43" s="130"/>
      <c r="AS43" s="50">
        <v>21</v>
      </c>
    </row>
    <row r="44" ht="22" customHeight="1">
      <c r="A44" s="480" t="s">
        <v>164</v>
      </c>
      <c r="B44" s="480" t="s">
        <v>165</v>
      </c>
      <c r="C44" s="480"/>
      <c r="D44" s="480"/>
      <c r="E44" s="492"/>
      <c r="F44" s="481">
        <v>1</v>
      </c>
      <c r="G44" s="480"/>
      <c r="H44" s="480"/>
      <c r="I44" s="480"/>
      <c r="J44" s="480"/>
      <c r="K44" s="480"/>
      <c r="L44" s="482"/>
      <c r="M44" s="483"/>
      <c r="N44" s="483"/>
      <c r="O44" s="483"/>
      <c r="P44" s="51"/>
      <c r="Q44" s="493"/>
      <c r="R44" s="494"/>
      <c r="S44" s="485" t="str">
        <f>INDEX(PT_DIFFERENTIATION_NUM_TER,MATCH(B44,PT_DIFFERENTIATION_TER_ID,0))</f>
        <v>.</v>
      </c>
      <c r="T44" s="495" t="s">
        <v>391</v>
      </c>
      <c r="U44" s="487"/>
      <c r="V44" s="488"/>
      <c r="W44" s="489"/>
      <c r="X44" s="489"/>
      <c r="Y44" s="489"/>
      <c r="Z44" s="489"/>
      <c r="AA44" s="489"/>
      <c r="AB44" s="489"/>
      <c r="AC44" s="490"/>
      <c r="AD44" s="488" t="str">
        <f>INDEX(PT_DIFFERENTIATION_TER,MATCH(B44,PT_DIFFERENTIATION_TER_ID,0))</f>
        <v/>
      </c>
      <c r="AE44" s="489"/>
      <c r="AF44" s="489"/>
      <c r="AG44" s="489"/>
      <c r="AH44" s="489"/>
      <c r="AI44" s="489"/>
      <c r="AJ44" s="489"/>
      <c r="AK44" s="489"/>
      <c r="AL44" s="490"/>
      <c r="AM44" s="491" t="s">
        <v>392</v>
      </c>
      <c r="AO44" s="130"/>
      <c r="AP44" s="130" t="str">
        <f t="shared" si="13"/>
        <v xml:space="preserve">Территория действия тарифа</v>
      </c>
      <c r="AQ44" s="130"/>
      <c r="AR44" s="130"/>
      <c r="AS44" s="50">
        <v>21</v>
      </c>
    </row>
    <row r="45" ht="24" customHeight="1">
      <c r="A45" s="480" t="s">
        <v>164</v>
      </c>
      <c r="B45" s="480" t="s">
        <v>165</v>
      </c>
      <c r="C45" s="480" t="s">
        <v>166</v>
      </c>
      <c r="D45" s="480"/>
      <c r="E45" s="492"/>
      <c r="F45" s="492"/>
      <c r="G45" s="481">
        <v>1</v>
      </c>
      <c r="H45" s="480"/>
      <c r="I45" s="480"/>
      <c r="J45" s="480"/>
      <c r="K45" s="480"/>
      <c r="L45" s="482"/>
      <c r="M45" s="483"/>
      <c r="N45" s="483"/>
      <c r="O45" s="483"/>
      <c r="P45" s="496"/>
      <c r="Q45" s="493"/>
      <c r="R45" s="494"/>
      <c r="S45" s="485" t="str">
        <f>INDEX(PT_DIFFERENTIATION_NUM_CS,MATCH(C45,PT_DIFFERENTIATION_CS_ID,0))</f>
        <v>..</v>
      </c>
      <c r="T45" s="497" t="s">
        <v>393</v>
      </c>
      <c r="U45" s="487"/>
      <c r="V45" s="488"/>
      <c r="W45" s="489"/>
      <c r="X45" s="489"/>
      <c r="Y45" s="489"/>
      <c r="Z45" s="489"/>
      <c r="AA45" s="489"/>
      <c r="AB45" s="489"/>
      <c r="AC45" s="490"/>
      <c r="AD45" s="488" t="str">
        <f>INDEX(PT_DIFFERENTIATION_CS,MATCH(C45,PT_DIFFERENTIATION_CS_ID,0))</f>
        <v/>
      </c>
      <c r="AE45" s="489"/>
      <c r="AF45" s="489"/>
      <c r="AG45" s="489"/>
      <c r="AH45" s="489"/>
      <c r="AI45" s="489"/>
      <c r="AJ45" s="489"/>
      <c r="AK45" s="489"/>
      <c r="AL45" s="490"/>
      <c r="AM45" s="491" t="s">
        <v>394</v>
      </c>
      <c r="AO45" s="130"/>
      <c r="AP45" s="130" t="str">
        <f t="shared" si="13"/>
        <v xml:space="preserve">Наименование системы теплоснабжения </v>
      </c>
      <c r="AQ45" s="130"/>
      <c r="AR45" s="130"/>
      <c r="AS45" s="50">
        <v>23</v>
      </c>
    </row>
    <row r="46" ht="22" customHeight="1">
      <c r="A46" s="480" t="s">
        <v>164</v>
      </c>
      <c r="B46" s="480" t="s">
        <v>165</v>
      </c>
      <c r="C46" s="480" t="s">
        <v>166</v>
      </c>
      <c r="D46" s="480" t="s">
        <v>167</v>
      </c>
      <c r="E46" s="492"/>
      <c r="F46" s="492"/>
      <c r="G46" s="492"/>
      <c r="H46" s="481">
        <v>1</v>
      </c>
      <c r="I46" s="480"/>
      <c r="J46" s="480"/>
      <c r="K46" s="480"/>
      <c r="L46" s="482"/>
      <c r="M46" s="483"/>
      <c r="N46" s="483"/>
      <c r="O46" s="483"/>
      <c r="P46" s="496"/>
      <c r="Q46" s="493"/>
      <c r="R46" s="494"/>
      <c r="S46" s="485" t="str">
        <f>INDEX(PT_DIFFERENTIATION_NUM_IST_TE,MATCH(D46,PT_DIFFERENTIATION_IST_TE_ID,0))</f>
        <v>...</v>
      </c>
      <c r="T46" s="498" t="s">
        <v>395</v>
      </c>
      <c r="U46" s="487"/>
      <c r="V46" s="488"/>
      <c r="W46" s="489"/>
      <c r="X46" s="489"/>
      <c r="Y46" s="489"/>
      <c r="Z46" s="489"/>
      <c r="AA46" s="489"/>
      <c r="AB46" s="489"/>
      <c r="AC46" s="490"/>
      <c r="AD46" s="488" t="str">
        <f>INDEX(PT_DIFFERENTIATION_IST_TE,MATCH(D46,PT_DIFFERENTIATION_IST_TE_ID,0))</f>
        <v/>
      </c>
      <c r="AE46" s="489"/>
      <c r="AF46" s="489"/>
      <c r="AG46" s="489"/>
      <c r="AH46" s="489"/>
      <c r="AI46" s="489"/>
      <c r="AJ46" s="489"/>
      <c r="AK46" s="489"/>
      <c r="AL46" s="490"/>
      <c r="AM46" s="491" t="s">
        <v>396</v>
      </c>
      <c r="AO46" s="130"/>
      <c r="AP46" s="130" t="str">
        <f t="shared" si="13"/>
        <v xml:space="preserve">Источник тепловой энергии  </v>
      </c>
      <c r="AQ46" s="130"/>
      <c r="AR46" s="130"/>
      <c r="AS46" s="50">
        <v>21</v>
      </c>
    </row>
    <row r="47" s="57" customFormat="1" ht="0" customHeight="1">
      <c r="A47" s="134" t="s">
        <v>164</v>
      </c>
      <c r="B47" s="134" t="s">
        <v>165</v>
      </c>
      <c r="C47" s="134" t="s">
        <v>166</v>
      </c>
      <c r="D47" s="134" t="s">
        <v>167</v>
      </c>
      <c r="E47" s="492"/>
      <c r="F47" s="492"/>
      <c r="G47" s="492"/>
      <c r="H47" s="492"/>
      <c r="I47" s="499" t="str">
        <f>S46&amp;".1"</f>
        <v>....1</v>
      </c>
      <c r="J47" s="134"/>
      <c r="K47" s="134"/>
      <c r="L47" s="213" t="s">
        <v>397</v>
      </c>
      <c r="M47" s="597"/>
      <c r="N47" s="597"/>
      <c r="O47" s="597"/>
      <c r="P47" s="133">
        <v>1</v>
      </c>
      <c r="Q47" s="133"/>
      <c r="R47" s="500"/>
      <c r="S47" s="352"/>
      <c r="T47" s="587"/>
      <c r="U47" s="588"/>
      <c r="V47" s="589"/>
      <c r="W47" s="590"/>
      <c r="X47" s="590"/>
      <c r="Y47" s="590"/>
      <c r="Z47" s="590"/>
      <c r="AA47" s="590"/>
      <c r="AB47" s="590"/>
      <c r="AC47" s="591"/>
      <c r="AD47" s="589"/>
      <c r="AE47" s="590"/>
      <c r="AF47" s="590"/>
      <c r="AG47" s="590"/>
      <c r="AH47" s="590"/>
      <c r="AI47" s="590"/>
      <c r="AJ47" s="590"/>
      <c r="AK47" s="590"/>
      <c r="AL47" s="591"/>
      <c r="AM47" s="592"/>
      <c r="AO47" s="130"/>
      <c r="AP47" s="130" t="str">
        <f t="shared" si="13"/>
        <v/>
      </c>
      <c r="AQ47" s="130"/>
      <c r="AR47" s="130"/>
      <c r="AS47" s="57">
        <v>0</v>
      </c>
    </row>
    <row r="48" ht="22" customHeight="1">
      <c r="A48" s="480" t="s">
        <v>164</v>
      </c>
      <c r="B48" s="480" t="s">
        <v>165</v>
      </c>
      <c r="C48" s="480" t="s">
        <v>166</v>
      </c>
      <c r="D48" s="480" t="s">
        <v>167</v>
      </c>
      <c r="E48" s="492"/>
      <c r="F48" s="492"/>
      <c r="G48" s="492"/>
      <c r="H48" s="492"/>
      <c r="I48" s="504"/>
      <c r="J48" s="499" t="str">
        <f>S46&amp;".1"</f>
        <v>....1</v>
      </c>
      <c r="K48" s="480"/>
      <c r="L48" s="482" t="s">
        <v>400</v>
      </c>
      <c r="P48" s="133"/>
      <c r="Q48" s="133">
        <v>1</v>
      </c>
      <c r="R48" s="505"/>
      <c r="S48" s="485" t="str">
        <f>$J48</f>
        <v>....1</v>
      </c>
      <c r="T48" s="506" t="s">
        <v>401</v>
      </c>
      <c r="U48" s="487"/>
      <c r="V48" s="432"/>
      <c r="W48" s="502"/>
      <c r="X48" s="502"/>
      <c r="Y48" s="502"/>
      <c r="Z48" s="502"/>
      <c r="AA48" s="502"/>
      <c r="AB48" s="502"/>
      <c r="AC48" s="503"/>
      <c r="AD48" s="432"/>
      <c r="AE48" s="502"/>
      <c r="AF48" s="502"/>
      <c r="AG48" s="502"/>
      <c r="AH48" s="502"/>
      <c r="AI48" s="502"/>
      <c r="AJ48" s="502"/>
      <c r="AK48" s="502"/>
      <c r="AL48" s="503"/>
      <c r="AM48" s="491" t="s">
        <v>402</v>
      </c>
      <c r="AO48" s="130"/>
      <c r="AP48" s="130" t="str">
        <f t="shared" si="13"/>
        <v xml:space="preserve">Группа потребителей</v>
      </c>
      <c r="AQ48" s="130"/>
      <c r="AR48" s="130"/>
      <c r="AS48" s="50">
        <v>21</v>
      </c>
    </row>
    <row r="49" ht="22" customHeight="1">
      <c r="A49" s="480" t="s">
        <v>164</v>
      </c>
      <c r="B49" s="480" t="s">
        <v>165</v>
      </c>
      <c r="C49" s="480" t="s">
        <v>166</v>
      </c>
      <c r="D49" s="480" t="s">
        <v>167</v>
      </c>
      <c r="E49" s="492"/>
      <c r="F49" s="492"/>
      <c r="G49" s="492"/>
      <c r="H49" s="492"/>
      <c r="I49" s="504"/>
      <c r="J49" s="504"/>
      <c r="K49" s="499" t="str">
        <f>J48&amp;".1"</f>
        <v>....1.1</v>
      </c>
      <c r="L49" s="482" t="s">
        <v>403</v>
      </c>
      <c r="P49" s="133"/>
      <c r="Q49" s="133"/>
      <c r="R49" s="505">
        <v>1</v>
      </c>
      <c r="S49" s="485" t="str">
        <f>$K49</f>
        <v>....1.1</v>
      </c>
      <c r="T49" s="507"/>
      <c r="U49" s="487"/>
      <c r="V49" s="508"/>
      <c r="W49" s="509"/>
      <c r="X49" s="508"/>
      <c r="Y49" s="510"/>
      <c r="Z49" s="511"/>
      <c r="AA49" s="225" t="s">
        <v>64</v>
      </c>
      <c r="AB49" s="511"/>
      <c r="AC49" s="225" t="s">
        <v>64</v>
      </c>
      <c r="AD49" s="508"/>
      <c r="AE49" s="509"/>
      <c r="AF49" s="508"/>
      <c r="AG49" s="510"/>
      <c r="AH49" s="511"/>
      <c r="AI49" s="225" t="s">
        <v>64</v>
      </c>
      <c r="AJ49" s="571"/>
      <c r="AK49" s="225" t="s">
        <v>64</v>
      </c>
      <c r="AL49" s="572"/>
      <c r="AM49" s="512" t="s">
        <v>445</v>
      </c>
      <c r="AN49" s="57" t="e">
        <f>STRCHECKDATE(V50:AL50)</f>
        <v>#NAME?</v>
      </c>
      <c r="AO49" s="130"/>
      <c r="AP49" s="130" t="str">
        <f t="shared" si="13"/>
        <v/>
      </c>
      <c r="AQ49" s="130"/>
      <c r="AR49" s="130"/>
      <c r="AS49" s="50">
        <v>21</v>
      </c>
    </row>
    <row r="50" ht="1.05" customHeight="1">
      <c r="A50" s="480" t="s">
        <v>164</v>
      </c>
      <c r="B50" s="480" t="s">
        <v>165</v>
      </c>
      <c r="C50" s="480" t="s">
        <v>166</v>
      </c>
      <c r="D50" s="480" t="s">
        <v>167</v>
      </c>
      <c r="E50" s="492"/>
      <c r="F50" s="492"/>
      <c r="G50" s="492"/>
      <c r="H50" s="492"/>
      <c r="I50" s="504"/>
      <c r="J50" s="504"/>
      <c r="K50" s="499"/>
      <c r="L50" s="482"/>
      <c r="P50" s="133"/>
      <c r="Q50" s="133"/>
      <c r="R50" s="505"/>
      <c r="S50" s="459"/>
      <c r="T50" s="487"/>
      <c r="U50" s="487"/>
      <c r="V50" s="509"/>
      <c r="W50" s="509"/>
      <c r="X50" s="509"/>
      <c r="Y50" s="513" t="str">
        <f>Z49&amp;"-"&amp;AB49</f>
        <v>-</v>
      </c>
      <c r="Z50" s="514"/>
      <c r="AA50" s="225"/>
      <c r="AB50" s="514"/>
      <c r="AC50" s="225"/>
      <c r="AD50" s="509"/>
      <c r="AE50" s="509"/>
      <c r="AF50" s="509"/>
      <c r="AG50" s="513" t="str">
        <f>AH49&amp;"-"&amp;AJ49</f>
        <v>-</v>
      </c>
      <c r="AH50" s="514"/>
      <c r="AI50" s="225"/>
      <c r="AJ50" s="573"/>
      <c r="AK50" s="225"/>
      <c r="AL50" s="574"/>
      <c r="AM50" s="515"/>
      <c r="AO50" s="130"/>
      <c r="AP50" s="130" t="str">
        <f t="shared" si="13"/>
        <v/>
      </c>
      <c r="AQ50" s="130"/>
      <c r="AR50" s="130"/>
      <c r="AS50" s="50">
        <v>1</v>
      </c>
    </row>
    <row r="51" ht="11.5" customHeight="1">
      <c r="A51" s="480" t="s">
        <v>164</v>
      </c>
      <c r="B51" s="480" t="s">
        <v>165</v>
      </c>
      <c r="C51" s="480" t="s">
        <v>166</v>
      </c>
      <c r="D51" s="480" t="s">
        <v>167</v>
      </c>
      <c r="E51" s="492"/>
      <c r="F51" s="492"/>
      <c r="G51" s="492"/>
      <c r="H51" s="492"/>
      <c r="I51" s="504"/>
      <c r="J51" s="499"/>
      <c r="K51" s="480"/>
      <c r="L51" s="482"/>
      <c r="P51" s="133"/>
      <c r="Q51" s="133"/>
      <c r="R51" s="500"/>
      <c r="S51" s="516"/>
      <c r="T51" s="520" t="s">
        <v>405</v>
      </c>
      <c r="U51" s="215"/>
      <c r="V51" s="215"/>
      <c r="W51" s="215"/>
      <c r="X51" s="215"/>
      <c r="Y51" s="215"/>
      <c r="Z51" s="215"/>
      <c r="AA51" s="215"/>
      <c r="AB51" s="215"/>
      <c r="AC51" s="215"/>
      <c r="AD51" s="215"/>
      <c r="AE51" s="215"/>
      <c r="AF51" s="215"/>
      <c r="AG51" s="215"/>
      <c r="AH51" s="215"/>
      <c r="AI51" s="215"/>
      <c r="AJ51" s="215"/>
      <c r="AK51" s="215"/>
      <c r="AL51" s="518"/>
      <c r="AM51" s="519"/>
      <c r="AO51" s="130"/>
      <c r="AP51" s="130" t="str">
        <f t="shared" si="13"/>
        <v xml:space="preserve">Добавить вид теплоносителя (параметры теплоносителя)</v>
      </c>
      <c r="AQ51" s="130"/>
      <c r="AR51" s="130"/>
      <c r="AS51" s="50">
        <v>11</v>
      </c>
    </row>
    <row r="52" ht="11.5" customHeight="1">
      <c r="A52" s="480" t="s">
        <v>164</v>
      </c>
      <c r="B52" s="480" t="s">
        <v>165</v>
      </c>
      <c r="C52" s="480" t="s">
        <v>166</v>
      </c>
      <c r="D52" s="480" t="s">
        <v>167</v>
      </c>
      <c r="E52" s="492"/>
      <c r="F52" s="492"/>
      <c r="G52" s="492"/>
      <c r="H52" s="492"/>
      <c r="I52" s="499"/>
      <c r="J52" s="480"/>
      <c r="K52" s="480"/>
      <c r="L52" s="482"/>
      <c r="P52" s="133"/>
      <c r="Q52" s="133"/>
      <c r="R52" s="500"/>
      <c r="S52" s="516"/>
      <c r="T52" s="524" t="s">
        <v>406</v>
      </c>
      <c r="U52" s="215"/>
      <c r="V52" s="215"/>
      <c r="W52" s="215"/>
      <c r="X52" s="215"/>
      <c r="Y52" s="215"/>
      <c r="Z52" s="215"/>
      <c r="AA52" s="215"/>
      <c r="AB52" s="215"/>
      <c r="AC52" s="521"/>
      <c r="AD52" s="215"/>
      <c r="AE52" s="215"/>
      <c r="AF52" s="215"/>
      <c r="AG52" s="215"/>
      <c r="AH52" s="215"/>
      <c r="AI52" s="215"/>
      <c r="AJ52" s="215"/>
      <c r="AK52" s="521"/>
      <c r="AL52" s="215"/>
      <c r="AM52" s="522"/>
      <c r="AO52" s="130"/>
      <c r="AP52" s="130" t="str">
        <f t="shared" si="13"/>
        <v xml:space="preserve">Добавить группу потребителей</v>
      </c>
      <c r="AQ52" s="130"/>
      <c r="AR52" s="130"/>
      <c r="AS52" s="50">
        <v>11</v>
      </c>
    </row>
    <row r="53" ht="0" customHeight="1">
      <c r="A53" s="480" t="s">
        <v>164</v>
      </c>
      <c r="B53" s="480" t="s">
        <v>165</v>
      </c>
      <c r="C53" s="480" t="s">
        <v>166</v>
      </c>
      <c r="D53" s="480" t="s">
        <v>167</v>
      </c>
      <c r="E53" s="492"/>
      <c r="F53" s="492"/>
      <c r="G53" s="492"/>
      <c r="H53" s="481"/>
      <c r="I53" s="480"/>
      <c r="J53" s="480"/>
      <c r="K53" s="480"/>
      <c r="L53" s="482"/>
      <c r="M53" s="483"/>
      <c r="N53" s="483"/>
      <c r="O53" s="53"/>
      <c r="P53" s="144"/>
      <c r="Q53" s="523"/>
      <c r="R53" s="484"/>
      <c r="S53" s="593"/>
      <c r="T53" s="594"/>
      <c r="U53" s="595"/>
      <c r="V53" s="595"/>
      <c r="W53" s="595"/>
      <c r="X53" s="595"/>
      <c r="Y53" s="595"/>
      <c r="Z53" s="595"/>
      <c r="AA53" s="595"/>
      <c r="AB53" s="595"/>
      <c r="AC53" s="595"/>
      <c r="AD53" s="595"/>
      <c r="AE53" s="595"/>
      <c r="AF53" s="595"/>
      <c r="AG53" s="595"/>
      <c r="AH53" s="595"/>
      <c r="AI53" s="595"/>
      <c r="AJ53" s="595"/>
      <c r="AK53" s="595"/>
      <c r="AL53" s="595"/>
      <c r="AM53" s="596"/>
      <c r="AO53" s="130"/>
      <c r="AP53" s="130" t="str">
        <f t="shared" si="13"/>
        <v/>
      </c>
      <c r="AQ53" s="130"/>
      <c r="AR53" s="130"/>
      <c r="AS53" s="50">
        <v>0</v>
      </c>
    </row>
    <row r="54" s="57" customFormat="1" ht="1.05" customHeight="1">
      <c r="A54" s="134" t="s">
        <v>164</v>
      </c>
      <c r="B54" s="134" t="s">
        <v>165</v>
      </c>
      <c r="C54" s="134" t="s">
        <v>166</v>
      </c>
      <c r="D54" s="134"/>
      <c r="E54" s="492"/>
      <c r="F54" s="492"/>
      <c r="G54" s="481"/>
      <c r="H54" s="134"/>
      <c r="I54" s="134"/>
      <c r="J54" s="134"/>
      <c r="K54" s="134"/>
      <c r="L54" s="213"/>
      <c r="M54" s="465"/>
      <c r="N54" s="465"/>
      <c r="P54" s="168"/>
      <c r="Q54" s="525"/>
      <c r="R54" s="168"/>
      <c r="S54" s="530"/>
      <c r="T54" s="533" t="s">
        <v>408</v>
      </c>
      <c r="U54" s="532"/>
      <c r="V54" s="532"/>
      <c r="W54" s="532"/>
      <c r="X54" s="532"/>
      <c r="Y54" s="532"/>
      <c r="Z54" s="532"/>
      <c r="AA54" s="532"/>
      <c r="AB54" s="532"/>
      <c r="AC54" s="532"/>
      <c r="AD54" s="532"/>
      <c r="AE54" s="532"/>
      <c r="AF54" s="532"/>
      <c r="AG54" s="532"/>
      <c r="AH54" s="532"/>
      <c r="AI54" s="532"/>
      <c r="AJ54" s="532"/>
      <c r="AK54" s="532"/>
      <c r="AL54" s="532"/>
      <c r="AM54" s="532"/>
      <c r="AO54" s="130"/>
      <c r="AP54" s="130" t="str">
        <f t="shared" si="13"/>
        <v xml:space="preserve">Добавить источник для дифференциации</v>
      </c>
      <c r="AQ54" s="130"/>
      <c r="AR54" s="130"/>
      <c r="AS54" s="57">
        <v>1</v>
      </c>
    </row>
    <row r="55" s="57" customFormat="1" ht="1.05" customHeight="1">
      <c r="A55" s="134" t="s">
        <v>164</v>
      </c>
      <c r="B55" s="134" t="s">
        <v>165</v>
      </c>
      <c r="C55" s="134"/>
      <c r="D55" s="134"/>
      <c r="E55" s="492"/>
      <c r="F55" s="481"/>
      <c r="G55" s="134"/>
      <c r="H55" s="134"/>
      <c r="I55" s="134"/>
      <c r="J55" s="134"/>
      <c r="K55" s="134"/>
      <c r="L55" s="213"/>
      <c r="M55" s="529"/>
      <c r="N55" s="529"/>
      <c r="P55" s="168"/>
      <c r="Q55" s="525"/>
      <c r="R55" s="168"/>
      <c r="S55" s="530"/>
      <c r="T55" s="533" t="s">
        <v>409</v>
      </c>
      <c r="U55" s="532"/>
      <c r="V55" s="532"/>
      <c r="W55" s="532"/>
      <c r="X55" s="532"/>
      <c r="Y55" s="532"/>
      <c r="Z55" s="532"/>
      <c r="AA55" s="532"/>
      <c r="AB55" s="532"/>
      <c r="AC55" s="532"/>
      <c r="AD55" s="532"/>
      <c r="AE55" s="532"/>
      <c r="AF55" s="532"/>
      <c r="AG55" s="532"/>
      <c r="AH55" s="532"/>
      <c r="AI55" s="532"/>
      <c r="AJ55" s="532"/>
      <c r="AK55" s="532"/>
      <c r="AL55" s="532"/>
      <c r="AM55" s="532"/>
      <c r="AO55" s="130"/>
      <c r="AP55" s="130" t="str">
        <f t="shared" si="13"/>
        <v xml:space="preserve">Добавить централизованную систему для дифференциации</v>
      </c>
      <c r="AQ55" s="130"/>
      <c r="AR55" s="130"/>
      <c r="AS55" s="57">
        <v>1</v>
      </c>
    </row>
    <row r="56" s="57" customFormat="1" ht="1.05" customHeight="1">
      <c r="A56" s="134" t="s">
        <v>164</v>
      </c>
      <c r="B56" s="134"/>
      <c r="C56" s="134"/>
      <c r="D56" s="134"/>
      <c r="E56" s="481"/>
      <c r="F56" s="134"/>
      <c r="G56" s="134"/>
      <c r="H56" s="134"/>
      <c r="I56" s="134"/>
      <c r="J56" s="134"/>
      <c r="K56" s="134"/>
      <c r="L56" s="213"/>
      <c r="M56" s="529"/>
      <c r="N56" s="529"/>
      <c r="O56" s="57"/>
      <c r="P56" s="168"/>
      <c r="Q56" s="525"/>
      <c r="R56" s="168"/>
      <c r="S56" s="530"/>
      <c r="T56" s="533" t="s">
        <v>410</v>
      </c>
      <c r="U56" s="532"/>
      <c r="V56" s="532"/>
      <c r="W56" s="532"/>
      <c r="X56" s="532"/>
      <c r="Y56" s="532"/>
      <c r="Z56" s="532"/>
      <c r="AA56" s="532"/>
      <c r="AB56" s="532"/>
      <c r="AC56" s="532"/>
      <c r="AD56" s="532"/>
      <c r="AE56" s="532"/>
      <c r="AF56" s="532"/>
      <c r="AG56" s="532"/>
      <c r="AH56" s="532"/>
      <c r="AI56" s="532"/>
      <c r="AJ56" s="532"/>
      <c r="AK56" s="532"/>
      <c r="AL56" s="532"/>
      <c r="AM56" s="532"/>
      <c r="AO56" s="130"/>
      <c r="AP56" s="130" t="str">
        <f t="shared" si="13"/>
        <v xml:space="preserve">Добавить территорию для дифференциации</v>
      </c>
      <c r="AQ56" s="130"/>
      <c r="AR56" s="130"/>
      <c r="AS56" s="57">
        <v>1</v>
      </c>
    </row>
    <row r="57" s="57" customFormat="1" ht="1.05" customHeight="1">
      <c r="A57" s="134"/>
      <c r="B57" s="134"/>
      <c r="C57" s="134"/>
      <c r="D57" s="134"/>
      <c r="E57" s="134"/>
      <c r="F57" s="134"/>
      <c r="G57" s="134"/>
      <c r="H57" s="134"/>
      <c r="I57" s="134"/>
      <c r="J57" s="134"/>
      <c r="K57" s="134"/>
      <c r="L57" s="213"/>
      <c r="M57" s="529"/>
      <c r="N57" s="529"/>
      <c r="P57" s="168"/>
      <c r="Q57" s="525"/>
      <c r="R57" s="168"/>
      <c r="S57" s="530"/>
      <c r="T57" s="533" t="s">
        <v>442</v>
      </c>
      <c r="U57" s="532"/>
      <c r="V57" s="532"/>
      <c r="W57" s="532"/>
      <c r="X57" s="532"/>
      <c r="Y57" s="532"/>
      <c r="Z57" s="532"/>
      <c r="AA57" s="532"/>
      <c r="AB57" s="532"/>
      <c r="AC57" s="532"/>
      <c r="AD57" s="532"/>
      <c r="AE57" s="532"/>
      <c r="AF57" s="532"/>
      <c r="AG57" s="532"/>
      <c r="AH57" s="532"/>
      <c r="AI57" s="532"/>
      <c r="AJ57" s="532"/>
      <c r="AK57" s="532"/>
      <c r="AL57" s="532"/>
      <c r="AM57" s="532"/>
      <c r="AO57" s="130"/>
      <c r="AP57" s="130" t="str">
        <f t="shared" si="13"/>
        <v xml:space="preserve">Добавить наименование тарифа</v>
      </c>
      <c r="AQ57" s="130"/>
      <c r="AR57" s="130"/>
      <c r="AS57" s="57">
        <v>1</v>
      </c>
    </row>
    <row r="58" ht="11.5" customHeight="1">
      <c r="M58" s="53"/>
      <c r="N58" s="53"/>
      <c r="O58" s="53"/>
      <c r="P58" s="50"/>
      <c r="Q58" s="50"/>
      <c r="R58" s="50"/>
      <c r="S58" s="50"/>
      <c r="AN58" s="50"/>
      <c r="AO58" s="50"/>
      <c r="AP58" s="50"/>
      <c r="AQ58" s="50"/>
      <c r="AR58" s="50"/>
      <c r="AS58" s="50">
        <v>11</v>
      </c>
    </row>
    <row r="59" ht="19.949999999999999" customHeight="1">
      <c r="O59" s="53"/>
      <c r="S59" s="477"/>
      <c r="T59" s="575"/>
      <c r="U59" s="575"/>
      <c r="V59" s="575"/>
      <c r="W59" s="575"/>
      <c r="X59" s="575"/>
      <c r="Y59" s="575"/>
      <c r="Z59" s="575"/>
      <c r="AA59" s="575"/>
      <c r="AB59" s="575"/>
      <c r="AC59" s="575"/>
      <c r="AD59" s="575"/>
      <c r="AE59" s="575"/>
      <c r="AF59" s="575"/>
      <c r="AG59" s="575"/>
      <c r="AH59" s="575"/>
      <c r="AI59" s="575"/>
      <c r="AJ59" s="575"/>
      <c r="AK59" s="575"/>
      <c r="AL59" s="575"/>
      <c r="AM59" s="575"/>
      <c r="AS59" s="50">
        <v>19</v>
      </c>
    </row>
    <row r="60" ht="29.25" customHeight="1">
      <c r="O60" s="53"/>
      <c r="T60" s="575"/>
      <c r="U60" s="575"/>
      <c r="V60" s="575"/>
      <c r="W60" s="575"/>
      <c r="X60" s="575"/>
      <c r="Y60" s="575"/>
      <c r="Z60" s="575"/>
      <c r="AA60" s="575"/>
      <c r="AB60" s="575"/>
      <c r="AC60" s="575"/>
      <c r="AD60" s="575"/>
      <c r="AE60" s="575"/>
      <c r="AF60" s="575"/>
      <c r="AG60" s="575"/>
      <c r="AH60" s="575"/>
      <c r="AI60" s="575"/>
      <c r="AJ60" s="575"/>
      <c r="AK60" s="575"/>
      <c r="AL60" s="575"/>
      <c r="AM60" s="575"/>
      <c r="AS60" s="50">
        <v>28</v>
      </c>
    </row>
    <row r="61" ht="42" customHeight="1">
      <c r="O61" s="53"/>
      <c r="T61" s="575"/>
      <c r="U61" s="575"/>
      <c r="V61" s="575"/>
      <c r="W61" s="575"/>
      <c r="X61" s="575"/>
      <c r="Y61" s="575"/>
      <c r="Z61" s="575"/>
      <c r="AA61" s="575"/>
      <c r="AB61" s="575"/>
      <c r="AC61" s="575"/>
      <c r="AD61" s="575"/>
      <c r="AE61" s="575"/>
      <c r="AF61" s="575"/>
      <c r="AG61" s="575"/>
      <c r="AH61" s="575"/>
      <c r="AI61" s="575"/>
      <c r="AJ61" s="575"/>
      <c r="AK61" s="575"/>
      <c r="AL61" s="575"/>
      <c r="AM61" s="575"/>
      <c r="AS61" s="50">
        <v>40</v>
      </c>
    </row>
    <row r="62" ht="14.65" customHeight="1">
      <c r="O62" s="53"/>
      <c r="AS62" s="50">
        <v>14</v>
      </c>
    </row>
    <row r="63" ht="21" customHeight="1">
      <c r="O63" s="53"/>
      <c r="S63" s="477"/>
      <c r="T63" s="291"/>
      <c r="U63" s="575"/>
      <c r="V63" s="575"/>
      <c r="W63" s="575"/>
      <c r="X63" s="575"/>
      <c r="Y63" s="575"/>
      <c r="Z63" s="575"/>
      <c r="AA63" s="575"/>
      <c r="AB63" s="575"/>
      <c r="AC63" s="575"/>
      <c r="AD63" s="575"/>
      <c r="AE63" s="575"/>
      <c r="AF63" s="575"/>
      <c r="AG63" s="575"/>
      <c r="AH63" s="575"/>
      <c r="AI63" s="575"/>
      <c r="AJ63" s="575"/>
      <c r="AK63" s="575"/>
      <c r="AL63" s="575"/>
      <c r="AM63" s="575"/>
      <c r="AS63" s="50">
        <v>20</v>
      </c>
    </row>
    <row r="64" ht="29.25" customHeight="1">
      <c r="O64" s="53"/>
      <c r="T64" s="575"/>
      <c r="U64" s="575"/>
      <c r="V64" s="575"/>
      <c r="W64" s="575"/>
      <c r="X64" s="575"/>
      <c r="Y64" s="575"/>
      <c r="Z64" s="575"/>
      <c r="AA64" s="575"/>
      <c r="AB64" s="575"/>
      <c r="AC64" s="575"/>
      <c r="AD64" s="575"/>
      <c r="AE64" s="575"/>
      <c r="AF64" s="575"/>
      <c r="AG64" s="575"/>
      <c r="AH64" s="575"/>
      <c r="AI64" s="575"/>
      <c r="AJ64" s="575"/>
      <c r="AK64" s="575"/>
      <c r="AL64" s="575"/>
      <c r="AM64" s="575"/>
      <c r="AS64" s="50">
        <v>28</v>
      </c>
    </row>
    <row r="65" ht="35.649999999999999" customHeight="1">
      <c r="T65" s="575"/>
      <c r="U65" s="575"/>
      <c r="V65" s="575"/>
      <c r="W65" s="575"/>
      <c r="X65" s="575"/>
      <c r="Y65" s="575"/>
      <c r="Z65" s="575"/>
      <c r="AA65" s="575"/>
      <c r="AB65" s="575"/>
      <c r="AC65" s="575"/>
      <c r="AD65" s="575"/>
      <c r="AE65" s="575"/>
      <c r="AF65" s="575"/>
      <c r="AG65" s="575"/>
      <c r="AH65" s="575"/>
      <c r="AI65" s="575"/>
      <c r="AJ65" s="575"/>
      <c r="AK65" s="575"/>
      <c r="AL65" s="575"/>
      <c r="AM65" s="575"/>
      <c r="AS65" s="50">
        <v>34</v>
      </c>
    </row>
    <row r="66" ht="22.5" hidden="1" customHeight="1">
      <c r="A66" s="53" t="s">
        <v>81</v>
      </c>
      <c r="B66" s="53">
        <v>0</v>
      </c>
      <c r="C66" s="53">
        <v>0</v>
      </c>
      <c r="D66" s="53">
        <v>0</v>
      </c>
      <c r="E66" s="53">
        <v>0</v>
      </c>
      <c r="F66" s="53">
        <v>0</v>
      </c>
      <c r="G66" s="53">
        <v>0</v>
      </c>
      <c r="H66" s="53">
        <v>0</v>
      </c>
      <c r="I66" s="53">
        <v>0</v>
      </c>
      <c r="J66" s="53">
        <v>0</v>
      </c>
      <c r="K66" s="53">
        <v>0</v>
      </c>
      <c r="L66" s="114">
        <v>0</v>
      </c>
      <c r="M66" s="61">
        <v>0</v>
      </c>
      <c r="N66" s="61">
        <v>0</v>
      </c>
      <c r="O66" s="61">
        <v>0</v>
      </c>
      <c r="P66" s="60">
        <v>0</v>
      </c>
      <c r="Q66" s="479">
        <v>3</v>
      </c>
      <c r="R66" s="479">
        <v>3</v>
      </c>
      <c r="S66" s="86">
        <v>12</v>
      </c>
      <c r="T66" s="50">
        <v>31</v>
      </c>
      <c r="U66" s="50">
        <v>0</v>
      </c>
      <c r="V66" s="50">
        <v>0</v>
      </c>
      <c r="W66" s="50">
        <v>0</v>
      </c>
      <c r="X66" s="50">
        <v>0</v>
      </c>
      <c r="Y66" s="50">
        <v>0</v>
      </c>
      <c r="Z66" s="50">
        <v>0</v>
      </c>
      <c r="AA66" s="50">
        <v>0</v>
      </c>
      <c r="AB66" s="50">
        <v>0</v>
      </c>
      <c r="AC66" s="50">
        <v>0</v>
      </c>
      <c r="AD66" s="50">
        <v>24</v>
      </c>
      <c r="AE66" s="50">
        <v>0</v>
      </c>
      <c r="AF66" s="50">
        <v>24</v>
      </c>
      <c r="AG66" s="50">
        <v>24</v>
      </c>
      <c r="AH66" s="50">
        <v>11</v>
      </c>
      <c r="AI66" s="50">
        <v>3</v>
      </c>
      <c r="AJ66" s="50">
        <v>11</v>
      </c>
      <c r="AK66" s="50">
        <v>0</v>
      </c>
      <c r="AL66" s="50">
        <v>4</v>
      </c>
      <c r="AM66" s="50">
        <v>115</v>
      </c>
      <c r="AN66" s="57">
        <v>10</v>
      </c>
      <c r="AO66" s="57">
        <v>10</v>
      </c>
      <c r="AP66" s="57">
        <v>10</v>
      </c>
      <c r="AQ66" s="57">
        <v>10</v>
      </c>
      <c r="AR66" s="57">
        <v>10</v>
      </c>
      <c r="AS66" s="50">
        <v>23</v>
      </c>
    </row>
  </sheetData>
  <sheetProtection autoFilter="0" deleteColumns="1" deleteRows="1" formatCells="1" formatColumns="0" formatRows="0" insertColumns="1" insertHyperlinks="1" insertRows="1" objects="0" pivotTables="1" scenarios="0" selectLockedCells="0" selectUnlockedCells="0" sheet="1" sort="1"/>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K8:K9"/>
    <mergeCell ref="Z8:Z9"/>
    <mergeCell ref="AA8:AA9"/>
    <mergeCell ref="AB8:AB9"/>
    <mergeCell ref="AC8:AC9"/>
    <mergeCell ref="AH8:AH9"/>
    <mergeCell ref="AI8:AI9"/>
    <mergeCell ref="AJ8:AJ9"/>
    <mergeCell ref="AK8:AK9"/>
    <mergeCell ref="AM8:AM10"/>
    <mergeCell ref="AH17:AH18"/>
    <mergeCell ref="AI17:AI18"/>
    <mergeCell ref="AJ17:AJ18"/>
    <mergeCell ref="AK17:AK18"/>
    <mergeCell ref="S26:AJ26"/>
    <mergeCell ref="S27:AJ27"/>
    <mergeCell ref="S29:T29"/>
    <mergeCell ref="V29:AB29"/>
    <mergeCell ref="AD29:AJ29"/>
    <mergeCell ref="S30:T30"/>
    <mergeCell ref="V30:AB30"/>
    <mergeCell ref="AD30:AJ30"/>
    <mergeCell ref="S31:T31"/>
    <mergeCell ref="V31:AB31"/>
    <mergeCell ref="AD31:AJ31"/>
    <mergeCell ref="S32:T32"/>
    <mergeCell ref="V32:AB32"/>
    <mergeCell ref="AD32:AJ32"/>
    <mergeCell ref="S34:T34"/>
    <mergeCell ref="V34:AB34"/>
    <mergeCell ref="AD34:AJ34"/>
    <mergeCell ref="S35:T35"/>
    <mergeCell ref="V35:AB35"/>
    <mergeCell ref="AD35:AJ35"/>
    <mergeCell ref="V37:AC37"/>
    <mergeCell ref="AD37:AK37"/>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AH40:AJ40"/>
    <mergeCell ref="AA41:AB41"/>
    <mergeCell ref="AI41:AJ41"/>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AM49:AM51"/>
    <mergeCell ref="T59:AM59"/>
    <mergeCell ref="T60:AM60"/>
    <mergeCell ref="T61:AM61"/>
    <mergeCell ref="T63:AM63"/>
    <mergeCell ref="T64:AM64"/>
    <mergeCell ref="T65:AM65"/>
  </mergeCells>
  <dataValidations count="4" disablePrompts="0">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type="none" allowBlank="1" errorStyle="stop" imeMode="noControl" operator="between" promptTitle="checkPeriodRange" showDropDown="0" showErrorMessage="0" showInputMessage="0"/>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S131123:AM131129 S196659:AM196665 S262195:AM262201 S327731:AM327737 S393267:AM393273 S458803:AM458809 S524339:AM524345 S589875:AM589881 S655411:AM655417 S720947:AM720953 S786483:AM786489 S852019:AM852025 S917555:AM917561 S983091:AM983097 S65587:AM65593"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6400BE-0091-4AFC-BB3C-009100B7008E}" type="list" allowBlank="1" error="Выберите значение из списка" errorStyle="stop" errorTitle="Ошибка" imeMode="noControl" operator="between" showDropDown="0" showErrorMessage="1" showInputMessage="1">
          <x14:formula1>
            <xm:f>kind_of_heat_transfer</xm:f>
          </x14:formula1>
          <xm:sqref>T65585 T131121 T196657 T262193 T327729 T393265 T458801 T524337 T589873 T655409 T720945 T786481 T852017 T917553 T983089</xm:sqref>
        </x14:dataValidation>
        <x14:dataValidation xr:uid="{00C3001E-009F-4167-854A-00330033001D}" type="textLength" allowBlank="1" error="Допускается ввод не более 900 символов!" errorStyle="stop" errorTitle="Ошибка" imeMode="noControl" operator="lessThanOrEqual" showDropDown="0"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AF0077-00B1-4E88-8D34-00E500A100B9}" type="list" allowBlank="1" error="Выберите значение из списка" errorStyle="stop" errorTitle="Ошибка" imeMode="noControl" operator="between" showDropDown="0"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E50091-0043-4157-A1C2-00BC004D0032}"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9" ySplit="42" topLeftCell="AD43"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4" width="19.140625"/>
    <col customWidth="1" hidden="1" min="13" max="14" style="61" width="12.28125"/>
    <col customWidth="1" hidden="1" min="15" max="15" style="61" width="23.421875"/>
    <col customWidth="1" hidden="1" min="16" max="16" style="60" width="3.7109375"/>
    <col customWidth="1" min="17" max="18" style="479" width="3.00390625"/>
    <col customWidth="1" min="19" max="19" style="86" width="12.00390625"/>
    <col customWidth="1" min="20" max="20" style="50" width="31.00390625"/>
    <col customWidth="1" min="21" max="21" style="50" width="0.140625"/>
    <col customWidth="1" hidden="1" min="22" max="22" style="50" width="24.7109375"/>
    <col customWidth="1" hidden="1" min="23" max="23" style="50" width="0.140625"/>
    <col customWidth="1" hidden="1" min="24" max="25" style="50" width="24.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24.7109375"/>
    <col customWidth="1" min="31" max="31" style="50" width="0.140625"/>
    <col customWidth="1" min="32" max="33" style="50" width="24.00390625"/>
    <col customWidth="1" min="34" max="34" style="50" width="11.00390625"/>
    <col customWidth="1" min="35" max="35" style="50" width="3.7109375"/>
    <col customWidth="1" min="36" max="36" style="50" width="11.00390625"/>
    <col customWidth="1" hidden="1" min="37" max="37" style="50" width="8.57421875"/>
    <col customWidth="1" min="38" max="38" style="50" width="4.00390625"/>
    <col customWidth="1" min="39" max="39" style="50" width="115.00390625"/>
    <col customWidth="1" min="40" max="44" style="57" width="10.00390625"/>
    <col hidden="1" min="45" max="45" style="50" width="10.57421875"/>
  </cols>
  <sheetData>
    <row r="1" ht="22.5" hidden="1" customHeight="1">
      <c r="A1" s="598"/>
      <c r="Y1" s="50"/>
      <c r="Z1" s="50"/>
      <c r="AG1" s="50"/>
      <c r="AH1" s="50"/>
      <c r="AS1" s="50" t="s">
        <v>14</v>
      </c>
    </row>
    <row r="2" ht="21" hidden="1" customHeight="1">
      <c r="A2" s="480"/>
      <c r="B2" s="480"/>
      <c r="C2" s="480"/>
      <c r="D2" s="480"/>
      <c r="E2" s="481">
        <v>1</v>
      </c>
      <c r="F2" s="480"/>
      <c r="G2" s="480"/>
      <c r="H2" s="480"/>
      <c r="I2" s="480"/>
      <c r="J2" s="480"/>
      <c r="K2" s="480"/>
      <c r="L2" s="482"/>
      <c r="M2" s="483"/>
      <c r="N2" s="483"/>
      <c r="O2" s="483"/>
      <c r="P2" s="60"/>
      <c r="Q2" s="144"/>
      <c r="R2" s="484"/>
      <c r="S2" s="485" t="e">
        <f>INDEX(PT_DIFFERENTIATION_NUM_NTAR,MATCH(A2,PT_DIFFERENTIATION_NTAR_ID,0))</f>
        <v>#VALUE!</v>
      </c>
      <c r="T2" s="486" t="s">
        <v>119</v>
      </c>
      <c r="U2" s="487"/>
      <c r="V2" s="488"/>
      <c r="W2" s="489"/>
      <c r="X2" s="489"/>
      <c r="Y2" s="489"/>
      <c r="Z2" s="489"/>
      <c r="AA2" s="489"/>
      <c r="AB2" s="489"/>
      <c r="AC2" s="490"/>
      <c r="AD2" s="488" t="e">
        <f>INDEX(PT_DIFFERENTIATION_NTAR,MATCH(A2,PT_DIFFERENTIATION_NTAR_ID,0))</f>
        <v>#VALUE!</v>
      </c>
      <c r="AE2" s="489"/>
      <c r="AF2" s="489"/>
      <c r="AG2" s="489"/>
      <c r="AH2" s="489"/>
      <c r="AI2" s="489"/>
      <c r="AJ2" s="489"/>
      <c r="AK2" s="489"/>
      <c r="AL2" s="490"/>
      <c r="AM2" s="491" t="s">
        <v>390</v>
      </c>
      <c r="AO2" s="130"/>
      <c r="AP2" s="130" t="str">
        <f t="shared" ref="AP2:AP9" si="14">IF(T2="","",T2)</f>
        <v xml:space="preserve">Наименование тарифа</v>
      </c>
      <c r="AQ2" s="130"/>
      <c r="AR2" s="130"/>
      <c r="AS2" s="50">
        <v>0</v>
      </c>
    </row>
    <row r="3" ht="21" hidden="1" customHeight="1">
      <c r="A3" s="480"/>
      <c r="B3" s="480"/>
      <c r="C3" s="480"/>
      <c r="D3" s="480"/>
      <c r="E3" s="492"/>
      <c r="F3" s="481">
        <v>1</v>
      </c>
      <c r="G3" s="480"/>
      <c r="H3" s="480"/>
      <c r="I3" s="480"/>
      <c r="J3" s="480"/>
      <c r="K3" s="480"/>
      <c r="L3" s="482"/>
      <c r="M3" s="483"/>
      <c r="N3" s="483"/>
      <c r="O3" s="483"/>
      <c r="P3" s="51"/>
      <c r="Q3" s="493"/>
      <c r="R3" s="494"/>
      <c r="S3" s="485" t="e">
        <f>INDEX(PT_DIFFERENTIATION_NUM_TER,MATCH(B3,PT_DIFFERENTIATION_TER_ID,0))</f>
        <v>#VALUE!</v>
      </c>
      <c r="T3" s="495" t="s">
        <v>391</v>
      </c>
      <c r="U3" s="487"/>
      <c r="V3" s="488"/>
      <c r="W3" s="489"/>
      <c r="X3" s="489"/>
      <c r="Y3" s="489"/>
      <c r="Z3" s="489"/>
      <c r="AA3" s="489"/>
      <c r="AB3" s="489"/>
      <c r="AC3" s="490"/>
      <c r="AD3" s="488" t="e">
        <f>INDEX(PT_DIFFERENTIATION_TER,MATCH(B3,PT_DIFFERENTIATION_TER_ID,0))</f>
        <v>#VALUE!</v>
      </c>
      <c r="AE3" s="489"/>
      <c r="AF3" s="489"/>
      <c r="AG3" s="489"/>
      <c r="AH3" s="489"/>
      <c r="AI3" s="489"/>
      <c r="AJ3" s="489"/>
      <c r="AK3" s="489"/>
      <c r="AL3" s="490"/>
      <c r="AM3" s="491" t="s">
        <v>392</v>
      </c>
      <c r="AO3" s="130"/>
      <c r="AP3" s="130" t="str">
        <f t="shared" si="14"/>
        <v xml:space="preserve">Территория действия тарифа</v>
      </c>
      <c r="AQ3" s="130"/>
      <c r="AR3" s="130"/>
      <c r="AS3" s="50">
        <v>0</v>
      </c>
    </row>
    <row r="4" ht="23.25" hidden="1" customHeight="1">
      <c r="A4" s="480"/>
      <c r="B4" s="480"/>
      <c r="C4" s="480"/>
      <c r="D4" s="480"/>
      <c r="E4" s="492"/>
      <c r="F4" s="492"/>
      <c r="G4" s="481">
        <v>1</v>
      </c>
      <c r="H4" s="480"/>
      <c r="I4" s="480"/>
      <c r="J4" s="480"/>
      <c r="K4" s="480"/>
      <c r="L4" s="482"/>
      <c r="M4" s="483"/>
      <c r="N4" s="483"/>
      <c r="O4" s="483"/>
      <c r="P4" s="496"/>
      <c r="Q4" s="493"/>
      <c r="R4" s="494"/>
      <c r="S4" s="599" t="e">
        <f>INDEX(PT_DIFFERENTIATION_NUM_CS,MATCH(C4,PT_DIFFERENTIATION_CS_ID,0))</f>
        <v>#VALUE!</v>
      </c>
      <c r="T4" s="600" t="s">
        <v>393</v>
      </c>
      <c r="U4" s="601"/>
      <c r="V4" s="602"/>
      <c r="W4" s="603"/>
      <c r="X4" s="603"/>
      <c r="Y4" s="603"/>
      <c r="Z4" s="603"/>
      <c r="AA4" s="603"/>
      <c r="AB4" s="603"/>
      <c r="AC4" s="604"/>
      <c r="AD4" s="602" t="e">
        <f>INDEX(PT_DIFFERENTIATION_CS,MATCH(C4,PT_DIFFERENTIATION_CS_ID,0))</f>
        <v>#VALUE!</v>
      </c>
      <c r="AE4" s="603"/>
      <c r="AF4" s="603"/>
      <c r="AG4" s="603"/>
      <c r="AH4" s="603"/>
      <c r="AI4" s="603"/>
      <c r="AJ4" s="603"/>
      <c r="AK4" s="603"/>
      <c r="AL4" s="604"/>
      <c r="AM4" s="491" t="s">
        <v>394</v>
      </c>
      <c r="AO4" s="130"/>
      <c r="AP4" s="130" t="str">
        <f t="shared" si="14"/>
        <v xml:space="preserve">Наименование системы теплоснабжения </v>
      </c>
      <c r="AQ4" s="130"/>
      <c r="AR4" s="130"/>
      <c r="AS4" s="50">
        <v>0</v>
      </c>
    </row>
    <row r="5" ht="21" hidden="1" customHeight="1">
      <c r="A5" s="480"/>
      <c r="B5" s="480"/>
      <c r="C5" s="480"/>
      <c r="D5" s="480"/>
      <c r="E5" s="492"/>
      <c r="F5" s="492"/>
      <c r="G5" s="492"/>
      <c r="H5" s="481">
        <v>1</v>
      </c>
      <c r="I5" s="480"/>
      <c r="J5" s="480"/>
      <c r="K5" s="480"/>
      <c r="L5" s="482"/>
      <c r="M5" s="483"/>
      <c r="N5" s="483"/>
      <c r="O5" s="483"/>
      <c r="P5" s="496"/>
      <c r="Q5" s="493"/>
      <c r="R5" s="50"/>
      <c r="S5" s="485" t="e">
        <f>INDEX(PT_DIFFERENTIATION_NUM_IST_TE,MATCH(D5,PT_DIFFERENTIATION_IST_TE_ID,0))</f>
        <v>#VALUE!</v>
      </c>
      <c r="T5" s="498" t="s">
        <v>395</v>
      </c>
      <c r="U5" s="487"/>
      <c r="V5" s="605"/>
      <c r="W5" s="605"/>
      <c r="X5" s="605"/>
      <c r="Y5" s="605"/>
      <c r="Z5" s="605"/>
      <c r="AA5" s="605"/>
      <c r="AB5" s="605"/>
      <c r="AC5" s="605"/>
      <c r="AD5" s="605" t="e">
        <f>INDEX(PT_DIFFERENTIATION_IST_TE,MATCH(D5,PT_DIFFERENTIATION_IST_TE_ID,0))</f>
        <v>#VALUE!</v>
      </c>
      <c r="AE5" s="605"/>
      <c r="AF5" s="605"/>
      <c r="AG5" s="605"/>
      <c r="AH5" s="605"/>
      <c r="AI5" s="605"/>
      <c r="AJ5" s="605"/>
      <c r="AK5" s="605"/>
      <c r="AL5" s="605"/>
      <c r="AM5" s="606" t="s">
        <v>396</v>
      </c>
      <c r="AO5" s="130"/>
      <c r="AP5" s="130" t="str">
        <f t="shared" si="14"/>
        <v xml:space="preserve">Источник тепловой энергии  </v>
      </c>
      <c r="AQ5" s="130"/>
      <c r="AR5" s="130"/>
      <c r="AS5" s="50">
        <v>0</v>
      </c>
    </row>
    <row r="6" ht="0.75" hidden="1" customHeight="1">
      <c r="A6" s="480"/>
      <c r="B6" s="480"/>
      <c r="C6" s="480"/>
      <c r="D6" s="480"/>
      <c r="E6" s="492"/>
      <c r="F6" s="492"/>
      <c r="G6" s="492"/>
      <c r="H6" s="492"/>
      <c r="I6" s="499" t="e">
        <f>S5&amp;".1"</f>
        <v>#VALUE!</v>
      </c>
      <c r="J6" s="480"/>
      <c r="K6" s="480"/>
      <c r="L6" s="482" t="s">
        <v>397</v>
      </c>
      <c r="M6" s="53"/>
      <c r="P6" s="133">
        <v>1</v>
      </c>
      <c r="Q6" s="133"/>
      <c r="R6" s="133"/>
      <c r="S6" s="352"/>
      <c r="T6" s="587"/>
      <c r="U6" s="588"/>
      <c r="V6" s="352"/>
      <c r="W6" s="352"/>
      <c r="X6" s="352"/>
      <c r="Y6" s="352"/>
      <c r="Z6" s="352"/>
      <c r="AA6" s="352"/>
      <c r="AB6" s="352"/>
      <c r="AC6" s="352"/>
      <c r="AD6" s="352"/>
      <c r="AE6" s="352"/>
      <c r="AF6" s="352"/>
      <c r="AG6" s="352"/>
      <c r="AH6" s="352"/>
      <c r="AI6" s="352"/>
      <c r="AJ6" s="352"/>
      <c r="AK6" s="352"/>
      <c r="AL6" s="352"/>
      <c r="AM6" s="607"/>
      <c r="AO6" s="130"/>
      <c r="AP6" s="130" t="str">
        <f t="shared" si="14"/>
        <v/>
      </c>
      <c r="AQ6" s="130"/>
      <c r="AR6" s="130"/>
      <c r="AS6" s="50">
        <v>0</v>
      </c>
    </row>
    <row r="7" ht="84" hidden="1" customHeight="1">
      <c r="A7" s="480"/>
      <c r="B7" s="480"/>
      <c r="C7" s="480"/>
      <c r="D7" s="480"/>
      <c r="E7" s="492"/>
      <c r="F7" s="492"/>
      <c r="G7" s="492"/>
      <c r="H7" s="492"/>
      <c r="I7" s="504"/>
      <c r="J7" s="499" t="e">
        <f>I6&amp;".1"</f>
        <v>#VALUE!</v>
      </c>
      <c r="K7" s="480"/>
      <c r="L7" s="482" t="s">
        <v>400</v>
      </c>
      <c r="M7" s="53"/>
      <c r="N7" s="53"/>
      <c r="P7" s="133"/>
      <c r="Q7" s="133">
        <v>1</v>
      </c>
      <c r="R7" s="57"/>
      <c r="S7" s="485" t="e">
        <f>$J7</f>
        <v>#VALUE!</v>
      </c>
      <c r="T7" s="506" t="s">
        <v>401</v>
      </c>
      <c r="U7" s="487"/>
      <c r="V7" s="608"/>
      <c r="W7" s="608"/>
      <c r="X7" s="608"/>
      <c r="Y7" s="608"/>
      <c r="Z7" s="608"/>
      <c r="AA7" s="608"/>
      <c r="AB7" s="608"/>
      <c r="AC7" s="608"/>
      <c r="AD7" s="608"/>
      <c r="AE7" s="608"/>
      <c r="AF7" s="608"/>
      <c r="AG7" s="608"/>
      <c r="AH7" s="608"/>
      <c r="AI7" s="608"/>
      <c r="AJ7" s="608"/>
      <c r="AK7" s="608"/>
      <c r="AL7" s="608"/>
      <c r="AM7" s="606" t="s">
        <v>402</v>
      </c>
      <c r="AO7" s="130"/>
      <c r="AP7" s="130" t="str">
        <f t="shared" si="14"/>
        <v xml:space="preserve">Группа потребителей</v>
      </c>
      <c r="AQ7" s="130"/>
      <c r="AR7" s="130"/>
      <c r="AS7" s="50">
        <v>0</v>
      </c>
    </row>
    <row r="8" ht="11.25" hidden="1" customHeight="1">
      <c r="A8" s="480"/>
      <c r="B8" s="480"/>
      <c r="C8" s="480"/>
      <c r="D8" s="480"/>
      <c r="E8" s="492"/>
      <c r="F8" s="492"/>
      <c r="G8" s="492"/>
      <c r="H8" s="492"/>
      <c r="I8" s="504"/>
      <c r="J8" s="504"/>
      <c r="K8" s="499" t="e">
        <f>J7&amp;".1"</f>
        <v>#VALUE!</v>
      </c>
      <c r="L8" s="482" t="s">
        <v>403</v>
      </c>
      <c r="M8" s="53"/>
      <c r="N8" s="53"/>
      <c r="O8" s="53"/>
      <c r="P8" s="133"/>
      <c r="Q8" s="133"/>
      <c r="R8" s="505">
        <v>1</v>
      </c>
      <c r="S8" s="609" t="e">
        <f>$K8</f>
        <v>#VALUE!</v>
      </c>
      <c r="T8" s="610"/>
      <c r="U8" s="611"/>
      <c r="V8" s="612"/>
      <c r="W8" s="574"/>
      <c r="X8" s="612"/>
      <c r="Y8" s="613"/>
      <c r="Z8" s="614"/>
      <c r="AA8" s="221" t="s">
        <v>64</v>
      </c>
      <c r="AB8" s="614"/>
      <c r="AC8" s="221" t="s">
        <v>64</v>
      </c>
      <c r="AD8" s="612"/>
      <c r="AE8" s="574"/>
      <c r="AF8" s="612"/>
      <c r="AG8" s="613"/>
      <c r="AH8" s="614"/>
      <c r="AI8" s="221" t="s">
        <v>64</v>
      </c>
      <c r="AJ8" s="614"/>
      <c r="AK8" s="221" t="s">
        <v>64</v>
      </c>
      <c r="AL8" s="574"/>
      <c r="AM8" s="512" t="s">
        <v>404</v>
      </c>
      <c r="AN8" s="57" t="e">
        <f>STRCHECKDATE(V9:AL9)</f>
        <v>#NAME?</v>
      </c>
      <c r="AO8" s="130"/>
      <c r="AP8" s="130" t="str">
        <f t="shared" si="14"/>
        <v/>
      </c>
      <c r="AQ8" s="130"/>
      <c r="AR8" s="130"/>
      <c r="AS8" s="50">
        <v>0</v>
      </c>
    </row>
    <row r="9" ht="0.75" hidden="1" customHeight="1">
      <c r="A9" s="480"/>
      <c r="B9" s="480"/>
      <c r="C9" s="480"/>
      <c r="D9" s="480"/>
      <c r="E9" s="492"/>
      <c r="F9" s="492"/>
      <c r="G9" s="492"/>
      <c r="H9" s="492"/>
      <c r="I9" s="504"/>
      <c r="J9" s="504"/>
      <c r="K9" s="499"/>
      <c r="L9" s="482"/>
      <c r="M9" s="53"/>
      <c r="N9" s="53"/>
      <c r="O9" s="53"/>
      <c r="P9" s="133"/>
      <c r="Q9" s="133"/>
      <c r="R9" s="505"/>
      <c r="S9" s="459"/>
      <c r="T9" s="487"/>
      <c r="U9" s="487"/>
      <c r="V9" s="509"/>
      <c r="W9" s="509"/>
      <c r="X9" s="509"/>
      <c r="Y9" s="513" t="str">
        <f>Z8&amp;"-"&amp;AB8</f>
        <v>-</v>
      </c>
      <c r="Z9" s="514"/>
      <c r="AA9" s="225"/>
      <c r="AB9" s="514"/>
      <c r="AC9" s="225"/>
      <c r="AD9" s="509"/>
      <c r="AE9" s="509"/>
      <c r="AF9" s="509"/>
      <c r="AG9" s="513" t="str">
        <f>AH8&amp;"-"&amp;AJ8</f>
        <v>-</v>
      </c>
      <c r="AH9" s="514"/>
      <c r="AI9" s="225"/>
      <c r="AJ9" s="514"/>
      <c r="AK9" s="225"/>
      <c r="AL9" s="509"/>
      <c r="AM9" s="515"/>
      <c r="AO9" s="130"/>
      <c r="AP9" s="130" t="str">
        <f t="shared" si="14"/>
        <v/>
      </c>
      <c r="AQ9" s="130"/>
      <c r="AR9" s="130"/>
      <c r="AS9" s="50">
        <v>0</v>
      </c>
    </row>
    <row r="10" ht="11.25" hidden="1" customHeight="1">
      <c r="A10" s="480"/>
      <c r="B10" s="480"/>
      <c r="C10" s="480"/>
      <c r="D10" s="480"/>
      <c r="E10" s="492"/>
      <c r="F10" s="492"/>
      <c r="G10" s="492"/>
      <c r="H10" s="492"/>
      <c r="I10" s="504"/>
      <c r="J10" s="499"/>
      <c r="K10" s="480"/>
      <c r="L10" s="482"/>
      <c r="M10" s="53"/>
      <c r="N10" s="53"/>
      <c r="P10" s="133"/>
      <c r="Q10" s="133"/>
      <c r="R10" s="500"/>
      <c r="S10" s="516"/>
      <c r="T10" s="520" t="s">
        <v>405</v>
      </c>
      <c r="U10" s="215"/>
      <c r="V10" s="215"/>
      <c r="W10" s="215"/>
      <c r="X10" s="215"/>
      <c r="Y10" s="215"/>
      <c r="Z10" s="215"/>
      <c r="AA10" s="215"/>
      <c r="AB10" s="215"/>
      <c r="AC10" s="215"/>
      <c r="AD10" s="215"/>
      <c r="AE10" s="215"/>
      <c r="AF10" s="215"/>
      <c r="AG10" s="215"/>
      <c r="AH10" s="215"/>
      <c r="AI10" s="215"/>
      <c r="AJ10" s="215"/>
      <c r="AK10" s="215"/>
      <c r="AL10" s="518"/>
      <c r="AM10" s="519"/>
      <c r="AO10" s="130"/>
      <c r="AP10" s="130" t="str">
        <f t="shared" ref="AP10:AP57" si="15">IF(T10="","",T10)</f>
        <v xml:space="preserve">Добавить вид теплоносителя (параметры теплоносителя)</v>
      </c>
      <c r="AQ10" s="130"/>
      <c r="AR10" s="130"/>
      <c r="AS10" s="50">
        <v>0</v>
      </c>
    </row>
    <row r="11" ht="11.25" hidden="1" customHeight="1">
      <c r="A11" s="480"/>
      <c r="B11" s="480"/>
      <c r="C11" s="480"/>
      <c r="D11" s="480"/>
      <c r="E11" s="492"/>
      <c r="F11" s="492"/>
      <c r="G11" s="492"/>
      <c r="H11" s="492"/>
      <c r="I11" s="499"/>
      <c r="J11" s="480"/>
      <c r="K11" s="480"/>
      <c r="L11" s="482"/>
      <c r="M11" s="53"/>
      <c r="P11" s="133"/>
      <c r="Q11" s="133"/>
      <c r="R11" s="500"/>
      <c r="S11" s="516"/>
      <c r="T11" s="524" t="s">
        <v>406</v>
      </c>
      <c r="U11" s="215"/>
      <c r="V11" s="215"/>
      <c r="W11" s="215"/>
      <c r="X11" s="215"/>
      <c r="Y11" s="215"/>
      <c r="Z11" s="215"/>
      <c r="AA11" s="215"/>
      <c r="AB11" s="215"/>
      <c r="AC11" s="521"/>
      <c r="AD11" s="215"/>
      <c r="AE11" s="215"/>
      <c r="AF11" s="215"/>
      <c r="AG11" s="215"/>
      <c r="AH11" s="215"/>
      <c r="AI11" s="215"/>
      <c r="AJ11" s="215"/>
      <c r="AK11" s="521"/>
      <c r="AL11" s="215"/>
      <c r="AM11" s="522"/>
      <c r="AO11" s="130"/>
      <c r="AP11" s="130" t="str">
        <f t="shared" si="15"/>
        <v xml:space="preserve">Добавить группу потребителей</v>
      </c>
      <c r="AQ11" s="130"/>
      <c r="AR11" s="130"/>
      <c r="AS11" s="50">
        <v>0</v>
      </c>
    </row>
    <row r="12" ht="0.75" hidden="1" customHeight="1">
      <c r="A12" s="480"/>
      <c r="B12" s="480"/>
      <c r="C12" s="480"/>
      <c r="D12" s="480"/>
      <c r="E12" s="492"/>
      <c r="F12" s="492"/>
      <c r="G12" s="492"/>
      <c r="H12" s="481"/>
      <c r="I12" s="480"/>
      <c r="J12" s="480"/>
      <c r="K12" s="480"/>
      <c r="L12" s="482"/>
      <c r="M12" s="483"/>
      <c r="N12" s="483"/>
      <c r="O12" s="53"/>
      <c r="P12" s="144"/>
      <c r="Q12" s="523"/>
      <c r="R12" s="484"/>
      <c r="S12" s="593"/>
      <c r="T12" s="594"/>
      <c r="U12" s="595"/>
      <c r="V12" s="595"/>
      <c r="W12" s="595"/>
      <c r="X12" s="595"/>
      <c r="Y12" s="595"/>
      <c r="Z12" s="595"/>
      <c r="AA12" s="595"/>
      <c r="AB12" s="595"/>
      <c r="AC12" s="595"/>
      <c r="AD12" s="595"/>
      <c r="AE12" s="595"/>
      <c r="AF12" s="595"/>
      <c r="AG12" s="595"/>
      <c r="AH12" s="595"/>
      <c r="AI12" s="595"/>
      <c r="AJ12" s="595"/>
      <c r="AK12" s="595"/>
      <c r="AL12" s="595"/>
      <c r="AM12" s="596"/>
      <c r="AO12" s="130"/>
      <c r="AP12" s="130" t="str">
        <f t="shared" si="15"/>
        <v/>
      </c>
      <c r="AQ12" s="130"/>
      <c r="AR12" s="130"/>
      <c r="AS12" s="50">
        <v>0</v>
      </c>
    </row>
    <row r="13" s="57" customFormat="1" ht="0.75" hidden="1" customHeight="1">
      <c r="A13" s="134"/>
      <c r="B13" s="134"/>
      <c r="C13" s="134"/>
      <c r="D13" s="134"/>
      <c r="E13" s="492"/>
      <c r="F13" s="492"/>
      <c r="G13" s="481"/>
      <c r="H13" s="134"/>
      <c r="I13" s="134"/>
      <c r="J13" s="134"/>
      <c r="K13" s="134"/>
      <c r="L13" s="213"/>
      <c r="M13" s="465"/>
      <c r="N13" s="465"/>
      <c r="P13" s="168"/>
      <c r="Q13" s="525"/>
      <c r="R13" s="168"/>
      <c r="S13" s="526"/>
      <c r="T13" s="527" t="s">
        <v>408</v>
      </c>
      <c r="U13" s="528"/>
      <c r="V13" s="528"/>
      <c r="W13" s="528"/>
      <c r="X13" s="528"/>
      <c r="Y13" s="528"/>
      <c r="Z13" s="528"/>
      <c r="AA13" s="528"/>
      <c r="AB13" s="528"/>
      <c r="AC13" s="528"/>
      <c r="AD13" s="528"/>
      <c r="AE13" s="528"/>
      <c r="AF13" s="528"/>
      <c r="AG13" s="528"/>
      <c r="AH13" s="528"/>
      <c r="AI13" s="528"/>
      <c r="AJ13" s="528"/>
      <c r="AK13" s="528"/>
      <c r="AL13" s="528"/>
      <c r="AM13" s="528"/>
      <c r="AO13" s="130"/>
      <c r="AP13" s="130" t="str">
        <f t="shared" si="15"/>
        <v xml:space="preserve">Добавить источник для дифференциации</v>
      </c>
      <c r="AQ13" s="130"/>
      <c r="AR13" s="130"/>
      <c r="AS13" s="57">
        <v>0</v>
      </c>
    </row>
    <row r="14" s="57" customFormat="1" ht="0.75" hidden="1" customHeight="1">
      <c r="A14" s="134"/>
      <c r="B14" s="134"/>
      <c r="C14" s="134"/>
      <c r="D14" s="134"/>
      <c r="E14" s="492"/>
      <c r="F14" s="481"/>
      <c r="G14" s="134"/>
      <c r="H14" s="134"/>
      <c r="I14" s="134"/>
      <c r="J14" s="134"/>
      <c r="K14" s="134"/>
      <c r="L14" s="213"/>
      <c r="M14" s="529"/>
      <c r="N14" s="529"/>
      <c r="P14" s="168"/>
      <c r="Q14" s="525"/>
      <c r="R14" s="168"/>
      <c r="S14" s="530"/>
      <c r="T14" s="531" t="s">
        <v>409</v>
      </c>
      <c r="U14" s="532"/>
      <c r="V14" s="532"/>
      <c r="W14" s="532"/>
      <c r="X14" s="532"/>
      <c r="Y14" s="532"/>
      <c r="Z14" s="532"/>
      <c r="AA14" s="532"/>
      <c r="AB14" s="532"/>
      <c r="AC14" s="532"/>
      <c r="AD14" s="532"/>
      <c r="AE14" s="532"/>
      <c r="AF14" s="532"/>
      <c r="AG14" s="532"/>
      <c r="AH14" s="532"/>
      <c r="AI14" s="532"/>
      <c r="AJ14" s="532"/>
      <c r="AK14" s="532"/>
      <c r="AL14" s="532"/>
      <c r="AM14" s="532"/>
      <c r="AO14" s="130"/>
      <c r="AP14" s="130" t="str">
        <f t="shared" si="15"/>
        <v xml:space="preserve">Добавить централизованную систему для дифференциации</v>
      </c>
      <c r="AQ14" s="130"/>
      <c r="AR14" s="130"/>
      <c r="AS14" s="57">
        <v>0</v>
      </c>
    </row>
    <row r="15" s="57" customFormat="1" ht="0.75" hidden="1" customHeight="1">
      <c r="A15" s="134"/>
      <c r="B15" s="134"/>
      <c r="C15" s="134"/>
      <c r="D15" s="134"/>
      <c r="E15" s="481"/>
      <c r="F15" s="134"/>
      <c r="G15" s="134"/>
      <c r="H15" s="134"/>
      <c r="I15" s="134"/>
      <c r="J15" s="134"/>
      <c r="K15" s="134"/>
      <c r="L15" s="213"/>
      <c r="M15" s="529"/>
      <c r="N15" s="529"/>
      <c r="P15" s="168"/>
      <c r="Q15" s="525"/>
      <c r="R15" s="168"/>
      <c r="S15" s="530"/>
      <c r="T15" s="533" t="s">
        <v>410</v>
      </c>
      <c r="U15" s="532"/>
      <c r="V15" s="532"/>
      <c r="W15" s="532"/>
      <c r="X15" s="532"/>
      <c r="Y15" s="532"/>
      <c r="Z15" s="532"/>
      <c r="AA15" s="532"/>
      <c r="AB15" s="532"/>
      <c r="AC15" s="532"/>
      <c r="AD15" s="532"/>
      <c r="AE15" s="532"/>
      <c r="AF15" s="532"/>
      <c r="AG15" s="532"/>
      <c r="AH15" s="532"/>
      <c r="AI15" s="532"/>
      <c r="AJ15" s="532"/>
      <c r="AK15" s="532"/>
      <c r="AL15" s="532"/>
      <c r="AM15" s="532"/>
      <c r="AO15" s="130"/>
      <c r="AP15" s="130" t="str">
        <f t="shared" si="15"/>
        <v xml:space="preserve">Добавить территорию для дифференциации</v>
      </c>
      <c r="AQ15" s="130"/>
      <c r="AR15" s="130"/>
      <c r="AS15" s="57">
        <v>0</v>
      </c>
    </row>
    <row r="16" ht="14.25" hidden="1" customHeight="1">
      <c r="AC16" s="50"/>
      <c r="AK16" s="50"/>
      <c r="AS16" s="50">
        <v>0</v>
      </c>
    </row>
    <row r="17" ht="14.25" hidden="1" customHeight="1">
      <c r="AD17" s="534"/>
      <c r="AE17" s="534"/>
      <c r="AF17" s="534"/>
      <c r="AG17" s="535"/>
      <c r="AH17" s="536"/>
      <c r="AI17" s="537" t="s">
        <v>64</v>
      </c>
      <c r="AJ17" s="536"/>
      <c r="AK17" s="537" t="s">
        <v>64</v>
      </c>
      <c r="AS17" s="50">
        <v>0</v>
      </c>
    </row>
    <row r="18" ht="14.25" hidden="1" customHeight="1">
      <c r="AD18" s="534"/>
      <c r="AE18" s="534"/>
      <c r="AF18" s="534"/>
      <c r="AG18" s="513" t="str">
        <f>AH17&amp;"-"&amp;AJ17</f>
        <v>-</v>
      </c>
      <c r="AH18" s="537"/>
      <c r="AI18" s="537"/>
      <c r="AJ18" s="537"/>
      <c r="AK18" s="537"/>
      <c r="AS18" s="50">
        <v>0</v>
      </c>
    </row>
    <row r="19" ht="14.25" hidden="1" customHeight="1">
      <c r="AK19" s="50"/>
      <c r="AS19" s="50">
        <v>0</v>
      </c>
    </row>
    <row r="20" s="53" customFormat="1" ht="22.5" hidden="1" customHeight="1">
      <c r="L20" s="114"/>
      <c r="M20" s="61"/>
      <c r="N20" s="61"/>
      <c r="O20" s="538" t="s">
        <v>411</v>
      </c>
      <c r="P20" s="61"/>
      <c r="Q20" s="539"/>
      <c r="R20" s="539"/>
      <c r="S20" s="483"/>
      <c r="Z20" s="538"/>
      <c r="AB20" s="538"/>
      <c r="AC20" s="53"/>
      <c r="AH20" s="538"/>
      <c r="AJ20" s="538"/>
      <c r="AK20" s="53"/>
      <c r="AN20" s="57"/>
      <c r="AO20" s="57"/>
      <c r="AP20" s="57"/>
      <c r="AQ20" s="57"/>
      <c r="AR20" s="57"/>
      <c r="AS20" s="53">
        <v>0</v>
      </c>
    </row>
    <row r="21" s="53" customFormat="1" ht="14.25" hidden="1" customHeight="1">
      <c r="L21" s="114"/>
      <c r="M21" s="61"/>
      <c r="N21" s="61"/>
      <c r="O21" s="61"/>
      <c r="P21" s="61"/>
      <c r="Q21" s="539"/>
      <c r="R21" s="539"/>
      <c r="S21" s="483"/>
      <c r="AC21" s="53"/>
      <c r="AK21" s="53"/>
      <c r="AN21" s="57"/>
      <c r="AO21" s="57"/>
      <c r="AP21" s="57"/>
      <c r="AQ21" s="57"/>
      <c r="AR21" s="57"/>
      <c r="AS21" s="53">
        <v>0</v>
      </c>
    </row>
    <row r="22" s="53" customFormat="1" ht="14.25" hidden="1" customHeight="1">
      <c r="L22" s="114"/>
      <c r="M22" s="61"/>
      <c r="N22" s="61"/>
      <c r="O22" s="482" t="s">
        <v>412</v>
      </c>
      <c r="P22" s="61"/>
      <c r="Q22" s="539"/>
      <c r="R22" s="539"/>
      <c r="S22" s="483"/>
      <c r="T22" s="53" t="s">
        <v>413</v>
      </c>
      <c r="AA22" s="152" t="s">
        <v>414</v>
      </c>
      <c r="AC22" s="152" t="s">
        <v>415</v>
      </c>
      <c r="AD22" s="53" t="s">
        <v>413</v>
      </c>
      <c r="AI22" s="152" t="s">
        <v>416</v>
      </c>
      <c r="AK22" s="152" t="s">
        <v>415</v>
      </c>
      <c r="AN22" s="57"/>
      <c r="AO22" s="57"/>
      <c r="AP22" s="57"/>
      <c r="AQ22" s="57"/>
      <c r="AR22" s="57"/>
      <c r="AS22" s="53">
        <v>0</v>
      </c>
    </row>
    <row r="23" ht="14.25" hidden="1" customHeight="1">
      <c r="O23" s="482"/>
      <c r="AS23" s="50">
        <v>0</v>
      </c>
    </row>
    <row r="24" ht="14.25" hidden="1" customHeight="1">
      <c r="O24" s="482"/>
      <c r="AS24" s="50">
        <v>0</v>
      </c>
    </row>
    <row r="25" ht="14.65" customHeight="1">
      <c r="Q25" s="540"/>
      <c r="R25" s="540"/>
      <c r="S25" s="541"/>
      <c r="T25" s="91"/>
      <c r="U25" s="91"/>
      <c r="V25" s="50"/>
      <c r="W25" s="50"/>
      <c r="X25" s="50"/>
      <c r="Y25" s="50"/>
      <c r="Z25" s="50"/>
      <c r="AA25" s="50"/>
      <c r="AB25" s="50"/>
      <c r="AC25" s="50"/>
      <c r="AD25" s="50"/>
      <c r="AE25" s="50"/>
      <c r="AF25" s="50"/>
      <c r="AG25" s="50"/>
      <c r="AH25" s="50"/>
      <c r="AI25" s="50"/>
      <c r="AJ25" s="50"/>
      <c r="AK25" s="50"/>
      <c r="AS25" s="50">
        <v>14</v>
      </c>
    </row>
    <row r="26" ht="54.75" customHeight="1">
      <c r="Q26" s="540"/>
      <c r="R26" s="540"/>
      <c r="S26" s="299" t="str">
        <f>IF(TEMPLATE_GROUP="P",PT_P_FORM_HEAT_5_NAME_FORM,PT_R_FORM_HEAT_22_NAME_FORM)</f>
        <v xml:space="preserve">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99"/>
      <c r="U26" s="299"/>
      <c r="V26" s="299"/>
      <c r="W26" s="299"/>
      <c r="X26" s="299"/>
      <c r="Y26" s="299"/>
      <c r="Z26" s="299"/>
      <c r="AA26" s="299"/>
      <c r="AB26" s="299"/>
      <c r="AC26" s="299"/>
      <c r="AD26" s="299"/>
      <c r="AE26" s="299"/>
      <c r="AF26" s="299"/>
      <c r="AG26" s="299"/>
      <c r="AH26" s="299"/>
      <c r="AI26" s="299"/>
      <c r="AJ26" s="299"/>
      <c r="AK26" s="241"/>
      <c r="AS26" s="50">
        <v>52</v>
      </c>
    </row>
    <row r="27" ht="14.65" customHeight="1">
      <c r="Q27" s="540"/>
      <c r="R27" s="540"/>
      <c r="S27" s="304" t="str">
        <f>IF(org=0,"Не определено",org)</f>
        <v xml:space="preserve">АО "ДГК" СП "Биробиджанская ТЭЦ"</v>
      </c>
      <c r="T27" s="304"/>
      <c r="U27" s="304"/>
      <c r="V27" s="304"/>
      <c r="W27" s="304"/>
      <c r="X27" s="304"/>
      <c r="Y27" s="304"/>
      <c r="Z27" s="304"/>
      <c r="AA27" s="304"/>
      <c r="AB27" s="304"/>
      <c r="AC27" s="304"/>
      <c r="AD27" s="304"/>
      <c r="AE27" s="304"/>
      <c r="AF27" s="304"/>
      <c r="AG27" s="304"/>
      <c r="AH27" s="304"/>
      <c r="AI27" s="304"/>
      <c r="AJ27" s="304"/>
      <c r="AK27" s="241"/>
      <c r="AS27" s="50">
        <v>14</v>
      </c>
    </row>
    <row r="28" ht="14.25" hidden="1" customHeight="1">
      <c r="Q28" s="540"/>
      <c r="R28" s="540"/>
      <c r="S28" s="541"/>
      <c r="T28" s="91"/>
      <c r="U28" s="91"/>
      <c r="V28" s="542"/>
      <c r="W28" s="542"/>
      <c r="X28" s="542"/>
      <c r="Y28" s="542"/>
      <c r="Z28" s="542"/>
      <c r="AA28" s="542"/>
      <c r="AB28" s="542"/>
      <c r="AC28" s="542"/>
      <c r="AD28" s="542"/>
      <c r="AE28" s="542"/>
      <c r="AF28" s="542"/>
      <c r="AG28" s="542"/>
      <c r="AH28" s="542"/>
      <c r="AI28" s="542"/>
      <c r="AJ28" s="542"/>
      <c r="AK28" s="542"/>
      <c r="AL28" s="50"/>
      <c r="AS28" s="50">
        <v>0</v>
      </c>
    </row>
    <row r="29" s="185" customFormat="1" ht="25.5" hidden="1" customHeight="1">
      <c r="A29" s="152"/>
      <c r="B29" s="152"/>
      <c r="C29" s="152"/>
      <c r="D29" s="152"/>
      <c r="E29" s="152"/>
      <c r="F29" s="152"/>
      <c r="G29" s="152"/>
      <c r="H29" s="152"/>
      <c r="I29" s="152"/>
      <c r="J29" s="152"/>
      <c r="K29" s="152"/>
      <c r="L29" s="482"/>
      <c r="M29" s="152"/>
      <c r="N29" s="152"/>
      <c r="O29" s="152"/>
      <c r="S29" s="543" t="s">
        <v>41</v>
      </c>
      <c r="T29" s="543"/>
      <c r="U29" s="544"/>
      <c r="V29" s="545" t="str">
        <f>IF(TITLE_NAME_OR_PR_CHANGE="",IF(TITLE_NAME_OR_PR="","",TITLE_NAME_OR_PR),TITLE_NAME_OR_PR_CHANGE)</f>
        <v/>
      </c>
      <c r="W29" s="545"/>
      <c r="X29" s="545"/>
      <c r="Y29" s="545"/>
      <c r="Z29" s="545"/>
      <c r="AA29" s="545"/>
      <c r="AB29" s="545"/>
      <c r="AC29" s="50"/>
      <c r="AD29" s="545" t="str">
        <f>IF(TITLE_NAME_OR_PR_CHANGE="",IF(TITLE_NAME_OR_PR="","",TITLE_NAME_OR_PR),TITLE_NAME_OR_PR_CHANGE)</f>
        <v/>
      </c>
      <c r="AE29" s="545"/>
      <c r="AF29" s="545"/>
      <c r="AG29" s="545"/>
      <c r="AH29" s="545"/>
      <c r="AI29" s="545"/>
      <c r="AJ29" s="545"/>
      <c r="AK29" s="50"/>
      <c r="AL29" s="50"/>
      <c r="AM29" s="546"/>
      <c r="AN29" s="130"/>
      <c r="AO29" s="130"/>
      <c r="AP29" s="130"/>
      <c r="AQ29" s="130"/>
      <c r="AR29" s="130"/>
      <c r="AS29" s="185">
        <v>0</v>
      </c>
    </row>
    <row r="30" s="185" customFormat="1" ht="18.75" hidden="1" customHeight="1">
      <c r="A30" s="152"/>
      <c r="B30" s="152"/>
      <c r="C30" s="152"/>
      <c r="D30" s="152"/>
      <c r="E30" s="152"/>
      <c r="F30" s="152"/>
      <c r="G30" s="152"/>
      <c r="H30" s="152"/>
      <c r="I30" s="152"/>
      <c r="J30" s="152"/>
      <c r="K30" s="152"/>
      <c r="L30" s="482"/>
      <c r="M30" s="152"/>
      <c r="N30" s="152"/>
      <c r="O30" s="152"/>
      <c r="S30" s="543" t="s">
        <v>417</v>
      </c>
      <c r="T30" s="543"/>
      <c r="U30" s="544"/>
      <c r="V30" s="547" t="str">
        <f>IF(TITLE_DATE_PR_CHANGE="",IF(TITLE_DATE_PR="","",TITLE_DATE_PR),TITLE_DATE_PR_CHANGE)</f>
        <v/>
      </c>
      <c r="W30" s="547"/>
      <c r="X30" s="547"/>
      <c r="Y30" s="547"/>
      <c r="Z30" s="547"/>
      <c r="AA30" s="547"/>
      <c r="AB30" s="547"/>
      <c r="AC30" s="50"/>
      <c r="AD30" s="547" t="str">
        <f>IF(TITLE_DATE_PR_CHANGE="",IF(TITLE_DATE_PR="","",TITLE_DATE_PR),TITLE_DATE_PR_CHANGE)</f>
        <v/>
      </c>
      <c r="AE30" s="547"/>
      <c r="AF30" s="547"/>
      <c r="AG30" s="547"/>
      <c r="AH30" s="547"/>
      <c r="AI30" s="547"/>
      <c r="AJ30" s="547"/>
      <c r="AK30" s="50"/>
      <c r="AL30" s="50"/>
      <c r="AM30" s="546"/>
      <c r="AN30" s="130"/>
      <c r="AO30" s="130"/>
      <c r="AP30" s="130"/>
      <c r="AQ30" s="130"/>
      <c r="AR30" s="130"/>
      <c r="AS30" s="185">
        <v>0</v>
      </c>
    </row>
    <row r="31" s="185" customFormat="1" ht="18.75" hidden="1" customHeight="1">
      <c r="A31" s="152"/>
      <c r="B31" s="152"/>
      <c r="C31" s="152"/>
      <c r="D31" s="152"/>
      <c r="E31" s="152"/>
      <c r="F31" s="152"/>
      <c r="G31" s="152"/>
      <c r="H31" s="152"/>
      <c r="I31" s="152"/>
      <c r="J31" s="152"/>
      <c r="K31" s="152"/>
      <c r="L31" s="482"/>
      <c r="M31" s="152"/>
      <c r="N31" s="152"/>
      <c r="O31" s="152"/>
      <c r="S31" s="543" t="s">
        <v>418</v>
      </c>
      <c r="T31" s="543"/>
      <c r="U31" s="544"/>
      <c r="V31" s="545" t="str">
        <f>IF(TITLE_NUMBER_PR_CHANGE="",IF(TITLE_NUMBER_PR="","",TITLE_NUMBER_PR),TITLE_NUMBER_PR_CHANGE)</f>
        <v/>
      </c>
      <c r="W31" s="545"/>
      <c r="X31" s="545"/>
      <c r="Y31" s="545"/>
      <c r="Z31" s="545"/>
      <c r="AA31" s="545"/>
      <c r="AB31" s="545"/>
      <c r="AC31" s="50"/>
      <c r="AD31" s="545" t="str">
        <f>IF(TITLE_NUMBER_PR_CHANGE="",IF(TITLE_NUMBER_PR="","",TITLE_NUMBER_PR),TITLE_NUMBER_PR_CHANGE)</f>
        <v/>
      </c>
      <c r="AE31" s="545"/>
      <c r="AF31" s="545"/>
      <c r="AG31" s="545"/>
      <c r="AH31" s="545"/>
      <c r="AI31" s="545"/>
      <c r="AJ31" s="545"/>
      <c r="AK31" s="50"/>
      <c r="AL31" s="50"/>
      <c r="AM31" s="546"/>
      <c r="AN31" s="130"/>
      <c r="AO31" s="130"/>
      <c r="AP31" s="130"/>
      <c r="AQ31" s="130"/>
      <c r="AR31" s="130"/>
      <c r="AS31" s="185">
        <v>0</v>
      </c>
    </row>
    <row r="32" s="185" customFormat="1" ht="18.75" hidden="1" customHeight="1">
      <c r="A32" s="152"/>
      <c r="B32" s="152"/>
      <c r="C32" s="152"/>
      <c r="D32" s="152"/>
      <c r="E32" s="152"/>
      <c r="F32" s="152"/>
      <c r="G32" s="152"/>
      <c r="H32" s="152"/>
      <c r="I32" s="152"/>
      <c r="J32" s="152"/>
      <c r="K32" s="152"/>
      <c r="L32" s="482"/>
      <c r="M32" s="152"/>
      <c r="N32" s="152"/>
      <c r="O32" s="152"/>
      <c r="S32" s="543" t="s">
        <v>42</v>
      </c>
      <c r="T32" s="543"/>
      <c r="U32" s="544"/>
      <c r="V32" s="545" t="str">
        <f>IF(TITLE_IST_PUB_CHANGE="",IF(TITLE_IST_PUB="","",TITLE_IST_PUB),TITLE_IST_PUB_CHANGE)</f>
        <v/>
      </c>
      <c r="W32" s="545"/>
      <c r="X32" s="545"/>
      <c r="Y32" s="545"/>
      <c r="Z32" s="545"/>
      <c r="AA32" s="545"/>
      <c r="AB32" s="545"/>
      <c r="AC32" s="50"/>
      <c r="AD32" s="545" t="str">
        <f>IF(TITLE_IST_PUB_CHANGE="",IF(TITLE_IST_PUB="","",TITLE_IST_PUB),TITLE_IST_PUB_CHANGE)</f>
        <v/>
      </c>
      <c r="AE32" s="545"/>
      <c r="AF32" s="545"/>
      <c r="AG32" s="545"/>
      <c r="AH32" s="545"/>
      <c r="AI32" s="545"/>
      <c r="AJ32" s="545"/>
      <c r="AK32" s="50"/>
      <c r="AL32" s="50"/>
      <c r="AM32" s="546"/>
      <c r="AN32" s="130"/>
      <c r="AO32" s="130"/>
      <c r="AP32" s="130"/>
      <c r="AQ32" s="130"/>
      <c r="AR32" s="130"/>
      <c r="AS32" s="185">
        <v>0</v>
      </c>
    </row>
    <row r="33" ht="14.25" hidden="1" customHeight="1">
      <c r="Q33" s="540"/>
      <c r="R33" s="540"/>
      <c r="S33" s="541"/>
      <c r="T33" s="91"/>
      <c r="U33" s="91"/>
      <c r="V33" s="542"/>
      <c r="W33" s="542"/>
      <c r="X33" s="542"/>
      <c r="Y33" s="542"/>
      <c r="Z33" s="542"/>
      <c r="AA33" s="542"/>
      <c r="AB33" s="542"/>
      <c r="AC33" s="542"/>
      <c r="AD33" s="542"/>
      <c r="AE33" s="542"/>
      <c r="AF33" s="542"/>
      <c r="AG33" s="542"/>
      <c r="AH33" s="542"/>
      <c r="AI33" s="542"/>
      <c r="AJ33" s="542"/>
      <c r="AK33" s="542"/>
      <c r="AL33" s="50"/>
      <c r="AS33" s="50">
        <v>0</v>
      </c>
    </row>
    <row r="34" s="185" customFormat="1" ht="18.75" hidden="1" customHeight="1">
      <c r="A34" s="152"/>
      <c r="B34" s="152"/>
      <c r="C34" s="152"/>
      <c r="D34" s="152"/>
      <c r="E34" s="152"/>
      <c r="F34" s="152"/>
      <c r="G34" s="152"/>
      <c r="H34" s="152"/>
      <c r="I34" s="152"/>
      <c r="J34" s="152"/>
      <c r="K34" s="152"/>
      <c r="L34" s="482"/>
      <c r="M34" s="152"/>
      <c r="N34" s="152"/>
      <c r="O34" s="152"/>
      <c r="S34" s="543" t="s">
        <v>419</v>
      </c>
      <c r="T34" s="543"/>
      <c r="U34" s="544"/>
      <c r="V34" s="547" t="str">
        <f>IF(TITLE_DATE_PR_CHANGE="",IF(TITLE_DATE_PR="","",TITLE_DATE_PR),TITLE_DATE_PR_CHANGE)</f>
        <v/>
      </c>
      <c r="W34" s="547"/>
      <c r="X34" s="547"/>
      <c r="Y34" s="547"/>
      <c r="Z34" s="547"/>
      <c r="AA34" s="547"/>
      <c r="AB34" s="547"/>
      <c r="AC34" s="50"/>
      <c r="AD34" s="547" t="str">
        <f>IF(TITLE_DATE_PR_CHANGE="",IF(TITLE_DATE_PR="","",TITLE_DATE_PR),TITLE_DATE_PR_CHANGE)</f>
        <v/>
      </c>
      <c r="AE34" s="547"/>
      <c r="AF34" s="547"/>
      <c r="AG34" s="547"/>
      <c r="AH34" s="547"/>
      <c r="AI34" s="547"/>
      <c r="AJ34" s="547"/>
      <c r="AK34" s="50"/>
      <c r="AL34" s="50"/>
      <c r="AM34" s="546"/>
      <c r="AN34" s="130"/>
      <c r="AO34" s="130"/>
      <c r="AP34" s="130"/>
      <c r="AQ34" s="130"/>
      <c r="AR34" s="130"/>
      <c r="AS34" s="185">
        <v>0</v>
      </c>
    </row>
    <row r="35" s="185" customFormat="1" ht="18.75" hidden="1" customHeight="1">
      <c r="A35" s="152"/>
      <c r="B35" s="152"/>
      <c r="C35" s="152"/>
      <c r="D35" s="152"/>
      <c r="E35" s="152"/>
      <c r="F35" s="152"/>
      <c r="G35" s="152"/>
      <c r="H35" s="152"/>
      <c r="I35" s="152"/>
      <c r="J35" s="152"/>
      <c r="K35" s="152"/>
      <c r="L35" s="482"/>
      <c r="M35" s="152"/>
      <c r="N35" s="152"/>
      <c r="O35" s="152"/>
      <c r="S35" s="543" t="s">
        <v>420</v>
      </c>
      <c r="T35" s="543"/>
      <c r="U35" s="544"/>
      <c r="V35" s="545" t="str">
        <f>IF(TITLE_NUMBER_PR_CHANGE="",IF(TITLE_NUMBER_PR="","",TITLE_NUMBER_PR),TITLE_NUMBER_PR_CHANGE)</f>
        <v/>
      </c>
      <c r="W35" s="545"/>
      <c r="X35" s="545"/>
      <c r="Y35" s="545"/>
      <c r="Z35" s="545"/>
      <c r="AA35" s="545"/>
      <c r="AB35" s="545"/>
      <c r="AC35" s="50"/>
      <c r="AD35" s="545" t="str">
        <f>IF(TITLE_NUMBER_PR_CHANGE="",IF(TITLE_NUMBER_PR="","",TITLE_NUMBER_PR),TITLE_NUMBER_PR_CHANGE)</f>
        <v/>
      </c>
      <c r="AE35" s="545"/>
      <c r="AF35" s="545"/>
      <c r="AG35" s="545"/>
      <c r="AH35" s="545"/>
      <c r="AI35" s="545"/>
      <c r="AJ35" s="545"/>
      <c r="AK35" s="50"/>
      <c r="AL35" s="50"/>
      <c r="AM35" s="546"/>
      <c r="AN35" s="130"/>
      <c r="AO35" s="130"/>
      <c r="AP35" s="130"/>
      <c r="AQ35" s="130"/>
      <c r="AR35" s="130"/>
      <c r="AS35" s="185">
        <v>0</v>
      </c>
    </row>
    <row r="36" s="185" customFormat="1" ht="0" customHeight="1">
      <c r="A36" s="152"/>
      <c r="B36" s="152"/>
      <c r="C36" s="152"/>
      <c r="D36" s="152"/>
      <c r="E36" s="152"/>
      <c r="F36" s="152"/>
      <c r="G36" s="152"/>
      <c r="H36" s="152"/>
      <c r="I36" s="152"/>
      <c r="J36" s="152"/>
      <c r="K36" s="152"/>
      <c r="L36" s="482"/>
      <c r="M36" s="152"/>
      <c r="N36" s="152"/>
      <c r="O36" s="152"/>
      <c r="S36" s="50"/>
      <c r="T36" s="50"/>
      <c r="U36" s="141"/>
      <c r="V36" s="50"/>
      <c r="W36" s="50"/>
      <c r="X36" s="50"/>
      <c r="Y36" s="50"/>
      <c r="Z36" s="50"/>
      <c r="AA36" s="50"/>
      <c r="AB36" s="50"/>
      <c r="AC36" s="57" t="s">
        <v>421</v>
      </c>
      <c r="AD36" s="50"/>
      <c r="AE36" s="50"/>
      <c r="AF36" s="50"/>
      <c r="AG36" s="50"/>
      <c r="AH36" s="50"/>
      <c r="AI36" s="50"/>
      <c r="AJ36" s="50"/>
      <c r="AK36" s="57" t="s">
        <v>421</v>
      </c>
      <c r="AN36" s="130"/>
      <c r="AO36" s="130"/>
      <c r="AP36" s="130"/>
      <c r="AQ36" s="130"/>
      <c r="AR36" s="130"/>
      <c r="AS36" s="185">
        <v>0</v>
      </c>
    </row>
    <row r="37" ht="14.65" customHeight="1">
      <c r="Q37" s="540"/>
      <c r="R37" s="540"/>
      <c r="S37" s="541"/>
      <c r="T37" s="91"/>
      <c r="U37" s="548"/>
      <c r="V37" s="549"/>
      <c r="W37" s="549"/>
      <c r="X37" s="549"/>
      <c r="Y37" s="549"/>
      <c r="Z37" s="549"/>
      <c r="AA37" s="549"/>
      <c r="AB37" s="549"/>
      <c r="AC37" s="549"/>
      <c r="AD37" s="549"/>
      <c r="AE37" s="549"/>
      <c r="AF37" s="549"/>
      <c r="AG37" s="549"/>
      <c r="AH37" s="549"/>
      <c r="AI37" s="549"/>
      <c r="AJ37" s="549"/>
      <c r="AK37" s="549"/>
      <c r="AS37" s="50">
        <v>14</v>
      </c>
    </row>
    <row r="38" ht="14.65" customHeight="1">
      <c r="Q38" s="540"/>
      <c r="R38" s="540"/>
      <c r="S38" s="158" t="s">
        <v>294</v>
      </c>
      <c r="T38" s="158"/>
      <c r="U38" s="158"/>
      <c r="V38" s="158"/>
      <c r="W38" s="158"/>
      <c r="X38" s="158"/>
      <c r="Y38" s="158"/>
      <c r="Z38" s="158"/>
      <c r="AA38" s="158"/>
      <c r="AB38" s="158"/>
      <c r="AC38" s="158"/>
      <c r="AD38" s="158"/>
      <c r="AE38" s="158"/>
      <c r="AF38" s="158"/>
      <c r="AG38" s="158"/>
      <c r="AH38" s="158"/>
      <c r="AI38" s="158"/>
      <c r="AJ38" s="158"/>
      <c r="AK38" s="158"/>
      <c r="AL38" s="158"/>
      <c r="AM38" s="158" t="s">
        <v>295</v>
      </c>
      <c r="AS38" s="50">
        <v>14</v>
      </c>
    </row>
    <row r="39" ht="14.65" customHeight="1">
      <c r="Q39" s="540"/>
      <c r="R39" s="540"/>
      <c r="S39" s="485" t="s">
        <v>87</v>
      </c>
      <c r="T39" s="348" t="s">
        <v>422</v>
      </c>
      <c r="U39" s="550"/>
      <c r="V39" s="551" t="s">
        <v>423</v>
      </c>
      <c r="W39" s="552"/>
      <c r="X39" s="552"/>
      <c r="Y39" s="552"/>
      <c r="Z39" s="552"/>
      <c r="AA39" s="552"/>
      <c r="AB39" s="553"/>
      <c r="AC39" s="554" t="s">
        <v>424</v>
      </c>
      <c r="AD39" s="551" t="s">
        <v>423</v>
      </c>
      <c r="AE39" s="552"/>
      <c r="AF39" s="552"/>
      <c r="AG39" s="552"/>
      <c r="AH39" s="552"/>
      <c r="AI39" s="552"/>
      <c r="AJ39" s="553"/>
      <c r="AK39" s="554" t="s">
        <v>425</v>
      </c>
      <c r="AL39" s="555" t="s">
        <v>426</v>
      </c>
      <c r="AM39" s="158"/>
      <c r="AS39" s="50">
        <v>14</v>
      </c>
    </row>
    <row r="40" ht="35.649999999999999" customHeight="1">
      <c r="Q40" s="540"/>
      <c r="R40" s="540"/>
      <c r="S40" s="485"/>
      <c r="T40" s="348"/>
      <c r="U40" s="556"/>
      <c r="V40" s="308" t="s">
        <v>427</v>
      </c>
      <c r="W40" s="557"/>
      <c r="X40" s="73" t="s">
        <v>429</v>
      </c>
      <c r="Y40" s="72"/>
      <c r="Z40" s="73" t="s">
        <v>430</v>
      </c>
      <c r="AA40" s="146"/>
      <c r="AB40" s="72"/>
      <c r="AC40" s="558"/>
      <c r="AD40" s="308" t="s">
        <v>444</v>
      </c>
      <c r="AE40" s="557"/>
      <c r="AF40" s="73" t="s">
        <v>429</v>
      </c>
      <c r="AG40" s="72"/>
      <c r="AH40" s="73" t="s">
        <v>430</v>
      </c>
      <c r="AI40" s="146"/>
      <c r="AJ40" s="72"/>
      <c r="AK40" s="558"/>
      <c r="AL40" s="559"/>
      <c r="AM40" s="158"/>
      <c r="AS40" s="50">
        <v>34</v>
      </c>
    </row>
    <row r="41" ht="35.649999999999999" customHeight="1">
      <c r="A41" s="152"/>
      <c r="B41" s="152" t="s">
        <v>131</v>
      </c>
      <c r="C41" s="152" t="s">
        <v>132</v>
      </c>
      <c r="D41" s="152" t="s">
        <v>133</v>
      </c>
      <c r="E41" s="482" t="s">
        <v>431</v>
      </c>
      <c r="F41" s="482" t="s">
        <v>432</v>
      </c>
      <c r="G41" s="482" t="s">
        <v>433</v>
      </c>
      <c r="H41" s="482" t="s">
        <v>434</v>
      </c>
      <c r="I41" s="482" t="s">
        <v>435</v>
      </c>
      <c r="J41" s="482" t="s">
        <v>436</v>
      </c>
      <c r="K41" s="482" t="s">
        <v>437</v>
      </c>
      <c r="L41" s="482" t="s">
        <v>412</v>
      </c>
      <c r="Q41" s="540"/>
      <c r="R41" s="540"/>
      <c r="S41" s="485"/>
      <c r="T41" s="348"/>
      <c r="U41" s="560"/>
      <c r="V41" s="163"/>
      <c r="W41" s="561"/>
      <c r="X41" s="247" t="s">
        <v>438</v>
      </c>
      <c r="Y41" s="247" t="s">
        <v>439</v>
      </c>
      <c r="Z41" s="247" t="s">
        <v>440</v>
      </c>
      <c r="AA41" s="416" t="s">
        <v>441</v>
      </c>
      <c r="AB41" s="418"/>
      <c r="AC41" s="562"/>
      <c r="AD41" s="163"/>
      <c r="AE41" s="561"/>
      <c r="AF41" s="247" t="s">
        <v>438</v>
      </c>
      <c r="AG41" s="247" t="s">
        <v>439</v>
      </c>
      <c r="AH41" s="247" t="s">
        <v>440</v>
      </c>
      <c r="AI41" s="416" t="s">
        <v>441</v>
      </c>
      <c r="AJ41" s="418"/>
      <c r="AK41" s="562"/>
      <c r="AL41" s="563"/>
      <c r="AM41" s="158"/>
      <c r="AS41" s="50">
        <v>34</v>
      </c>
    </row>
    <row r="42" s="132" customFormat="1" ht="11.25" hidden="1" customHeight="1">
      <c r="A42" s="152"/>
      <c r="B42" s="152"/>
      <c r="C42" s="152"/>
      <c r="D42" s="152"/>
      <c r="E42" s="152"/>
      <c r="F42" s="152"/>
      <c r="G42" s="152"/>
      <c r="H42" s="152"/>
      <c r="I42" s="152"/>
      <c r="J42" s="152"/>
      <c r="K42" s="152"/>
      <c r="L42" s="482"/>
      <c r="M42" s="61"/>
      <c r="N42" s="61"/>
      <c r="O42" s="61"/>
      <c r="P42" s="564"/>
      <c r="Q42" s="565"/>
      <c r="R42" s="566">
        <v>1</v>
      </c>
      <c r="S42" s="567" t="s">
        <v>105</v>
      </c>
      <c r="T42" s="568" t="s">
        <v>106</v>
      </c>
      <c r="U42" s="569" t="str">
        <f ca="1">OFFSET(U42,0,-1)</f>
        <v>2</v>
      </c>
      <c r="V42" s="570">
        <f ca="1">OFFSET(V42,0,-1)+1</f>
        <v>3</v>
      </c>
      <c r="W42" s="570"/>
      <c r="X42" s="570">
        <f ca="1">OFFSET(X42,0,-1)+1</f>
        <v>1</v>
      </c>
      <c r="Y42" s="570">
        <f ca="1">OFFSET(Y42,0,-1)+1</f>
        <v>2</v>
      </c>
      <c r="Z42" s="570">
        <f ca="1">OFFSET(Z42,0,-1)+1</f>
        <v>3</v>
      </c>
      <c r="AA42" s="570">
        <f ca="1">OFFSET(AA42,0,-1)+1</f>
        <v>4</v>
      </c>
      <c r="AB42" s="570"/>
      <c r="AC42" s="570">
        <f ca="1">OFFSET(AC42,0,-2)+1</f>
        <v>5</v>
      </c>
      <c r="AD42" s="570">
        <f ca="1">OFFSET(AD42,0,-1)+1</f>
        <v>6</v>
      </c>
      <c r="AE42" s="570"/>
      <c r="AF42" s="570">
        <f ca="1">OFFSET(AF42,0,-1)+1</f>
        <v>1</v>
      </c>
      <c r="AG42" s="570">
        <f ca="1">OFFSET(AG42,0,-1)+1</f>
        <v>2</v>
      </c>
      <c r="AH42" s="570">
        <f ca="1">OFFSET(AH42,0,-1)+1</f>
        <v>3</v>
      </c>
      <c r="AI42" s="570">
        <f ca="1">OFFSET(AI42,0,-1)+1</f>
        <v>4</v>
      </c>
      <c r="AJ42" s="570"/>
      <c r="AK42" s="570">
        <f ca="1">OFFSET(AK42,0,-2)+1</f>
        <v>5</v>
      </c>
      <c r="AL42" s="569">
        <f ca="1">OFFSET(AL42,0,-1)</f>
        <v>5</v>
      </c>
      <c r="AM42" s="570">
        <f ca="1">OFFSET(AM42,0,-1)+1</f>
        <v>6</v>
      </c>
      <c r="AN42" s="57"/>
      <c r="AO42" s="57"/>
      <c r="AP42" s="57"/>
      <c r="AQ42" s="57"/>
      <c r="AR42" s="57"/>
      <c r="AS42" s="132">
        <v>0</v>
      </c>
    </row>
    <row r="43" ht="22" customHeight="1">
      <c r="A43" s="480" t="s">
        <v>176</v>
      </c>
      <c r="B43" s="480"/>
      <c r="C43" s="480"/>
      <c r="D43" s="480"/>
      <c r="E43" s="481">
        <v>1</v>
      </c>
      <c r="F43" s="480"/>
      <c r="G43" s="480"/>
      <c r="H43" s="480"/>
      <c r="I43" s="480"/>
      <c r="J43" s="480"/>
      <c r="K43" s="480"/>
      <c r="L43" s="482"/>
      <c r="M43" s="483"/>
      <c r="N43" s="483"/>
      <c r="O43" s="483"/>
      <c r="P43" s="60"/>
      <c r="Q43" s="144"/>
      <c r="R43" s="484"/>
      <c r="S43" s="485">
        <f>INDEX(PT_DIFFERENTIATION_NUM_NTAR,MATCH(A43,PT_DIFFERENTIATION_NTAR_ID,0))</f>
        <v>0</v>
      </c>
      <c r="T43" s="486" t="s">
        <v>119</v>
      </c>
      <c r="U43" s="487"/>
      <c r="V43" s="488"/>
      <c r="W43" s="489"/>
      <c r="X43" s="489"/>
      <c r="Y43" s="489"/>
      <c r="Z43" s="489"/>
      <c r="AA43" s="489"/>
      <c r="AB43" s="489"/>
      <c r="AC43" s="490"/>
      <c r="AD43" s="488" t="str">
        <f>INDEX(PT_DIFFERENTIATION_NTAR,MATCH(A43,PT_DIFFERENTIATION_NTAR_ID,0))</f>
        <v/>
      </c>
      <c r="AE43" s="489"/>
      <c r="AF43" s="489"/>
      <c r="AG43" s="489"/>
      <c r="AH43" s="489"/>
      <c r="AI43" s="489"/>
      <c r="AJ43" s="489"/>
      <c r="AK43" s="489"/>
      <c r="AL43" s="490"/>
      <c r="AM43" s="49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30"/>
      <c r="AP43" s="130" t="str">
        <f t="shared" si="15"/>
        <v xml:space="preserve">Наименование тарифа</v>
      </c>
      <c r="AQ43" s="130"/>
      <c r="AR43" s="130"/>
      <c r="AS43" s="50">
        <v>21</v>
      </c>
    </row>
    <row r="44" ht="22" customHeight="1">
      <c r="A44" s="480" t="s">
        <v>176</v>
      </c>
      <c r="B44" s="480" t="s">
        <v>177</v>
      </c>
      <c r="C44" s="480"/>
      <c r="D44" s="480"/>
      <c r="E44" s="492"/>
      <c r="F44" s="481">
        <v>1</v>
      </c>
      <c r="G44" s="480"/>
      <c r="H44" s="480"/>
      <c r="I44" s="480"/>
      <c r="J44" s="480"/>
      <c r="K44" s="480"/>
      <c r="L44" s="482"/>
      <c r="M44" s="483"/>
      <c r="N44" s="483"/>
      <c r="O44" s="483"/>
      <c r="P44" s="51"/>
      <c r="Q44" s="493"/>
      <c r="R44" s="494"/>
      <c r="S44" s="485" t="str">
        <f>INDEX(PT_DIFFERENTIATION_NUM_TER,MATCH(B44,PT_DIFFERENTIATION_TER_ID,0))</f>
        <v>.</v>
      </c>
      <c r="T44" s="495" t="s">
        <v>391</v>
      </c>
      <c r="U44" s="487"/>
      <c r="V44" s="488"/>
      <c r="W44" s="489"/>
      <c r="X44" s="489"/>
      <c r="Y44" s="489"/>
      <c r="Z44" s="489"/>
      <c r="AA44" s="489"/>
      <c r="AB44" s="489"/>
      <c r="AC44" s="490"/>
      <c r="AD44" s="488" t="str">
        <f>INDEX(PT_DIFFERENTIATION_TER,MATCH(B44,PT_DIFFERENTIATION_TER_ID,0))</f>
        <v/>
      </c>
      <c r="AE44" s="489"/>
      <c r="AF44" s="489"/>
      <c r="AG44" s="489"/>
      <c r="AH44" s="489"/>
      <c r="AI44" s="489"/>
      <c r="AJ44" s="489"/>
      <c r="AK44" s="489"/>
      <c r="AL44" s="490"/>
      <c r="AM44" s="491" t="s">
        <v>392</v>
      </c>
      <c r="AO44" s="130"/>
      <c r="AP44" s="130" t="str">
        <f t="shared" si="15"/>
        <v xml:space="preserve">Территория действия тарифа</v>
      </c>
      <c r="AQ44" s="130"/>
      <c r="AR44" s="130"/>
      <c r="AS44" s="50">
        <v>21</v>
      </c>
    </row>
    <row r="45" ht="24" customHeight="1">
      <c r="A45" s="480" t="s">
        <v>176</v>
      </c>
      <c r="B45" s="480" t="s">
        <v>177</v>
      </c>
      <c r="C45" s="480" t="s">
        <v>178</v>
      </c>
      <c r="D45" s="480"/>
      <c r="E45" s="492"/>
      <c r="F45" s="492"/>
      <c r="G45" s="481">
        <v>1</v>
      </c>
      <c r="H45" s="480"/>
      <c r="I45" s="480"/>
      <c r="J45" s="480"/>
      <c r="K45" s="480"/>
      <c r="L45" s="482"/>
      <c r="M45" s="483"/>
      <c r="N45" s="483"/>
      <c r="O45" s="483"/>
      <c r="P45" s="496"/>
      <c r="Q45" s="493"/>
      <c r="R45" s="494"/>
      <c r="S45" s="485" t="str">
        <f>INDEX(PT_DIFFERENTIATION_NUM_CS,MATCH(C45,PT_DIFFERENTIATION_CS_ID,0))</f>
        <v>..</v>
      </c>
      <c r="T45" s="497" t="s">
        <v>393</v>
      </c>
      <c r="U45" s="487"/>
      <c r="V45" s="488"/>
      <c r="W45" s="489"/>
      <c r="X45" s="489"/>
      <c r="Y45" s="489"/>
      <c r="Z45" s="489"/>
      <c r="AA45" s="489"/>
      <c r="AB45" s="489"/>
      <c r="AC45" s="490"/>
      <c r="AD45" s="488" t="str">
        <f>INDEX(PT_DIFFERENTIATION_CS,MATCH(C45,PT_DIFFERENTIATION_CS_ID,0))</f>
        <v/>
      </c>
      <c r="AE45" s="489"/>
      <c r="AF45" s="489"/>
      <c r="AG45" s="489"/>
      <c r="AH45" s="489"/>
      <c r="AI45" s="489"/>
      <c r="AJ45" s="489"/>
      <c r="AK45" s="489"/>
      <c r="AL45" s="490"/>
      <c r="AM45" s="491" t="s">
        <v>394</v>
      </c>
      <c r="AO45" s="130"/>
      <c r="AP45" s="130" t="str">
        <f t="shared" si="15"/>
        <v xml:space="preserve">Наименование системы теплоснабжения </v>
      </c>
      <c r="AQ45" s="130"/>
      <c r="AR45" s="130"/>
      <c r="AS45" s="50">
        <v>23</v>
      </c>
    </row>
    <row r="46" ht="22" customHeight="1">
      <c r="A46" s="480" t="s">
        <v>176</v>
      </c>
      <c r="B46" s="480" t="s">
        <v>177</v>
      </c>
      <c r="C46" s="480" t="s">
        <v>178</v>
      </c>
      <c r="D46" s="480" t="s">
        <v>179</v>
      </c>
      <c r="E46" s="492"/>
      <c r="F46" s="492"/>
      <c r="G46" s="492"/>
      <c r="H46" s="481">
        <v>1</v>
      </c>
      <c r="I46" s="480"/>
      <c r="J46" s="480"/>
      <c r="K46" s="480"/>
      <c r="L46" s="482"/>
      <c r="M46" s="483"/>
      <c r="N46" s="483"/>
      <c r="O46" s="483"/>
      <c r="P46" s="496"/>
      <c r="Q46" s="493"/>
      <c r="R46" s="494"/>
      <c r="S46" s="485" t="str">
        <f>INDEX(PT_DIFFERENTIATION_NUM_IST_TE,MATCH(D46,PT_DIFFERENTIATION_IST_TE_ID,0))</f>
        <v>...</v>
      </c>
      <c r="T46" s="498" t="s">
        <v>395</v>
      </c>
      <c r="U46" s="487"/>
      <c r="V46" s="488"/>
      <c r="W46" s="489"/>
      <c r="X46" s="489"/>
      <c r="Y46" s="489"/>
      <c r="Z46" s="489"/>
      <c r="AA46" s="489"/>
      <c r="AB46" s="489"/>
      <c r="AC46" s="490"/>
      <c r="AD46" s="488" t="str">
        <f>INDEX(PT_DIFFERENTIATION_IST_TE,MATCH(D46,PT_DIFFERENTIATION_IST_TE_ID,0))</f>
        <v/>
      </c>
      <c r="AE46" s="489"/>
      <c r="AF46" s="489"/>
      <c r="AG46" s="489"/>
      <c r="AH46" s="489"/>
      <c r="AI46" s="489"/>
      <c r="AJ46" s="489"/>
      <c r="AK46" s="489"/>
      <c r="AL46" s="490"/>
      <c r="AM46" s="491" t="s">
        <v>396</v>
      </c>
      <c r="AO46" s="130"/>
      <c r="AP46" s="130" t="str">
        <f t="shared" si="15"/>
        <v xml:space="preserve">Источник тепловой энергии  </v>
      </c>
      <c r="AQ46" s="130"/>
      <c r="AR46" s="130"/>
      <c r="AS46" s="50">
        <v>21</v>
      </c>
    </row>
    <row r="47" s="57" customFormat="1" ht="0" customHeight="1">
      <c r="A47" s="134" t="s">
        <v>176</v>
      </c>
      <c r="B47" s="134" t="s">
        <v>177</v>
      </c>
      <c r="C47" s="134" t="s">
        <v>178</v>
      </c>
      <c r="D47" s="134" t="s">
        <v>179</v>
      </c>
      <c r="E47" s="492"/>
      <c r="F47" s="492"/>
      <c r="G47" s="492"/>
      <c r="H47" s="492"/>
      <c r="I47" s="499" t="str">
        <f>S46&amp;".1"</f>
        <v>....1</v>
      </c>
      <c r="J47" s="134"/>
      <c r="K47" s="134"/>
      <c r="L47" s="213" t="s">
        <v>397</v>
      </c>
      <c r="M47" s="597"/>
      <c r="N47" s="597"/>
      <c r="O47" s="597"/>
      <c r="P47" s="133">
        <v>1</v>
      </c>
      <c r="Q47" s="133"/>
      <c r="R47" s="500"/>
      <c r="S47" s="352"/>
      <c r="T47" s="587"/>
      <c r="U47" s="588"/>
      <c r="V47" s="589"/>
      <c r="W47" s="590"/>
      <c r="X47" s="590"/>
      <c r="Y47" s="590"/>
      <c r="Z47" s="590"/>
      <c r="AA47" s="590"/>
      <c r="AB47" s="590"/>
      <c r="AC47" s="591"/>
      <c r="AD47" s="589"/>
      <c r="AE47" s="590"/>
      <c r="AF47" s="590"/>
      <c r="AG47" s="590"/>
      <c r="AH47" s="590"/>
      <c r="AI47" s="590"/>
      <c r="AJ47" s="590"/>
      <c r="AK47" s="590"/>
      <c r="AL47" s="591"/>
      <c r="AM47" s="592"/>
      <c r="AO47" s="130"/>
      <c r="AP47" s="130" t="str">
        <f t="shared" si="15"/>
        <v/>
      </c>
      <c r="AQ47" s="130"/>
      <c r="AR47" s="130"/>
      <c r="AS47" s="57">
        <v>0</v>
      </c>
    </row>
    <row r="48" ht="22" customHeight="1">
      <c r="A48" s="480" t="s">
        <v>176</v>
      </c>
      <c r="B48" s="480" t="s">
        <v>177</v>
      </c>
      <c r="C48" s="480" t="s">
        <v>178</v>
      </c>
      <c r="D48" s="480" t="s">
        <v>179</v>
      </c>
      <c r="E48" s="492"/>
      <c r="F48" s="492"/>
      <c r="G48" s="492"/>
      <c r="H48" s="492"/>
      <c r="I48" s="504"/>
      <c r="J48" s="499" t="str">
        <f>S46&amp;".1"</f>
        <v>....1</v>
      </c>
      <c r="K48" s="480"/>
      <c r="L48" s="482" t="s">
        <v>400</v>
      </c>
      <c r="P48" s="133"/>
      <c r="Q48" s="133">
        <v>1</v>
      </c>
      <c r="R48" s="505"/>
      <c r="S48" s="485" t="str">
        <f>$J48</f>
        <v>....1</v>
      </c>
      <c r="T48" s="506" t="s">
        <v>401</v>
      </c>
      <c r="U48" s="487"/>
      <c r="V48" s="432"/>
      <c r="W48" s="502"/>
      <c r="X48" s="502"/>
      <c r="Y48" s="502"/>
      <c r="Z48" s="502"/>
      <c r="AA48" s="502"/>
      <c r="AB48" s="502"/>
      <c r="AC48" s="503"/>
      <c r="AD48" s="432"/>
      <c r="AE48" s="502"/>
      <c r="AF48" s="502"/>
      <c r="AG48" s="502"/>
      <c r="AH48" s="502"/>
      <c r="AI48" s="502"/>
      <c r="AJ48" s="502"/>
      <c r="AK48" s="502"/>
      <c r="AL48" s="503"/>
      <c r="AM48" s="491" t="s">
        <v>402</v>
      </c>
      <c r="AO48" s="130"/>
      <c r="AP48" s="130" t="str">
        <f t="shared" si="15"/>
        <v xml:space="preserve">Группа потребителей</v>
      </c>
      <c r="AQ48" s="130"/>
      <c r="AR48" s="130"/>
      <c r="AS48" s="50">
        <v>21</v>
      </c>
    </row>
    <row r="49" ht="22" customHeight="1">
      <c r="A49" s="480" t="s">
        <v>176</v>
      </c>
      <c r="B49" s="480" t="s">
        <v>177</v>
      </c>
      <c r="C49" s="480" t="s">
        <v>178</v>
      </c>
      <c r="D49" s="480" t="s">
        <v>179</v>
      </c>
      <c r="E49" s="492"/>
      <c r="F49" s="492"/>
      <c r="G49" s="492"/>
      <c r="H49" s="492"/>
      <c r="I49" s="504"/>
      <c r="J49" s="504"/>
      <c r="K49" s="499" t="str">
        <f>J48&amp;".1"</f>
        <v>....1.1</v>
      </c>
      <c r="L49" s="482" t="s">
        <v>403</v>
      </c>
      <c r="P49" s="133"/>
      <c r="Q49" s="133"/>
      <c r="R49" s="505">
        <v>1</v>
      </c>
      <c r="S49" s="485" t="str">
        <f>$K49</f>
        <v>....1.1</v>
      </c>
      <c r="T49" s="507"/>
      <c r="U49" s="487"/>
      <c r="V49" s="508"/>
      <c r="W49" s="509"/>
      <c r="X49" s="508"/>
      <c r="Y49" s="510"/>
      <c r="Z49" s="511"/>
      <c r="AA49" s="225" t="s">
        <v>64</v>
      </c>
      <c r="AB49" s="511"/>
      <c r="AC49" s="225" t="s">
        <v>64</v>
      </c>
      <c r="AD49" s="508"/>
      <c r="AE49" s="509"/>
      <c r="AF49" s="508"/>
      <c r="AG49" s="510"/>
      <c r="AH49" s="511"/>
      <c r="AI49" s="225" t="s">
        <v>64</v>
      </c>
      <c r="AJ49" s="571"/>
      <c r="AK49" s="225" t="s">
        <v>64</v>
      </c>
      <c r="AL49" s="572"/>
      <c r="AM49" s="512" t="s">
        <v>445</v>
      </c>
      <c r="AN49" s="57" t="e">
        <f>STRCHECKDATE(V50:AL50)</f>
        <v>#NAME?</v>
      </c>
      <c r="AO49" s="130"/>
      <c r="AP49" s="130" t="str">
        <f t="shared" si="15"/>
        <v/>
      </c>
      <c r="AQ49" s="130"/>
      <c r="AR49" s="130"/>
      <c r="AS49" s="50">
        <v>21</v>
      </c>
    </row>
    <row r="50" ht="1.05" customHeight="1">
      <c r="A50" s="480" t="s">
        <v>176</v>
      </c>
      <c r="B50" s="480" t="s">
        <v>177</v>
      </c>
      <c r="C50" s="480" t="s">
        <v>178</v>
      </c>
      <c r="D50" s="480" t="s">
        <v>179</v>
      </c>
      <c r="E50" s="492"/>
      <c r="F50" s="492"/>
      <c r="G50" s="492"/>
      <c r="H50" s="492"/>
      <c r="I50" s="504"/>
      <c r="J50" s="504"/>
      <c r="K50" s="499"/>
      <c r="L50" s="482"/>
      <c r="P50" s="133"/>
      <c r="Q50" s="133"/>
      <c r="R50" s="505"/>
      <c r="S50" s="459"/>
      <c r="T50" s="487"/>
      <c r="U50" s="487"/>
      <c r="V50" s="509"/>
      <c r="W50" s="509"/>
      <c r="X50" s="509"/>
      <c r="Y50" s="513" t="str">
        <f>Z49&amp;"-"&amp;AB49</f>
        <v>-</v>
      </c>
      <c r="Z50" s="514"/>
      <c r="AA50" s="225"/>
      <c r="AB50" s="514"/>
      <c r="AC50" s="225"/>
      <c r="AD50" s="509"/>
      <c r="AE50" s="509"/>
      <c r="AF50" s="509"/>
      <c r="AG50" s="513" t="str">
        <f>AH49&amp;"-"&amp;AJ49</f>
        <v>-</v>
      </c>
      <c r="AH50" s="514"/>
      <c r="AI50" s="225"/>
      <c r="AJ50" s="573"/>
      <c r="AK50" s="225"/>
      <c r="AL50" s="574"/>
      <c r="AM50" s="515"/>
      <c r="AO50" s="130"/>
      <c r="AP50" s="130" t="str">
        <f t="shared" si="15"/>
        <v/>
      </c>
      <c r="AQ50" s="130"/>
      <c r="AR50" s="130"/>
      <c r="AS50" s="50">
        <v>1</v>
      </c>
    </row>
    <row r="51" ht="11.5" customHeight="1">
      <c r="A51" s="480" t="s">
        <v>176</v>
      </c>
      <c r="B51" s="480" t="s">
        <v>177</v>
      </c>
      <c r="C51" s="480" t="s">
        <v>178</v>
      </c>
      <c r="D51" s="480" t="s">
        <v>179</v>
      </c>
      <c r="E51" s="492"/>
      <c r="F51" s="492"/>
      <c r="G51" s="492"/>
      <c r="H51" s="492"/>
      <c r="I51" s="504"/>
      <c r="J51" s="499"/>
      <c r="K51" s="480"/>
      <c r="L51" s="482"/>
      <c r="P51" s="133"/>
      <c r="Q51" s="133"/>
      <c r="R51" s="500"/>
      <c r="S51" s="516"/>
      <c r="T51" s="520" t="s">
        <v>405</v>
      </c>
      <c r="U51" s="215"/>
      <c r="V51" s="215"/>
      <c r="W51" s="215"/>
      <c r="X51" s="215"/>
      <c r="Y51" s="215"/>
      <c r="Z51" s="215"/>
      <c r="AA51" s="215"/>
      <c r="AB51" s="215"/>
      <c r="AC51" s="215"/>
      <c r="AD51" s="215"/>
      <c r="AE51" s="215"/>
      <c r="AF51" s="215"/>
      <c r="AG51" s="215"/>
      <c r="AH51" s="215"/>
      <c r="AI51" s="215"/>
      <c r="AJ51" s="215"/>
      <c r="AK51" s="215"/>
      <c r="AL51" s="518"/>
      <c r="AM51" s="519"/>
      <c r="AO51" s="130"/>
      <c r="AP51" s="130" t="str">
        <f t="shared" si="15"/>
        <v xml:space="preserve">Добавить вид теплоносителя (параметры теплоносителя)</v>
      </c>
      <c r="AQ51" s="130"/>
      <c r="AR51" s="130"/>
      <c r="AS51" s="50">
        <v>11</v>
      </c>
    </row>
    <row r="52" ht="11.5" customHeight="1">
      <c r="A52" s="480" t="s">
        <v>176</v>
      </c>
      <c r="B52" s="480" t="s">
        <v>177</v>
      </c>
      <c r="C52" s="480" t="s">
        <v>178</v>
      </c>
      <c r="D52" s="480" t="s">
        <v>179</v>
      </c>
      <c r="E52" s="492"/>
      <c r="F52" s="492"/>
      <c r="G52" s="492"/>
      <c r="H52" s="492"/>
      <c r="I52" s="499"/>
      <c r="J52" s="480"/>
      <c r="K52" s="480"/>
      <c r="L52" s="482"/>
      <c r="P52" s="133"/>
      <c r="Q52" s="133"/>
      <c r="R52" s="500"/>
      <c r="S52" s="516"/>
      <c r="T52" s="524" t="s">
        <v>406</v>
      </c>
      <c r="U52" s="215"/>
      <c r="V52" s="215"/>
      <c r="W52" s="215"/>
      <c r="X52" s="215"/>
      <c r="Y52" s="215"/>
      <c r="Z52" s="215"/>
      <c r="AA52" s="215"/>
      <c r="AB52" s="215"/>
      <c r="AC52" s="521"/>
      <c r="AD52" s="215"/>
      <c r="AE52" s="215"/>
      <c r="AF52" s="215"/>
      <c r="AG52" s="215"/>
      <c r="AH52" s="215"/>
      <c r="AI52" s="215"/>
      <c r="AJ52" s="215"/>
      <c r="AK52" s="521"/>
      <c r="AL52" s="215"/>
      <c r="AM52" s="522"/>
      <c r="AO52" s="130"/>
      <c r="AP52" s="130" t="str">
        <f t="shared" si="15"/>
        <v xml:space="preserve">Добавить группу потребителей</v>
      </c>
      <c r="AQ52" s="130"/>
      <c r="AR52" s="130"/>
      <c r="AS52" s="50">
        <v>11</v>
      </c>
    </row>
    <row r="53" ht="0" customHeight="1">
      <c r="A53" s="480" t="s">
        <v>176</v>
      </c>
      <c r="B53" s="480" t="s">
        <v>177</v>
      </c>
      <c r="C53" s="480" t="s">
        <v>178</v>
      </c>
      <c r="D53" s="480" t="s">
        <v>179</v>
      </c>
      <c r="E53" s="492"/>
      <c r="F53" s="492"/>
      <c r="G53" s="492"/>
      <c r="H53" s="481"/>
      <c r="I53" s="480"/>
      <c r="J53" s="480"/>
      <c r="K53" s="480"/>
      <c r="L53" s="482"/>
      <c r="M53" s="483"/>
      <c r="N53" s="483"/>
      <c r="O53" s="53"/>
      <c r="P53" s="144"/>
      <c r="Q53" s="523"/>
      <c r="R53" s="484"/>
      <c r="S53" s="593"/>
      <c r="T53" s="594"/>
      <c r="U53" s="595"/>
      <c r="V53" s="595"/>
      <c r="W53" s="595"/>
      <c r="X53" s="595"/>
      <c r="Y53" s="595"/>
      <c r="Z53" s="595"/>
      <c r="AA53" s="595"/>
      <c r="AB53" s="595"/>
      <c r="AC53" s="595"/>
      <c r="AD53" s="595"/>
      <c r="AE53" s="595"/>
      <c r="AF53" s="595"/>
      <c r="AG53" s="595"/>
      <c r="AH53" s="595"/>
      <c r="AI53" s="595"/>
      <c r="AJ53" s="595"/>
      <c r="AK53" s="595"/>
      <c r="AL53" s="595"/>
      <c r="AM53" s="596"/>
      <c r="AO53" s="130"/>
      <c r="AP53" s="130" t="str">
        <f t="shared" si="15"/>
        <v/>
      </c>
      <c r="AQ53" s="130"/>
      <c r="AR53" s="130"/>
      <c r="AS53" s="50">
        <v>0</v>
      </c>
    </row>
    <row r="54" s="57" customFormat="1" ht="1.05" customHeight="1">
      <c r="A54" s="134" t="s">
        <v>176</v>
      </c>
      <c r="B54" s="134" t="s">
        <v>177</v>
      </c>
      <c r="C54" s="134" t="s">
        <v>178</v>
      </c>
      <c r="D54" s="134"/>
      <c r="E54" s="492"/>
      <c r="F54" s="492"/>
      <c r="G54" s="481"/>
      <c r="H54" s="134"/>
      <c r="I54" s="134"/>
      <c r="J54" s="134"/>
      <c r="K54" s="134"/>
      <c r="L54" s="213"/>
      <c r="M54" s="465"/>
      <c r="N54" s="465"/>
      <c r="P54" s="168"/>
      <c r="Q54" s="525"/>
      <c r="R54" s="168"/>
      <c r="S54" s="530"/>
      <c r="T54" s="533" t="s">
        <v>408</v>
      </c>
      <c r="U54" s="532"/>
      <c r="V54" s="532"/>
      <c r="W54" s="532"/>
      <c r="X54" s="532"/>
      <c r="Y54" s="532"/>
      <c r="Z54" s="532"/>
      <c r="AA54" s="532"/>
      <c r="AB54" s="532"/>
      <c r="AC54" s="532"/>
      <c r="AD54" s="532"/>
      <c r="AE54" s="532"/>
      <c r="AF54" s="532"/>
      <c r="AG54" s="532"/>
      <c r="AH54" s="532"/>
      <c r="AI54" s="532"/>
      <c r="AJ54" s="532"/>
      <c r="AK54" s="532"/>
      <c r="AL54" s="532"/>
      <c r="AM54" s="532"/>
      <c r="AO54" s="130"/>
      <c r="AP54" s="130" t="str">
        <f t="shared" si="15"/>
        <v xml:space="preserve">Добавить источник для дифференциации</v>
      </c>
      <c r="AQ54" s="130"/>
      <c r="AR54" s="130"/>
      <c r="AS54" s="57">
        <v>1</v>
      </c>
    </row>
    <row r="55" s="57" customFormat="1" ht="1.05" customHeight="1">
      <c r="A55" s="134" t="s">
        <v>176</v>
      </c>
      <c r="B55" s="134" t="s">
        <v>177</v>
      </c>
      <c r="C55" s="134"/>
      <c r="D55" s="134"/>
      <c r="E55" s="492"/>
      <c r="F55" s="481"/>
      <c r="G55" s="134"/>
      <c r="H55" s="134"/>
      <c r="I55" s="134"/>
      <c r="J55" s="134"/>
      <c r="K55" s="134"/>
      <c r="L55" s="213"/>
      <c r="M55" s="529"/>
      <c r="N55" s="529"/>
      <c r="P55" s="168"/>
      <c r="Q55" s="525"/>
      <c r="R55" s="168"/>
      <c r="S55" s="530"/>
      <c r="T55" s="533" t="s">
        <v>409</v>
      </c>
      <c r="U55" s="532"/>
      <c r="V55" s="532"/>
      <c r="W55" s="532"/>
      <c r="X55" s="532"/>
      <c r="Y55" s="532"/>
      <c r="Z55" s="532"/>
      <c r="AA55" s="532"/>
      <c r="AB55" s="532"/>
      <c r="AC55" s="532"/>
      <c r="AD55" s="532"/>
      <c r="AE55" s="532"/>
      <c r="AF55" s="532"/>
      <c r="AG55" s="532"/>
      <c r="AH55" s="532"/>
      <c r="AI55" s="532"/>
      <c r="AJ55" s="532"/>
      <c r="AK55" s="532"/>
      <c r="AL55" s="532"/>
      <c r="AM55" s="532"/>
      <c r="AO55" s="130"/>
      <c r="AP55" s="130" t="str">
        <f t="shared" si="15"/>
        <v xml:space="preserve">Добавить централизованную систему для дифференциации</v>
      </c>
      <c r="AQ55" s="130"/>
      <c r="AR55" s="130"/>
      <c r="AS55" s="57">
        <v>1</v>
      </c>
    </row>
    <row r="56" s="57" customFormat="1" ht="1.05" customHeight="1">
      <c r="A56" s="134" t="s">
        <v>176</v>
      </c>
      <c r="B56" s="134"/>
      <c r="C56" s="134"/>
      <c r="D56" s="134"/>
      <c r="E56" s="481"/>
      <c r="F56" s="134"/>
      <c r="G56" s="134"/>
      <c r="H56" s="134"/>
      <c r="I56" s="134"/>
      <c r="J56" s="134"/>
      <c r="K56" s="134"/>
      <c r="L56" s="213"/>
      <c r="M56" s="529"/>
      <c r="N56" s="529"/>
      <c r="O56" s="57"/>
      <c r="P56" s="168"/>
      <c r="Q56" s="525"/>
      <c r="R56" s="168"/>
      <c r="S56" s="530"/>
      <c r="T56" s="533" t="s">
        <v>410</v>
      </c>
      <c r="U56" s="532"/>
      <c r="V56" s="532"/>
      <c r="W56" s="532"/>
      <c r="X56" s="532"/>
      <c r="Y56" s="532"/>
      <c r="Z56" s="532"/>
      <c r="AA56" s="532"/>
      <c r="AB56" s="532"/>
      <c r="AC56" s="532"/>
      <c r="AD56" s="532"/>
      <c r="AE56" s="532"/>
      <c r="AF56" s="532"/>
      <c r="AG56" s="532"/>
      <c r="AH56" s="532"/>
      <c r="AI56" s="532"/>
      <c r="AJ56" s="532"/>
      <c r="AK56" s="532"/>
      <c r="AL56" s="532"/>
      <c r="AM56" s="532"/>
      <c r="AO56" s="130"/>
      <c r="AP56" s="130" t="str">
        <f t="shared" si="15"/>
        <v xml:space="preserve">Добавить территорию для дифференциации</v>
      </c>
      <c r="AQ56" s="130"/>
      <c r="AR56" s="130"/>
      <c r="AS56" s="57">
        <v>1</v>
      </c>
    </row>
    <row r="57" s="57" customFormat="1" ht="1.05" customHeight="1">
      <c r="A57" s="134"/>
      <c r="B57" s="134"/>
      <c r="C57" s="134"/>
      <c r="D57" s="134"/>
      <c r="E57" s="134"/>
      <c r="F57" s="134"/>
      <c r="G57" s="134"/>
      <c r="H57" s="134"/>
      <c r="I57" s="134"/>
      <c r="J57" s="134"/>
      <c r="K57" s="134"/>
      <c r="L57" s="213"/>
      <c r="M57" s="529"/>
      <c r="N57" s="529"/>
      <c r="P57" s="168"/>
      <c r="Q57" s="525"/>
      <c r="R57" s="168"/>
      <c r="S57" s="530"/>
      <c r="T57" s="533" t="s">
        <v>442</v>
      </c>
      <c r="U57" s="532"/>
      <c r="V57" s="532"/>
      <c r="W57" s="532"/>
      <c r="X57" s="532"/>
      <c r="Y57" s="532"/>
      <c r="Z57" s="532"/>
      <c r="AA57" s="532"/>
      <c r="AB57" s="532"/>
      <c r="AC57" s="532"/>
      <c r="AD57" s="532"/>
      <c r="AE57" s="532"/>
      <c r="AF57" s="532"/>
      <c r="AG57" s="532"/>
      <c r="AH57" s="532"/>
      <c r="AI57" s="532"/>
      <c r="AJ57" s="532"/>
      <c r="AK57" s="532"/>
      <c r="AL57" s="532"/>
      <c r="AM57" s="532"/>
      <c r="AO57" s="130"/>
      <c r="AP57" s="130" t="str">
        <f t="shared" si="15"/>
        <v xml:space="preserve">Добавить наименование тарифа</v>
      </c>
      <c r="AQ57" s="130"/>
      <c r="AR57" s="130"/>
      <c r="AS57" s="57">
        <v>1</v>
      </c>
    </row>
    <row r="58" ht="11.5" customHeight="1">
      <c r="M58" s="53"/>
      <c r="N58" s="53"/>
      <c r="O58" s="53"/>
      <c r="P58" s="50"/>
      <c r="Q58" s="50"/>
      <c r="R58" s="50"/>
      <c r="S58" s="50"/>
      <c r="AN58" s="50"/>
      <c r="AO58" s="50"/>
      <c r="AP58" s="50"/>
      <c r="AQ58" s="50"/>
      <c r="AR58" s="50"/>
      <c r="AS58" s="50">
        <v>11</v>
      </c>
    </row>
    <row r="59" ht="23.25" customHeight="1">
      <c r="O59" s="53"/>
      <c r="S59" s="477"/>
      <c r="T59" s="575"/>
      <c r="U59" s="575"/>
      <c r="V59" s="575"/>
      <c r="W59" s="575"/>
      <c r="X59" s="575"/>
      <c r="Y59" s="575"/>
      <c r="Z59" s="575"/>
      <c r="AA59" s="575"/>
      <c r="AB59" s="575"/>
      <c r="AC59" s="575"/>
      <c r="AD59" s="575"/>
      <c r="AE59" s="575"/>
      <c r="AF59" s="575"/>
      <c r="AG59" s="575"/>
      <c r="AH59" s="575"/>
      <c r="AI59" s="575"/>
      <c r="AJ59" s="575"/>
      <c r="AK59" s="575"/>
      <c r="AL59" s="575"/>
      <c r="AM59" s="575"/>
      <c r="AS59" s="50">
        <v>22</v>
      </c>
    </row>
    <row r="60" ht="30.449999999999999" customHeight="1">
      <c r="O60" s="53"/>
      <c r="T60" s="575"/>
      <c r="U60" s="575"/>
      <c r="V60" s="575"/>
      <c r="W60" s="575"/>
      <c r="X60" s="575"/>
      <c r="Y60" s="575"/>
      <c r="Z60" s="575"/>
      <c r="AA60" s="575"/>
      <c r="AB60" s="575"/>
      <c r="AC60" s="575"/>
      <c r="AD60" s="575"/>
      <c r="AE60" s="575"/>
      <c r="AF60" s="575"/>
      <c r="AG60" s="575"/>
      <c r="AH60" s="575"/>
      <c r="AI60" s="575"/>
      <c r="AJ60" s="575"/>
      <c r="AK60" s="575"/>
      <c r="AL60" s="575"/>
      <c r="AM60" s="575"/>
      <c r="AS60" s="50">
        <v>29</v>
      </c>
    </row>
    <row r="61" ht="42" customHeight="1">
      <c r="O61" s="53"/>
      <c r="T61" s="575"/>
      <c r="U61" s="575"/>
      <c r="V61" s="575"/>
      <c r="W61" s="575"/>
      <c r="X61" s="575"/>
      <c r="Y61" s="575"/>
      <c r="Z61" s="575"/>
      <c r="AA61" s="575"/>
      <c r="AB61" s="575"/>
      <c r="AC61" s="575"/>
      <c r="AD61" s="575"/>
      <c r="AE61" s="575"/>
      <c r="AF61" s="575"/>
      <c r="AG61" s="575"/>
      <c r="AH61" s="575"/>
      <c r="AI61" s="575"/>
      <c r="AJ61" s="575"/>
      <c r="AK61" s="575"/>
      <c r="AL61" s="575"/>
      <c r="AM61" s="575"/>
      <c r="AS61" s="50">
        <v>40</v>
      </c>
    </row>
    <row r="62" ht="14.65" customHeight="1">
      <c r="O62" s="53"/>
      <c r="AS62" s="50">
        <v>14</v>
      </c>
    </row>
    <row r="63" ht="21" customHeight="1">
      <c r="O63" s="53"/>
      <c r="S63" s="477"/>
      <c r="T63" s="291"/>
      <c r="U63" s="575"/>
      <c r="V63" s="575"/>
      <c r="W63" s="575"/>
      <c r="X63" s="575"/>
      <c r="Y63" s="575"/>
      <c r="Z63" s="575"/>
      <c r="AA63" s="575"/>
      <c r="AB63" s="575"/>
      <c r="AC63" s="575"/>
      <c r="AD63" s="575"/>
      <c r="AE63" s="575"/>
      <c r="AF63" s="575"/>
      <c r="AG63" s="575"/>
      <c r="AH63" s="575"/>
      <c r="AI63" s="575"/>
      <c r="AJ63" s="575"/>
      <c r="AK63" s="575"/>
      <c r="AL63" s="575"/>
      <c r="AM63" s="575"/>
      <c r="AS63" s="50">
        <v>20</v>
      </c>
    </row>
    <row r="64" ht="29.25" customHeight="1">
      <c r="O64" s="53"/>
      <c r="T64" s="575"/>
      <c r="U64" s="575"/>
      <c r="V64" s="575"/>
      <c r="W64" s="575"/>
      <c r="X64" s="575"/>
      <c r="Y64" s="575"/>
      <c r="Z64" s="575"/>
      <c r="AA64" s="575"/>
      <c r="AB64" s="575"/>
      <c r="AC64" s="575"/>
      <c r="AD64" s="575"/>
      <c r="AE64" s="575"/>
      <c r="AF64" s="575"/>
      <c r="AG64" s="575"/>
      <c r="AH64" s="575"/>
      <c r="AI64" s="575"/>
      <c r="AJ64" s="575"/>
      <c r="AK64" s="575"/>
      <c r="AL64" s="575"/>
      <c r="AM64" s="575"/>
      <c r="AS64" s="50">
        <v>28</v>
      </c>
    </row>
    <row r="65" ht="35.649999999999999" customHeight="1">
      <c r="T65" s="575"/>
      <c r="U65" s="575"/>
      <c r="V65" s="575"/>
      <c r="W65" s="575"/>
      <c r="X65" s="575"/>
      <c r="Y65" s="575"/>
      <c r="Z65" s="575"/>
      <c r="AA65" s="575"/>
      <c r="AB65" s="575"/>
      <c r="AC65" s="575"/>
      <c r="AD65" s="575"/>
      <c r="AE65" s="575"/>
      <c r="AF65" s="575"/>
      <c r="AG65" s="575"/>
      <c r="AH65" s="575"/>
      <c r="AI65" s="575"/>
      <c r="AJ65" s="575"/>
      <c r="AK65" s="575"/>
      <c r="AL65" s="575"/>
      <c r="AM65" s="575"/>
      <c r="AS65" s="50">
        <v>34</v>
      </c>
    </row>
    <row r="66" ht="22.5" hidden="1" customHeight="1">
      <c r="A66" s="53" t="s">
        <v>81</v>
      </c>
      <c r="B66" s="53">
        <v>0</v>
      </c>
      <c r="C66" s="53">
        <v>0</v>
      </c>
      <c r="D66" s="53">
        <v>0</v>
      </c>
      <c r="E66" s="53">
        <v>0</v>
      </c>
      <c r="F66" s="53">
        <v>0</v>
      </c>
      <c r="G66" s="53">
        <v>0</v>
      </c>
      <c r="H66" s="53">
        <v>0</v>
      </c>
      <c r="I66" s="53">
        <v>0</v>
      </c>
      <c r="J66" s="53">
        <v>0</v>
      </c>
      <c r="K66" s="53">
        <v>0</v>
      </c>
      <c r="L66" s="114">
        <v>0</v>
      </c>
      <c r="M66" s="61">
        <v>0</v>
      </c>
      <c r="N66" s="61">
        <v>0</v>
      </c>
      <c r="O66" s="61">
        <v>0</v>
      </c>
      <c r="P66" s="60">
        <v>0</v>
      </c>
      <c r="Q66" s="479">
        <v>3</v>
      </c>
      <c r="R66" s="479">
        <v>3</v>
      </c>
      <c r="S66" s="86">
        <v>12</v>
      </c>
      <c r="T66" s="50">
        <v>31</v>
      </c>
      <c r="U66" s="50">
        <v>0</v>
      </c>
      <c r="V66" s="50">
        <v>0</v>
      </c>
      <c r="W66" s="50">
        <v>0</v>
      </c>
      <c r="X66" s="50">
        <v>0</v>
      </c>
      <c r="Y66" s="50">
        <v>0</v>
      </c>
      <c r="Z66" s="50">
        <v>0</v>
      </c>
      <c r="AA66" s="50">
        <v>0</v>
      </c>
      <c r="AB66" s="50">
        <v>0</v>
      </c>
      <c r="AC66" s="50">
        <v>0</v>
      </c>
      <c r="AD66" s="50">
        <v>24</v>
      </c>
      <c r="AE66" s="50">
        <v>0</v>
      </c>
      <c r="AF66" s="50">
        <v>24</v>
      </c>
      <c r="AG66" s="50">
        <v>24</v>
      </c>
      <c r="AH66" s="50">
        <v>11</v>
      </c>
      <c r="AI66" s="50">
        <v>3</v>
      </c>
      <c r="AJ66" s="50">
        <v>11</v>
      </c>
      <c r="AK66" s="50">
        <v>0</v>
      </c>
      <c r="AL66" s="50">
        <v>4</v>
      </c>
      <c r="AM66" s="50">
        <v>115</v>
      </c>
      <c r="AN66" s="57">
        <v>10</v>
      </c>
      <c r="AO66" s="57">
        <v>10</v>
      </c>
      <c r="AP66" s="57">
        <v>10</v>
      </c>
      <c r="AQ66" s="57">
        <v>10</v>
      </c>
      <c r="AR66" s="57">
        <v>10</v>
      </c>
      <c r="AS66" s="50">
        <v>23</v>
      </c>
    </row>
  </sheetData>
  <sheetProtection autoFilter="0" deleteColumns="1" deleteRows="1" formatCells="1" formatColumns="0" formatRows="0" insertColumns="1" insertHyperlinks="1" insertRows="1" objects="0" pivotTables="1" scenarios="0" selectLockedCells="0" selectUnlockedCells="0" sheet="1" sort="1"/>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K8:K9"/>
    <mergeCell ref="Z8:Z9"/>
    <mergeCell ref="AA8:AA9"/>
    <mergeCell ref="AB8:AB9"/>
    <mergeCell ref="AC8:AC9"/>
    <mergeCell ref="AH8:AH9"/>
    <mergeCell ref="AI8:AI9"/>
    <mergeCell ref="AJ8:AJ9"/>
    <mergeCell ref="AK8:AK9"/>
    <mergeCell ref="AM8:AM10"/>
    <mergeCell ref="AH17:AH18"/>
    <mergeCell ref="AI17:AI18"/>
    <mergeCell ref="AJ17:AJ18"/>
    <mergeCell ref="AK17:AK18"/>
    <mergeCell ref="S26:AJ26"/>
    <mergeCell ref="S27:AJ27"/>
    <mergeCell ref="S29:T29"/>
    <mergeCell ref="V29:AB29"/>
    <mergeCell ref="AD29:AJ29"/>
    <mergeCell ref="S30:T30"/>
    <mergeCell ref="V30:AB30"/>
    <mergeCell ref="AD30:AJ30"/>
    <mergeCell ref="S31:T31"/>
    <mergeCell ref="V31:AB31"/>
    <mergeCell ref="AD31:AJ31"/>
    <mergeCell ref="S32:T32"/>
    <mergeCell ref="V32:AB32"/>
    <mergeCell ref="AD32:AJ32"/>
    <mergeCell ref="S34:T34"/>
    <mergeCell ref="V34:AB34"/>
    <mergeCell ref="AD34:AJ34"/>
    <mergeCell ref="S35:T35"/>
    <mergeCell ref="V35:AB35"/>
    <mergeCell ref="AD35:AJ35"/>
    <mergeCell ref="V37:AC37"/>
    <mergeCell ref="AD37:AK37"/>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AH40:AJ40"/>
    <mergeCell ref="AA41:AB41"/>
    <mergeCell ref="AI41:AJ41"/>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AM49:AM51"/>
    <mergeCell ref="T59:AM59"/>
    <mergeCell ref="T60:AM60"/>
    <mergeCell ref="T61:AM61"/>
    <mergeCell ref="T63:AM63"/>
    <mergeCell ref="T64:AM64"/>
    <mergeCell ref="T65:AM65"/>
  </mergeCells>
  <dataValidations count="4" disablePrompts="0">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type="none" allowBlank="1" errorStyle="stop" imeMode="noControl" operator="between" promptTitle="checkPeriodRange" showDropDown="0" showErrorMessage="0" showInputMessage="0"/>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S131123:AM131129 S196659:AM196665 S262195:AM262201 S327731:AM327737 S393267:AM393273 S458803:AM458809 S524339:AM524345 S589875:AM589881 S655411:AM655417 S720947:AM720953 S786483:AM786489 S852019:AM852025 S917555:AM917561 S983091:AM983097 S65587:AM65593"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D1005B-0033-4DB4-9B41-0074002300FA}" type="list" allowBlank="1" error="Выберите значение из списка" errorStyle="stop" errorTitle="Ошибка" imeMode="noControl" operator="between" showDropDown="0" showErrorMessage="1" showInputMessage="1">
          <x14:formula1>
            <xm:f>kind_of_heat_transfer</xm:f>
          </x14:formula1>
          <xm:sqref>T65585 T131121 T196657 T262193 T327729 T393265 T458801 T524337 T589873 T655409 T720945 T786481 T852017 T917553 T983089</xm:sqref>
        </x14:dataValidation>
        <x14:dataValidation xr:uid="{00E70091-00F3-462D-8B03-00D5008E0066}" type="textLength" allowBlank="1" error="Допускается ввод не более 900 символов!" errorStyle="stop" errorTitle="Ошибка" imeMode="noControl" operator="lessThanOrEqual" showDropDown="0"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5900CC-0077-4427-8735-000000760095}" type="list" allowBlank="1" error="Выберите значение из списка" errorStyle="stop" errorTitle="Ошибка" imeMode="noControl" operator="between" showDropDown="0"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 xr:uid="{00C60000-0045-48CB-B494-00B4008800C4}"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s>
    </ext>
  </extLs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9" ySplit="42" topLeftCell="AD43"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4" width="19.140625"/>
    <col customWidth="1" hidden="1" min="13" max="14" style="61" width="12.28125"/>
    <col customWidth="1" hidden="1" min="15" max="15" style="61" width="23.421875"/>
    <col customWidth="1" hidden="1" min="16" max="16" style="60" width="3.7109375"/>
    <col customWidth="1" min="17" max="18" style="479" width="3.00390625"/>
    <col customWidth="1" min="19" max="19" style="86" width="12.00390625"/>
    <col customWidth="1" min="20" max="20" style="50" width="31.00390625"/>
    <col customWidth="1" min="21" max="21" style="50" width="0.140625"/>
    <col customWidth="1" hidden="1" min="22" max="22" style="50" width="24.7109375"/>
    <col customWidth="1" hidden="1" min="23" max="23" style="50" width="0.140625"/>
    <col customWidth="1" hidden="1" min="24" max="25" style="50" width="24.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24.7109375"/>
    <col customWidth="1" min="31" max="31" style="50" width="0.140625"/>
    <col customWidth="1" min="32" max="33" style="50" width="24.00390625"/>
    <col customWidth="1" min="34" max="34" style="50" width="11.00390625"/>
    <col customWidth="1" min="35" max="35" style="50" width="3.7109375"/>
    <col customWidth="1" min="36" max="36" style="50" width="11.00390625"/>
    <col customWidth="1" hidden="1" min="37" max="37" style="50" width="8.57421875"/>
    <col customWidth="1" min="38" max="38" style="50" width="4.00390625"/>
    <col customWidth="1" min="39" max="39" style="50" width="115.00390625"/>
    <col customWidth="1" min="40" max="44" style="57" width="10.00390625"/>
    <col hidden="1" min="45" max="45" style="50" width="10.57421875"/>
  </cols>
  <sheetData>
    <row r="1" ht="22.5" hidden="1" customHeight="1">
      <c r="Y1" s="50"/>
      <c r="Z1" s="50"/>
      <c r="AG1" s="50"/>
      <c r="AH1" s="50"/>
      <c r="AS1" s="50" t="s">
        <v>14</v>
      </c>
    </row>
    <row r="2" ht="21" hidden="1" customHeight="1">
      <c r="A2" s="480"/>
      <c r="B2" s="480"/>
      <c r="C2" s="480"/>
      <c r="D2" s="480"/>
      <c r="E2" s="481">
        <v>1</v>
      </c>
      <c r="F2" s="480"/>
      <c r="G2" s="480"/>
      <c r="H2" s="480"/>
      <c r="I2" s="480"/>
      <c r="J2" s="480"/>
      <c r="K2" s="480"/>
      <c r="L2" s="482"/>
      <c r="M2" s="483"/>
      <c r="N2" s="483"/>
      <c r="O2" s="483"/>
      <c r="P2" s="60"/>
      <c r="Q2" s="144"/>
      <c r="R2" s="484"/>
      <c r="S2" s="485" t="e">
        <f>INDEX(PT_DIFFERENTIATION_NUM_NTAR,MATCH(A2,PT_DIFFERENTIATION_NTAR_ID,0))</f>
        <v>#VALUE!</v>
      </c>
      <c r="T2" s="486" t="s">
        <v>119</v>
      </c>
      <c r="U2" s="487"/>
      <c r="V2" s="488"/>
      <c r="W2" s="489"/>
      <c r="X2" s="489"/>
      <c r="Y2" s="489"/>
      <c r="Z2" s="489"/>
      <c r="AA2" s="489"/>
      <c r="AB2" s="489"/>
      <c r="AC2" s="490"/>
      <c r="AD2" s="488" t="e">
        <f>INDEX(PT_DIFFERENTIATION_NTAR,MATCH(A2,PT_DIFFERENTIATION_NTAR_ID,0))</f>
        <v>#VALUE!</v>
      </c>
      <c r="AE2" s="489"/>
      <c r="AF2" s="489"/>
      <c r="AG2" s="489"/>
      <c r="AH2" s="489"/>
      <c r="AI2" s="489"/>
      <c r="AJ2" s="489"/>
      <c r="AK2" s="489"/>
      <c r="AL2" s="490"/>
      <c r="AM2" s="491" t="s">
        <v>390</v>
      </c>
      <c r="AO2" s="130"/>
      <c r="AP2" s="130" t="str">
        <f t="shared" ref="AP2:AP9" si="16">IF(T2="","",T2)</f>
        <v xml:space="preserve">Наименование тарифа</v>
      </c>
      <c r="AQ2" s="130"/>
      <c r="AR2" s="130"/>
      <c r="AS2" s="50">
        <v>0</v>
      </c>
    </row>
    <row r="3" ht="21" hidden="1" customHeight="1">
      <c r="A3" s="480"/>
      <c r="B3" s="480"/>
      <c r="C3" s="480"/>
      <c r="D3" s="480"/>
      <c r="E3" s="492"/>
      <c r="F3" s="481">
        <v>1</v>
      </c>
      <c r="G3" s="480"/>
      <c r="H3" s="480"/>
      <c r="I3" s="480"/>
      <c r="J3" s="480"/>
      <c r="K3" s="480"/>
      <c r="L3" s="482"/>
      <c r="M3" s="483"/>
      <c r="N3" s="483"/>
      <c r="O3" s="483"/>
      <c r="P3" s="51"/>
      <c r="Q3" s="493"/>
      <c r="R3" s="494"/>
      <c r="S3" s="485" t="e">
        <f>INDEX(PT_DIFFERENTIATION_NUM_TER,MATCH(B3,PT_DIFFERENTIATION_TER_ID,0))</f>
        <v>#VALUE!</v>
      </c>
      <c r="T3" s="495" t="s">
        <v>391</v>
      </c>
      <c r="U3" s="487"/>
      <c r="V3" s="488"/>
      <c r="W3" s="489"/>
      <c r="X3" s="489"/>
      <c r="Y3" s="489"/>
      <c r="Z3" s="489"/>
      <c r="AA3" s="489"/>
      <c r="AB3" s="489"/>
      <c r="AC3" s="490"/>
      <c r="AD3" s="488" t="e">
        <f>INDEX(PT_DIFFERENTIATION_TER,MATCH(B3,PT_DIFFERENTIATION_TER_ID,0))</f>
        <v>#VALUE!</v>
      </c>
      <c r="AE3" s="489"/>
      <c r="AF3" s="489"/>
      <c r="AG3" s="489"/>
      <c r="AH3" s="489"/>
      <c r="AI3" s="489"/>
      <c r="AJ3" s="489"/>
      <c r="AK3" s="489"/>
      <c r="AL3" s="490"/>
      <c r="AM3" s="491" t="s">
        <v>392</v>
      </c>
      <c r="AO3" s="130"/>
      <c r="AP3" s="130" t="str">
        <f t="shared" si="16"/>
        <v xml:space="preserve">Территория действия тарифа</v>
      </c>
      <c r="AQ3" s="130"/>
      <c r="AR3" s="130"/>
      <c r="AS3" s="50">
        <v>0</v>
      </c>
    </row>
    <row r="4" ht="23.25" hidden="1" customHeight="1">
      <c r="A4" s="480"/>
      <c r="B4" s="480"/>
      <c r="C4" s="480"/>
      <c r="D4" s="480"/>
      <c r="E4" s="492"/>
      <c r="F4" s="492"/>
      <c r="G4" s="481">
        <v>1</v>
      </c>
      <c r="H4" s="480"/>
      <c r="I4" s="480"/>
      <c r="J4" s="480"/>
      <c r="K4" s="480"/>
      <c r="L4" s="482"/>
      <c r="M4" s="483"/>
      <c r="N4" s="483"/>
      <c r="O4" s="483"/>
      <c r="P4" s="496"/>
      <c r="Q4" s="493"/>
      <c r="R4" s="494"/>
      <c r="S4" s="485" t="e">
        <f>INDEX(PT_DIFFERENTIATION_NUM_CS,MATCH(C4,PT_DIFFERENTIATION_CS_ID,0))</f>
        <v>#VALUE!</v>
      </c>
      <c r="T4" s="497" t="s">
        <v>393</v>
      </c>
      <c r="U4" s="487"/>
      <c r="V4" s="488"/>
      <c r="W4" s="489"/>
      <c r="X4" s="489"/>
      <c r="Y4" s="489"/>
      <c r="Z4" s="489"/>
      <c r="AA4" s="489"/>
      <c r="AB4" s="489"/>
      <c r="AC4" s="490"/>
      <c r="AD4" s="488" t="e">
        <f>INDEX(PT_DIFFERENTIATION_CS,MATCH(C4,PT_DIFFERENTIATION_CS_ID,0))</f>
        <v>#VALUE!</v>
      </c>
      <c r="AE4" s="489"/>
      <c r="AF4" s="489"/>
      <c r="AG4" s="489"/>
      <c r="AH4" s="489"/>
      <c r="AI4" s="489"/>
      <c r="AJ4" s="489"/>
      <c r="AK4" s="489"/>
      <c r="AL4" s="490"/>
      <c r="AM4" s="491" t="s">
        <v>394</v>
      </c>
      <c r="AO4" s="130"/>
      <c r="AP4" s="130" t="str">
        <f t="shared" si="16"/>
        <v xml:space="preserve">Наименование системы теплоснабжения </v>
      </c>
      <c r="AQ4" s="130"/>
      <c r="AR4" s="130"/>
      <c r="AS4" s="50">
        <v>0</v>
      </c>
    </row>
    <row r="5" ht="21" hidden="1" customHeight="1">
      <c r="A5" s="480"/>
      <c r="B5" s="480"/>
      <c r="C5" s="480"/>
      <c r="D5" s="480"/>
      <c r="E5" s="492"/>
      <c r="F5" s="492"/>
      <c r="G5" s="492"/>
      <c r="H5" s="481">
        <v>1</v>
      </c>
      <c r="I5" s="480"/>
      <c r="J5" s="480"/>
      <c r="K5" s="480"/>
      <c r="L5" s="482"/>
      <c r="M5" s="483"/>
      <c r="N5" s="483"/>
      <c r="O5" s="483"/>
      <c r="P5" s="496"/>
      <c r="Q5" s="493"/>
      <c r="R5" s="494"/>
      <c r="S5" s="485" t="e">
        <f>INDEX(PT_DIFFERENTIATION_NUM_IST_TE,MATCH(D5,PT_DIFFERENTIATION_IST_TE_ID,0))</f>
        <v>#VALUE!</v>
      </c>
      <c r="T5" s="498" t="s">
        <v>395</v>
      </c>
      <c r="U5" s="487"/>
      <c r="V5" s="488"/>
      <c r="W5" s="489"/>
      <c r="X5" s="489"/>
      <c r="Y5" s="489"/>
      <c r="Z5" s="489"/>
      <c r="AA5" s="489"/>
      <c r="AB5" s="489"/>
      <c r="AC5" s="490"/>
      <c r="AD5" s="488" t="e">
        <f>INDEX(PT_DIFFERENTIATION_IST_TE,MATCH(D5,PT_DIFFERENTIATION_IST_TE_ID,0))</f>
        <v>#VALUE!</v>
      </c>
      <c r="AE5" s="489"/>
      <c r="AF5" s="489"/>
      <c r="AG5" s="489"/>
      <c r="AH5" s="489"/>
      <c r="AI5" s="489"/>
      <c r="AJ5" s="489"/>
      <c r="AK5" s="489"/>
      <c r="AL5" s="490"/>
      <c r="AM5" s="491" t="s">
        <v>396</v>
      </c>
      <c r="AO5" s="130"/>
      <c r="AP5" s="130" t="str">
        <f t="shared" si="16"/>
        <v xml:space="preserve">Источник тепловой энергии  </v>
      </c>
      <c r="AQ5" s="130"/>
      <c r="AR5" s="130"/>
      <c r="AS5" s="50">
        <v>0</v>
      </c>
    </row>
    <row r="6" ht="14.25" hidden="1" customHeight="1">
      <c r="A6" s="480"/>
      <c r="B6" s="480"/>
      <c r="C6" s="480"/>
      <c r="D6" s="480"/>
      <c r="E6" s="492"/>
      <c r="F6" s="492"/>
      <c r="G6" s="492"/>
      <c r="H6" s="492"/>
      <c r="I6" s="499" t="e">
        <f>S5&amp;".1"</f>
        <v>#VALUE!</v>
      </c>
      <c r="J6" s="480"/>
      <c r="K6" s="480"/>
      <c r="L6" s="482" t="s">
        <v>397</v>
      </c>
      <c r="M6" s="53"/>
      <c r="P6" s="133">
        <v>1</v>
      </c>
      <c r="Q6" s="133"/>
      <c r="R6" s="500"/>
      <c r="S6" s="352"/>
      <c r="T6" s="587"/>
      <c r="U6" s="588"/>
      <c r="V6" s="589"/>
      <c r="W6" s="590"/>
      <c r="X6" s="590"/>
      <c r="Y6" s="590"/>
      <c r="Z6" s="590"/>
      <c r="AA6" s="590"/>
      <c r="AB6" s="590"/>
      <c r="AC6" s="591"/>
      <c r="AD6" s="589"/>
      <c r="AE6" s="590"/>
      <c r="AF6" s="590"/>
      <c r="AG6" s="590"/>
      <c r="AH6" s="590"/>
      <c r="AI6" s="590"/>
      <c r="AJ6" s="590"/>
      <c r="AK6" s="590"/>
      <c r="AL6" s="591"/>
      <c r="AM6" s="592"/>
      <c r="AO6" s="130"/>
      <c r="AP6" s="130" t="str">
        <f t="shared" si="16"/>
        <v/>
      </c>
      <c r="AQ6" s="130"/>
      <c r="AR6" s="130"/>
      <c r="AS6" s="50">
        <v>0</v>
      </c>
    </row>
    <row r="7" ht="21" hidden="1" customHeight="1">
      <c r="A7" s="480"/>
      <c r="B7" s="480"/>
      <c r="C7" s="480"/>
      <c r="D7" s="480"/>
      <c r="E7" s="492"/>
      <c r="F7" s="492"/>
      <c r="G7" s="492"/>
      <c r="H7" s="492"/>
      <c r="I7" s="504"/>
      <c r="J7" s="499" t="e">
        <f>I6&amp;".1"</f>
        <v>#VALUE!</v>
      </c>
      <c r="K7" s="480"/>
      <c r="L7" s="482" t="s">
        <v>400</v>
      </c>
      <c r="M7" s="53"/>
      <c r="N7" s="53"/>
      <c r="P7" s="133"/>
      <c r="Q7" s="133">
        <v>1</v>
      </c>
      <c r="R7" s="505"/>
      <c r="S7" s="485" t="e">
        <f>$J7</f>
        <v>#VALUE!</v>
      </c>
      <c r="T7" s="506" t="s">
        <v>401</v>
      </c>
      <c r="U7" s="487"/>
      <c r="V7" s="432"/>
      <c r="W7" s="502"/>
      <c r="X7" s="502"/>
      <c r="Y7" s="502"/>
      <c r="Z7" s="502"/>
      <c r="AA7" s="502"/>
      <c r="AB7" s="502"/>
      <c r="AC7" s="503"/>
      <c r="AD7" s="432"/>
      <c r="AE7" s="502"/>
      <c r="AF7" s="502"/>
      <c r="AG7" s="502"/>
      <c r="AH7" s="502"/>
      <c r="AI7" s="502"/>
      <c r="AJ7" s="502"/>
      <c r="AK7" s="502"/>
      <c r="AL7" s="503"/>
      <c r="AM7" s="491" t="s">
        <v>402</v>
      </c>
      <c r="AO7" s="130"/>
      <c r="AP7" s="130" t="str">
        <f t="shared" si="16"/>
        <v xml:space="preserve">Группа потребителей</v>
      </c>
      <c r="AQ7" s="130"/>
      <c r="AR7" s="130"/>
      <c r="AS7" s="50">
        <v>0</v>
      </c>
    </row>
    <row r="8" ht="21" hidden="1" customHeight="1">
      <c r="A8" s="480"/>
      <c r="B8" s="480"/>
      <c r="C8" s="480"/>
      <c r="D8" s="480"/>
      <c r="E8" s="492"/>
      <c r="F8" s="492"/>
      <c r="G8" s="492"/>
      <c r="H8" s="492"/>
      <c r="I8" s="504"/>
      <c r="J8" s="504"/>
      <c r="K8" s="499" t="e">
        <f>J7&amp;".1"</f>
        <v>#VALUE!</v>
      </c>
      <c r="L8" s="482" t="s">
        <v>403</v>
      </c>
      <c r="M8" s="53"/>
      <c r="N8" s="53"/>
      <c r="O8" s="53"/>
      <c r="P8" s="133"/>
      <c r="Q8" s="133"/>
      <c r="R8" s="505">
        <v>1</v>
      </c>
      <c r="S8" s="485" t="e">
        <f>$K8</f>
        <v>#VALUE!</v>
      </c>
      <c r="T8" s="507"/>
      <c r="U8" s="487"/>
      <c r="V8" s="508"/>
      <c r="W8" s="509"/>
      <c r="X8" s="508"/>
      <c r="Y8" s="510"/>
      <c r="Z8" s="511"/>
      <c r="AA8" s="225" t="s">
        <v>64</v>
      </c>
      <c r="AB8" s="511"/>
      <c r="AC8" s="225" t="s">
        <v>64</v>
      </c>
      <c r="AD8" s="508"/>
      <c r="AE8" s="509"/>
      <c r="AF8" s="508"/>
      <c r="AG8" s="510"/>
      <c r="AH8" s="511"/>
      <c r="AI8" s="225" t="s">
        <v>64</v>
      </c>
      <c r="AJ8" s="511"/>
      <c r="AK8" s="225" t="s">
        <v>64</v>
      </c>
      <c r="AL8" s="509"/>
      <c r="AM8" s="512" t="s">
        <v>404</v>
      </c>
      <c r="AN8" s="57" t="e">
        <f>STRCHECKDATE(V9:AL9)</f>
        <v>#NAME?</v>
      </c>
      <c r="AO8" s="130"/>
      <c r="AP8" s="130" t="str">
        <f t="shared" si="16"/>
        <v/>
      </c>
      <c r="AQ8" s="130"/>
      <c r="AR8" s="130"/>
      <c r="AS8" s="50">
        <v>0</v>
      </c>
    </row>
    <row r="9" ht="14.25" hidden="1" customHeight="1">
      <c r="A9" s="480"/>
      <c r="B9" s="480"/>
      <c r="C9" s="480"/>
      <c r="D9" s="480"/>
      <c r="E9" s="492"/>
      <c r="F9" s="492"/>
      <c r="G9" s="492"/>
      <c r="H9" s="492"/>
      <c r="I9" s="504"/>
      <c r="J9" s="504"/>
      <c r="K9" s="499"/>
      <c r="L9" s="482"/>
      <c r="M9" s="53"/>
      <c r="N9" s="53"/>
      <c r="O9" s="53"/>
      <c r="P9" s="133"/>
      <c r="Q9" s="133"/>
      <c r="R9" s="505"/>
      <c r="S9" s="459"/>
      <c r="T9" s="487"/>
      <c r="U9" s="487"/>
      <c r="V9" s="509"/>
      <c r="W9" s="509"/>
      <c r="X9" s="509"/>
      <c r="Y9" s="513" t="str">
        <f>Z8&amp;"-"&amp;AB8</f>
        <v>-</v>
      </c>
      <c r="Z9" s="514"/>
      <c r="AA9" s="225"/>
      <c r="AB9" s="514"/>
      <c r="AC9" s="225"/>
      <c r="AD9" s="509"/>
      <c r="AE9" s="509"/>
      <c r="AF9" s="509"/>
      <c r="AG9" s="513" t="str">
        <f>AH8&amp;"-"&amp;AJ8</f>
        <v>-</v>
      </c>
      <c r="AH9" s="514"/>
      <c r="AI9" s="225"/>
      <c r="AJ9" s="514"/>
      <c r="AK9" s="225"/>
      <c r="AL9" s="509"/>
      <c r="AM9" s="515"/>
      <c r="AO9" s="130"/>
      <c r="AP9" s="130" t="str">
        <f t="shared" si="16"/>
        <v/>
      </c>
      <c r="AQ9" s="130"/>
      <c r="AR9" s="130"/>
      <c r="AS9" s="50">
        <v>0</v>
      </c>
    </row>
    <row r="10" ht="15" hidden="1" customHeight="1">
      <c r="A10" s="480"/>
      <c r="B10" s="480"/>
      <c r="C10" s="480"/>
      <c r="D10" s="480"/>
      <c r="E10" s="492"/>
      <c r="F10" s="492"/>
      <c r="G10" s="492"/>
      <c r="H10" s="492"/>
      <c r="I10" s="504"/>
      <c r="J10" s="499"/>
      <c r="K10" s="480"/>
      <c r="L10" s="482"/>
      <c r="M10" s="53"/>
      <c r="N10" s="53"/>
      <c r="P10" s="133"/>
      <c r="Q10" s="133"/>
      <c r="R10" s="500"/>
      <c r="S10" s="516"/>
      <c r="T10" s="520" t="s">
        <v>405</v>
      </c>
      <c r="U10" s="215"/>
      <c r="V10" s="215"/>
      <c r="W10" s="215"/>
      <c r="X10" s="215"/>
      <c r="Y10" s="215"/>
      <c r="Z10" s="215"/>
      <c r="AA10" s="215"/>
      <c r="AB10" s="215"/>
      <c r="AC10" s="215"/>
      <c r="AD10" s="215"/>
      <c r="AE10" s="215"/>
      <c r="AF10" s="215"/>
      <c r="AG10" s="215"/>
      <c r="AH10" s="215"/>
      <c r="AI10" s="215"/>
      <c r="AJ10" s="215"/>
      <c r="AK10" s="215"/>
      <c r="AL10" s="518"/>
      <c r="AM10" s="519"/>
      <c r="AO10" s="130"/>
      <c r="AP10" s="130" t="str">
        <f t="shared" ref="AP10:AP57" si="17">IF(T10="","",T10)</f>
        <v xml:space="preserve">Добавить вид теплоносителя (параметры теплоносителя)</v>
      </c>
      <c r="AQ10" s="130"/>
      <c r="AR10" s="130"/>
      <c r="AS10" s="50">
        <v>0</v>
      </c>
    </row>
    <row r="11" ht="11.25" hidden="1" customHeight="1">
      <c r="A11" s="480"/>
      <c r="B11" s="480"/>
      <c r="C11" s="480"/>
      <c r="D11" s="480"/>
      <c r="E11" s="492"/>
      <c r="F11" s="492"/>
      <c r="G11" s="492"/>
      <c r="H11" s="492"/>
      <c r="I11" s="499"/>
      <c r="J11" s="480"/>
      <c r="K11" s="480"/>
      <c r="L11" s="482"/>
      <c r="M11" s="53"/>
      <c r="P11" s="133"/>
      <c r="Q11" s="133"/>
      <c r="R11" s="500"/>
      <c r="S11" s="516"/>
      <c r="T11" s="524" t="s">
        <v>406</v>
      </c>
      <c r="U11" s="215"/>
      <c r="V11" s="215"/>
      <c r="W11" s="215"/>
      <c r="X11" s="215"/>
      <c r="Y11" s="215"/>
      <c r="Z11" s="215"/>
      <c r="AA11" s="215"/>
      <c r="AB11" s="215"/>
      <c r="AC11" s="521"/>
      <c r="AD11" s="215"/>
      <c r="AE11" s="215"/>
      <c r="AF11" s="215"/>
      <c r="AG11" s="215"/>
      <c r="AH11" s="215"/>
      <c r="AI11" s="215"/>
      <c r="AJ11" s="215"/>
      <c r="AK11" s="521"/>
      <c r="AL11" s="215"/>
      <c r="AM11" s="522"/>
      <c r="AO11" s="130"/>
      <c r="AP11" s="130" t="str">
        <f t="shared" si="17"/>
        <v xml:space="preserve">Добавить группу потребителей</v>
      </c>
      <c r="AQ11" s="130"/>
      <c r="AR11" s="130"/>
      <c r="AS11" s="50">
        <v>0</v>
      </c>
    </row>
    <row r="12" ht="14.25" hidden="1" customHeight="1">
      <c r="A12" s="480"/>
      <c r="B12" s="480"/>
      <c r="C12" s="480"/>
      <c r="D12" s="480"/>
      <c r="E12" s="492"/>
      <c r="F12" s="492"/>
      <c r="G12" s="492"/>
      <c r="H12" s="481"/>
      <c r="I12" s="480"/>
      <c r="J12" s="480"/>
      <c r="K12" s="480"/>
      <c r="L12" s="482"/>
      <c r="M12" s="483"/>
      <c r="N12" s="483"/>
      <c r="O12" s="53"/>
      <c r="P12" s="144"/>
      <c r="Q12" s="523"/>
      <c r="R12" s="484"/>
      <c r="S12" s="593"/>
      <c r="T12" s="594"/>
      <c r="U12" s="595"/>
      <c r="V12" s="595"/>
      <c r="W12" s="595"/>
      <c r="X12" s="595"/>
      <c r="Y12" s="595"/>
      <c r="Z12" s="595"/>
      <c r="AA12" s="595"/>
      <c r="AB12" s="595"/>
      <c r="AC12" s="595"/>
      <c r="AD12" s="595"/>
      <c r="AE12" s="595"/>
      <c r="AF12" s="595"/>
      <c r="AG12" s="595"/>
      <c r="AH12" s="595"/>
      <c r="AI12" s="595"/>
      <c r="AJ12" s="595"/>
      <c r="AK12" s="595"/>
      <c r="AL12" s="595"/>
      <c r="AM12" s="596"/>
      <c r="AO12" s="130"/>
      <c r="AP12" s="130" t="str">
        <f t="shared" si="17"/>
        <v/>
      </c>
      <c r="AQ12" s="130"/>
      <c r="AR12" s="130"/>
      <c r="AS12" s="50">
        <v>0</v>
      </c>
    </row>
    <row r="13" s="57" customFormat="1" ht="14.25" hidden="1" customHeight="1">
      <c r="A13" s="134"/>
      <c r="B13" s="134"/>
      <c r="C13" s="134"/>
      <c r="D13" s="134"/>
      <c r="E13" s="492"/>
      <c r="F13" s="492"/>
      <c r="G13" s="481"/>
      <c r="H13" s="134"/>
      <c r="I13" s="134"/>
      <c r="J13" s="134"/>
      <c r="K13" s="134"/>
      <c r="L13" s="213"/>
      <c r="M13" s="465"/>
      <c r="N13" s="465"/>
      <c r="P13" s="168"/>
      <c r="Q13" s="525"/>
      <c r="R13" s="168"/>
      <c r="S13" s="526"/>
      <c r="T13" s="527" t="s">
        <v>408</v>
      </c>
      <c r="U13" s="528"/>
      <c r="V13" s="528"/>
      <c r="W13" s="528"/>
      <c r="X13" s="528"/>
      <c r="Y13" s="528"/>
      <c r="Z13" s="528"/>
      <c r="AA13" s="528"/>
      <c r="AB13" s="528"/>
      <c r="AC13" s="528"/>
      <c r="AD13" s="528"/>
      <c r="AE13" s="528"/>
      <c r="AF13" s="528"/>
      <c r="AG13" s="528"/>
      <c r="AH13" s="528"/>
      <c r="AI13" s="528"/>
      <c r="AJ13" s="528"/>
      <c r="AK13" s="528"/>
      <c r="AL13" s="528"/>
      <c r="AM13" s="528"/>
      <c r="AO13" s="130"/>
      <c r="AP13" s="130" t="str">
        <f t="shared" si="17"/>
        <v xml:space="preserve">Добавить источник для дифференциации</v>
      </c>
      <c r="AQ13" s="130"/>
      <c r="AR13" s="130"/>
      <c r="AS13" s="57">
        <v>0</v>
      </c>
    </row>
    <row r="14" s="57" customFormat="1" ht="14.25" hidden="1" customHeight="1">
      <c r="A14" s="134"/>
      <c r="B14" s="134"/>
      <c r="C14" s="134"/>
      <c r="D14" s="134"/>
      <c r="E14" s="492"/>
      <c r="F14" s="481"/>
      <c r="G14" s="134"/>
      <c r="H14" s="134"/>
      <c r="I14" s="134"/>
      <c r="J14" s="134"/>
      <c r="K14" s="134"/>
      <c r="L14" s="213"/>
      <c r="M14" s="529"/>
      <c r="N14" s="529"/>
      <c r="P14" s="168"/>
      <c r="Q14" s="525"/>
      <c r="R14" s="168"/>
      <c r="S14" s="530"/>
      <c r="T14" s="531" t="s">
        <v>409</v>
      </c>
      <c r="U14" s="532"/>
      <c r="V14" s="532"/>
      <c r="W14" s="532"/>
      <c r="X14" s="532"/>
      <c r="Y14" s="532"/>
      <c r="Z14" s="532"/>
      <c r="AA14" s="532"/>
      <c r="AB14" s="532"/>
      <c r="AC14" s="532"/>
      <c r="AD14" s="532"/>
      <c r="AE14" s="532"/>
      <c r="AF14" s="532"/>
      <c r="AG14" s="532"/>
      <c r="AH14" s="532"/>
      <c r="AI14" s="532"/>
      <c r="AJ14" s="532"/>
      <c r="AK14" s="532"/>
      <c r="AL14" s="532"/>
      <c r="AM14" s="532"/>
      <c r="AO14" s="130"/>
      <c r="AP14" s="130" t="str">
        <f t="shared" si="17"/>
        <v xml:space="preserve">Добавить централизованную систему для дифференциации</v>
      </c>
      <c r="AQ14" s="130"/>
      <c r="AR14" s="130"/>
      <c r="AS14" s="57">
        <v>0</v>
      </c>
    </row>
    <row r="15" s="57" customFormat="1" ht="14.25" hidden="1" customHeight="1">
      <c r="A15" s="134"/>
      <c r="B15" s="134"/>
      <c r="C15" s="134"/>
      <c r="D15" s="134"/>
      <c r="E15" s="481"/>
      <c r="F15" s="134"/>
      <c r="G15" s="134"/>
      <c r="H15" s="134"/>
      <c r="I15" s="134"/>
      <c r="J15" s="134"/>
      <c r="K15" s="134"/>
      <c r="L15" s="213"/>
      <c r="M15" s="529"/>
      <c r="N15" s="529"/>
      <c r="P15" s="168"/>
      <c r="Q15" s="525"/>
      <c r="R15" s="168"/>
      <c r="S15" s="530"/>
      <c r="T15" s="533" t="s">
        <v>410</v>
      </c>
      <c r="U15" s="532"/>
      <c r="V15" s="532"/>
      <c r="W15" s="532"/>
      <c r="X15" s="532"/>
      <c r="Y15" s="532"/>
      <c r="Z15" s="532"/>
      <c r="AA15" s="532"/>
      <c r="AB15" s="532"/>
      <c r="AC15" s="532"/>
      <c r="AD15" s="532"/>
      <c r="AE15" s="532"/>
      <c r="AF15" s="532"/>
      <c r="AG15" s="532"/>
      <c r="AH15" s="532"/>
      <c r="AI15" s="532"/>
      <c r="AJ15" s="532"/>
      <c r="AK15" s="532"/>
      <c r="AL15" s="532"/>
      <c r="AM15" s="532"/>
      <c r="AO15" s="130"/>
      <c r="AP15" s="130" t="str">
        <f t="shared" si="17"/>
        <v xml:space="preserve">Добавить территорию для дифференциации</v>
      </c>
      <c r="AQ15" s="130"/>
      <c r="AR15" s="130"/>
      <c r="AS15" s="57">
        <v>0</v>
      </c>
    </row>
    <row r="16" ht="14.25" hidden="1" customHeight="1">
      <c r="AC16" s="50"/>
      <c r="AK16" s="50"/>
      <c r="AS16" s="50">
        <v>0</v>
      </c>
    </row>
    <row r="17" ht="14.25" hidden="1" customHeight="1">
      <c r="AD17" s="534"/>
      <c r="AE17" s="534"/>
      <c r="AF17" s="534"/>
      <c r="AG17" s="535"/>
      <c r="AH17" s="536"/>
      <c r="AI17" s="537" t="s">
        <v>64</v>
      </c>
      <c r="AJ17" s="536"/>
      <c r="AK17" s="537" t="s">
        <v>64</v>
      </c>
      <c r="AS17" s="50">
        <v>0</v>
      </c>
    </row>
    <row r="18" ht="14.25" hidden="1" customHeight="1">
      <c r="AD18" s="534"/>
      <c r="AE18" s="534"/>
      <c r="AF18" s="534"/>
      <c r="AG18" s="513" t="str">
        <f>AH17&amp;"-"&amp;AJ17</f>
        <v>-</v>
      </c>
      <c r="AH18" s="537"/>
      <c r="AI18" s="537"/>
      <c r="AJ18" s="537"/>
      <c r="AK18" s="537"/>
      <c r="AS18" s="50">
        <v>0</v>
      </c>
    </row>
    <row r="19" ht="14.25" hidden="1" customHeight="1">
      <c r="AK19" s="50"/>
      <c r="AS19" s="50">
        <v>0</v>
      </c>
    </row>
    <row r="20" s="53" customFormat="1" ht="22.5" hidden="1" customHeight="1">
      <c r="L20" s="114"/>
      <c r="M20" s="61"/>
      <c r="N20" s="61"/>
      <c r="O20" s="538" t="s">
        <v>411</v>
      </c>
      <c r="P20" s="61"/>
      <c r="Q20" s="539"/>
      <c r="R20" s="539"/>
      <c r="S20" s="483"/>
      <c r="Z20" s="538"/>
      <c r="AB20" s="538"/>
      <c r="AC20" s="53"/>
      <c r="AH20" s="538"/>
      <c r="AJ20" s="538"/>
      <c r="AK20" s="53"/>
      <c r="AN20" s="57"/>
      <c r="AO20" s="57"/>
      <c r="AP20" s="57"/>
      <c r="AQ20" s="57"/>
      <c r="AR20" s="57"/>
      <c r="AS20" s="53">
        <v>0</v>
      </c>
    </row>
    <row r="21" s="53" customFormat="1" ht="14.25" hidden="1" customHeight="1">
      <c r="L21" s="114"/>
      <c r="M21" s="61"/>
      <c r="N21" s="61"/>
      <c r="O21" s="61"/>
      <c r="P21" s="61"/>
      <c r="Q21" s="539"/>
      <c r="R21" s="539"/>
      <c r="S21" s="483"/>
      <c r="AC21" s="53"/>
      <c r="AK21" s="53"/>
      <c r="AN21" s="57"/>
      <c r="AO21" s="57"/>
      <c r="AP21" s="57"/>
      <c r="AQ21" s="57"/>
      <c r="AR21" s="57"/>
      <c r="AS21" s="53">
        <v>0</v>
      </c>
    </row>
    <row r="22" s="53" customFormat="1" ht="14.25" hidden="1" customHeight="1">
      <c r="L22" s="114"/>
      <c r="M22" s="61"/>
      <c r="N22" s="61"/>
      <c r="O22" s="482" t="s">
        <v>412</v>
      </c>
      <c r="P22" s="61"/>
      <c r="Q22" s="539"/>
      <c r="R22" s="539"/>
      <c r="S22" s="483"/>
      <c r="T22" s="53" t="s">
        <v>413</v>
      </c>
      <c r="AA22" s="152" t="s">
        <v>414</v>
      </c>
      <c r="AC22" s="152" t="s">
        <v>415</v>
      </c>
      <c r="AD22" s="53" t="s">
        <v>413</v>
      </c>
      <c r="AI22" s="152" t="s">
        <v>416</v>
      </c>
      <c r="AK22" s="152" t="s">
        <v>415</v>
      </c>
      <c r="AN22" s="57"/>
      <c r="AO22" s="57"/>
      <c r="AP22" s="57"/>
      <c r="AQ22" s="57"/>
      <c r="AR22" s="57"/>
      <c r="AS22" s="53">
        <v>0</v>
      </c>
    </row>
    <row r="23" ht="14.25" hidden="1" customHeight="1">
      <c r="O23" s="482"/>
      <c r="AS23" s="50">
        <v>0</v>
      </c>
    </row>
    <row r="24" ht="14.25" hidden="1" customHeight="1">
      <c r="O24" s="482"/>
      <c r="AS24" s="50">
        <v>0</v>
      </c>
    </row>
    <row r="25" ht="14.65" customHeight="1">
      <c r="Q25" s="540"/>
      <c r="R25" s="540"/>
      <c r="S25" s="541"/>
      <c r="T25" s="91"/>
      <c r="U25" s="91"/>
      <c r="V25" s="50"/>
      <c r="W25" s="50"/>
      <c r="X25" s="50"/>
      <c r="Y25" s="50"/>
      <c r="Z25" s="50"/>
      <c r="AA25" s="50"/>
      <c r="AB25" s="50"/>
      <c r="AC25" s="50"/>
      <c r="AD25" s="50"/>
      <c r="AE25" s="50"/>
      <c r="AF25" s="50"/>
      <c r="AG25" s="50"/>
      <c r="AH25" s="50"/>
      <c r="AI25" s="50"/>
      <c r="AJ25" s="50"/>
      <c r="AK25" s="50"/>
      <c r="AS25" s="50">
        <v>14</v>
      </c>
    </row>
    <row r="26" ht="53.5" customHeight="1">
      <c r="Q26" s="540"/>
      <c r="R26" s="540"/>
      <c r="S26" s="453" t="str">
        <f>IF(TEMPLATE_GROUP="P",PT_P_FORM_HEAT_5_NAME_FORM,PT_R_FORM_HEAT_22_NAME_FORM)</f>
        <v xml:space="preserve">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453"/>
      <c r="U26" s="453"/>
      <c r="V26" s="453"/>
      <c r="W26" s="453"/>
      <c r="X26" s="453"/>
      <c r="Y26" s="453"/>
      <c r="Z26" s="453"/>
      <c r="AA26" s="453"/>
      <c r="AB26" s="453"/>
      <c r="AC26" s="453"/>
      <c r="AD26" s="453"/>
      <c r="AE26" s="453"/>
      <c r="AF26" s="453"/>
      <c r="AG26" s="453"/>
      <c r="AH26" s="453"/>
      <c r="AI26" s="453"/>
      <c r="AJ26" s="453"/>
      <c r="AK26" s="241"/>
      <c r="AS26" s="50">
        <v>51</v>
      </c>
    </row>
    <row r="27" ht="14.65" customHeight="1">
      <c r="Q27" s="540"/>
      <c r="R27" s="540"/>
      <c r="S27" s="304" t="str">
        <f>IF(org=0,"Не определено",org)</f>
        <v xml:space="preserve">АО "ДГК" СП "Биробиджанская ТЭЦ"</v>
      </c>
      <c r="T27" s="304"/>
      <c r="U27" s="304"/>
      <c r="V27" s="304"/>
      <c r="W27" s="304"/>
      <c r="X27" s="304"/>
      <c r="Y27" s="304"/>
      <c r="Z27" s="304"/>
      <c r="AA27" s="304"/>
      <c r="AB27" s="304"/>
      <c r="AC27" s="304"/>
      <c r="AD27" s="304"/>
      <c r="AE27" s="304"/>
      <c r="AF27" s="304"/>
      <c r="AG27" s="304"/>
      <c r="AH27" s="304"/>
      <c r="AI27" s="304"/>
      <c r="AJ27" s="304"/>
      <c r="AK27" s="241"/>
      <c r="AS27" s="50">
        <v>14</v>
      </c>
    </row>
    <row r="28" ht="14.25" hidden="1" customHeight="1">
      <c r="Q28" s="540"/>
      <c r="R28" s="540"/>
      <c r="S28" s="541"/>
      <c r="T28" s="91"/>
      <c r="U28" s="91"/>
      <c r="V28" s="542"/>
      <c r="W28" s="542"/>
      <c r="X28" s="542"/>
      <c r="Y28" s="542"/>
      <c r="Z28" s="542"/>
      <c r="AA28" s="542"/>
      <c r="AB28" s="542"/>
      <c r="AC28" s="542"/>
      <c r="AD28" s="542"/>
      <c r="AE28" s="542"/>
      <c r="AF28" s="542"/>
      <c r="AG28" s="542"/>
      <c r="AH28" s="542"/>
      <c r="AI28" s="542"/>
      <c r="AJ28" s="542"/>
      <c r="AK28" s="542"/>
      <c r="AL28" s="50"/>
      <c r="AS28" s="50">
        <v>0</v>
      </c>
    </row>
    <row r="29" s="185" customFormat="1" ht="25.5" hidden="1" customHeight="1">
      <c r="A29" s="152"/>
      <c r="B29" s="152"/>
      <c r="C29" s="152"/>
      <c r="D29" s="152"/>
      <c r="E29" s="152"/>
      <c r="F29" s="152"/>
      <c r="G29" s="152"/>
      <c r="H29" s="152"/>
      <c r="I29" s="152"/>
      <c r="J29" s="152"/>
      <c r="K29" s="152"/>
      <c r="L29" s="482"/>
      <c r="M29" s="152"/>
      <c r="N29" s="152"/>
      <c r="O29" s="152"/>
      <c r="S29" s="543" t="s">
        <v>41</v>
      </c>
      <c r="T29" s="543"/>
      <c r="U29" s="544"/>
      <c r="V29" s="545" t="str">
        <f>IF(TITLE_NAME_OR_PR_CHANGE="",IF(TITLE_NAME_OR_PR="","",TITLE_NAME_OR_PR),TITLE_NAME_OR_PR_CHANGE)</f>
        <v/>
      </c>
      <c r="W29" s="545"/>
      <c r="X29" s="545"/>
      <c r="Y29" s="545"/>
      <c r="Z29" s="545"/>
      <c r="AA29" s="545"/>
      <c r="AB29" s="545"/>
      <c r="AC29" s="50"/>
      <c r="AD29" s="545" t="str">
        <f>IF(TITLE_NAME_OR_PR_CHANGE="",IF(TITLE_NAME_OR_PR="","",TITLE_NAME_OR_PR),TITLE_NAME_OR_PR_CHANGE)</f>
        <v/>
      </c>
      <c r="AE29" s="545"/>
      <c r="AF29" s="545"/>
      <c r="AG29" s="545"/>
      <c r="AH29" s="545"/>
      <c r="AI29" s="545"/>
      <c r="AJ29" s="545"/>
      <c r="AK29" s="50"/>
      <c r="AL29" s="50"/>
      <c r="AM29" s="546"/>
      <c r="AN29" s="130"/>
      <c r="AO29" s="130"/>
      <c r="AP29" s="130"/>
      <c r="AQ29" s="130"/>
      <c r="AR29" s="130"/>
      <c r="AS29" s="185">
        <v>0</v>
      </c>
    </row>
    <row r="30" s="185" customFormat="1" ht="18.75" hidden="1" customHeight="1">
      <c r="A30" s="152"/>
      <c r="B30" s="152"/>
      <c r="C30" s="152"/>
      <c r="D30" s="152"/>
      <c r="E30" s="152"/>
      <c r="F30" s="152"/>
      <c r="G30" s="152"/>
      <c r="H30" s="152"/>
      <c r="I30" s="152"/>
      <c r="J30" s="152"/>
      <c r="K30" s="152"/>
      <c r="L30" s="482"/>
      <c r="M30" s="152"/>
      <c r="N30" s="152"/>
      <c r="O30" s="152"/>
      <c r="S30" s="543" t="s">
        <v>417</v>
      </c>
      <c r="T30" s="543"/>
      <c r="U30" s="544"/>
      <c r="V30" s="547" t="str">
        <f>IF(TITLE_DATE_PR_CHANGE="",IF(TITLE_DATE_PR="","",TITLE_DATE_PR),TITLE_DATE_PR_CHANGE)</f>
        <v/>
      </c>
      <c r="W30" s="547"/>
      <c r="X30" s="547"/>
      <c r="Y30" s="547"/>
      <c r="Z30" s="547"/>
      <c r="AA30" s="547"/>
      <c r="AB30" s="547"/>
      <c r="AC30" s="50"/>
      <c r="AD30" s="547" t="str">
        <f>IF(TITLE_DATE_PR_CHANGE="",IF(TITLE_DATE_PR="","",TITLE_DATE_PR),TITLE_DATE_PR_CHANGE)</f>
        <v/>
      </c>
      <c r="AE30" s="547"/>
      <c r="AF30" s="547"/>
      <c r="AG30" s="547"/>
      <c r="AH30" s="547"/>
      <c r="AI30" s="547"/>
      <c r="AJ30" s="547"/>
      <c r="AK30" s="50"/>
      <c r="AL30" s="50"/>
      <c r="AM30" s="546"/>
      <c r="AN30" s="130"/>
      <c r="AO30" s="130"/>
      <c r="AP30" s="130"/>
      <c r="AQ30" s="130"/>
      <c r="AR30" s="130"/>
      <c r="AS30" s="185">
        <v>0</v>
      </c>
    </row>
    <row r="31" s="185" customFormat="1" ht="18.75" hidden="1" customHeight="1">
      <c r="A31" s="152"/>
      <c r="B31" s="152"/>
      <c r="C31" s="152"/>
      <c r="D31" s="152"/>
      <c r="E31" s="152"/>
      <c r="F31" s="152"/>
      <c r="G31" s="152"/>
      <c r="H31" s="152"/>
      <c r="I31" s="152"/>
      <c r="J31" s="152"/>
      <c r="K31" s="152"/>
      <c r="L31" s="482"/>
      <c r="M31" s="152"/>
      <c r="N31" s="152"/>
      <c r="O31" s="152"/>
      <c r="S31" s="543" t="s">
        <v>418</v>
      </c>
      <c r="T31" s="543"/>
      <c r="U31" s="544"/>
      <c r="V31" s="545" t="str">
        <f>IF(TITLE_NUMBER_PR_CHANGE="",IF(TITLE_NUMBER_PR="","",TITLE_NUMBER_PR),TITLE_NUMBER_PR_CHANGE)</f>
        <v/>
      </c>
      <c r="W31" s="545"/>
      <c r="X31" s="545"/>
      <c r="Y31" s="545"/>
      <c r="Z31" s="545"/>
      <c r="AA31" s="545"/>
      <c r="AB31" s="545"/>
      <c r="AC31" s="50"/>
      <c r="AD31" s="545" t="str">
        <f>IF(TITLE_NUMBER_PR_CHANGE="",IF(TITLE_NUMBER_PR="","",TITLE_NUMBER_PR),TITLE_NUMBER_PR_CHANGE)</f>
        <v/>
      </c>
      <c r="AE31" s="545"/>
      <c r="AF31" s="545"/>
      <c r="AG31" s="545"/>
      <c r="AH31" s="545"/>
      <c r="AI31" s="545"/>
      <c r="AJ31" s="545"/>
      <c r="AK31" s="50"/>
      <c r="AL31" s="50"/>
      <c r="AM31" s="546"/>
      <c r="AN31" s="130"/>
      <c r="AO31" s="130"/>
      <c r="AP31" s="130"/>
      <c r="AQ31" s="130"/>
      <c r="AR31" s="130"/>
      <c r="AS31" s="185">
        <v>0</v>
      </c>
    </row>
    <row r="32" s="185" customFormat="1" ht="18.75" hidden="1" customHeight="1">
      <c r="A32" s="152"/>
      <c r="B32" s="152"/>
      <c r="C32" s="152"/>
      <c r="D32" s="152"/>
      <c r="E32" s="152"/>
      <c r="F32" s="152"/>
      <c r="G32" s="152"/>
      <c r="H32" s="152"/>
      <c r="I32" s="152"/>
      <c r="J32" s="152"/>
      <c r="K32" s="152"/>
      <c r="L32" s="482"/>
      <c r="M32" s="152"/>
      <c r="N32" s="152"/>
      <c r="O32" s="152"/>
      <c r="S32" s="543" t="s">
        <v>42</v>
      </c>
      <c r="T32" s="543"/>
      <c r="U32" s="544"/>
      <c r="V32" s="545" t="str">
        <f>IF(TITLE_IST_PUB_CHANGE="",IF(TITLE_IST_PUB="","",TITLE_IST_PUB),TITLE_IST_PUB_CHANGE)</f>
        <v/>
      </c>
      <c r="W32" s="545"/>
      <c r="X32" s="545"/>
      <c r="Y32" s="545"/>
      <c r="Z32" s="545"/>
      <c r="AA32" s="545"/>
      <c r="AB32" s="545"/>
      <c r="AC32" s="50"/>
      <c r="AD32" s="545" t="str">
        <f>IF(TITLE_IST_PUB_CHANGE="",IF(TITLE_IST_PUB="","",TITLE_IST_PUB),TITLE_IST_PUB_CHANGE)</f>
        <v/>
      </c>
      <c r="AE32" s="545"/>
      <c r="AF32" s="545"/>
      <c r="AG32" s="545"/>
      <c r="AH32" s="545"/>
      <c r="AI32" s="545"/>
      <c r="AJ32" s="545"/>
      <c r="AK32" s="50"/>
      <c r="AL32" s="50"/>
      <c r="AM32" s="546"/>
      <c r="AN32" s="130"/>
      <c r="AO32" s="130"/>
      <c r="AP32" s="130"/>
      <c r="AQ32" s="130"/>
      <c r="AR32" s="130"/>
      <c r="AS32" s="185">
        <v>0</v>
      </c>
    </row>
    <row r="33" ht="14.25" hidden="1" customHeight="1">
      <c r="Q33" s="540"/>
      <c r="R33" s="540"/>
      <c r="S33" s="541"/>
      <c r="T33" s="91"/>
      <c r="U33" s="91"/>
      <c r="V33" s="542"/>
      <c r="W33" s="542"/>
      <c r="X33" s="542"/>
      <c r="Y33" s="542"/>
      <c r="Z33" s="542"/>
      <c r="AA33" s="542"/>
      <c r="AB33" s="542"/>
      <c r="AC33" s="542"/>
      <c r="AD33" s="542"/>
      <c r="AE33" s="542"/>
      <c r="AF33" s="542"/>
      <c r="AG33" s="542"/>
      <c r="AH33" s="542"/>
      <c r="AI33" s="542"/>
      <c r="AJ33" s="542"/>
      <c r="AK33" s="542"/>
      <c r="AL33" s="50"/>
      <c r="AS33" s="50">
        <v>0</v>
      </c>
    </row>
    <row r="34" s="185" customFormat="1" ht="18.75" hidden="1" customHeight="1">
      <c r="A34" s="152"/>
      <c r="B34" s="152"/>
      <c r="C34" s="152"/>
      <c r="D34" s="152"/>
      <c r="E34" s="152"/>
      <c r="F34" s="152"/>
      <c r="G34" s="152"/>
      <c r="H34" s="152"/>
      <c r="I34" s="152"/>
      <c r="J34" s="152"/>
      <c r="K34" s="152"/>
      <c r="L34" s="482"/>
      <c r="M34" s="152"/>
      <c r="N34" s="152"/>
      <c r="O34" s="152"/>
      <c r="S34" s="543" t="s">
        <v>419</v>
      </c>
      <c r="T34" s="543"/>
      <c r="U34" s="544"/>
      <c r="V34" s="547" t="str">
        <f>IF(TITLE_DATE_PR_CHANGE="",IF(TITLE_DATE_PR="","",TITLE_DATE_PR),TITLE_DATE_PR_CHANGE)</f>
        <v/>
      </c>
      <c r="W34" s="547"/>
      <c r="X34" s="547"/>
      <c r="Y34" s="547"/>
      <c r="Z34" s="547"/>
      <c r="AA34" s="547"/>
      <c r="AB34" s="547"/>
      <c r="AC34" s="50"/>
      <c r="AD34" s="547" t="str">
        <f>IF(TITLE_DATE_PR_CHANGE="",IF(TITLE_DATE_PR="","",TITLE_DATE_PR),TITLE_DATE_PR_CHANGE)</f>
        <v/>
      </c>
      <c r="AE34" s="547"/>
      <c r="AF34" s="547"/>
      <c r="AG34" s="547"/>
      <c r="AH34" s="547"/>
      <c r="AI34" s="547"/>
      <c r="AJ34" s="547"/>
      <c r="AK34" s="50"/>
      <c r="AL34" s="50"/>
      <c r="AM34" s="546"/>
      <c r="AN34" s="130"/>
      <c r="AO34" s="130"/>
      <c r="AP34" s="130"/>
      <c r="AQ34" s="130"/>
      <c r="AR34" s="130"/>
      <c r="AS34" s="185">
        <v>0</v>
      </c>
    </row>
    <row r="35" s="185" customFormat="1" ht="25.5" hidden="1" customHeight="1">
      <c r="A35" s="152"/>
      <c r="B35" s="152"/>
      <c r="C35" s="152"/>
      <c r="D35" s="152"/>
      <c r="E35" s="152"/>
      <c r="F35" s="152"/>
      <c r="G35" s="152"/>
      <c r="H35" s="152"/>
      <c r="I35" s="152"/>
      <c r="J35" s="152"/>
      <c r="K35" s="152"/>
      <c r="L35" s="482"/>
      <c r="M35" s="152"/>
      <c r="N35" s="152"/>
      <c r="O35" s="152"/>
      <c r="S35" s="543" t="s">
        <v>420</v>
      </c>
      <c r="T35" s="543"/>
      <c r="U35" s="544"/>
      <c r="V35" s="545" t="str">
        <f>IF(TITLE_NUMBER_PR_CHANGE="",IF(TITLE_NUMBER_PR="","",TITLE_NUMBER_PR),TITLE_NUMBER_PR_CHANGE)</f>
        <v/>
      </c>
      <c r="W35" s="545"/>
      <c r="X35" s="545"/>
      <c r="Y35" s="545"/>
      <c r="Z35" s="545"/>
      <c r="AA35" s="545"/>
      <c r="AB35" s="545"/>
      <c r="AC35" s="50"/>
      <c r="AD35" s="545" t="str">
        <f>IF(TITLE_NUMBER_PR_CHANGE="",IF(TITLE_NUMBER_PR="","",TITLE_NUMBER_PR),TITLE_NUMBER_PR_CHANGE)</f>
        <v/>
      </c>
      <c r="AE35" s="545"/>
      <c r="AF35" s="545"/>
      <c r="AG35" s="545"/>
      <c r="AH35" s="545"/>
      <c r="AI35" s="545"/>
      <c r="AJ35" s="545"/>
      <c r="AK35" s="50"/>
      <c r="AL35" s="50"/>
      <c r="AM35" s="546"/>
      <c r="AN35" s="130"/>
      <c r="AO35" s="130"/>
      <c r="AP35" s="130"/>
      <c r="AQ35" s="130"/>
      <c r="AR35" s="130"/>
      <c r="AS35" s="185">
        <v>0</v>
      </c>
    </row>
    <row r="36" s="185" customFormat="1" ht="0" customHeight="1">
      <c r="A36" s="152"/>
      <c r="B36" s="152"/>
      <c r="C36" s="152"/>
      <c r="D36" s="152"/>
      <c r="E36" s="152"/>
      <c r="F36" s="152"/>
      <c r="G36" s="152"/>
      <c r="H36" s="152"/>
      <c r="I36" s="152"/>
      <c r="J36" s="152"/>
      <c r="K36" s="152"/>
      <c r="L36" s="482"/>
      <c r="M36" s="152"/>
      <c r="N36" s="152"/>
      <c r="O36" s="152"/>
      <c r="S36" s="50"/>
      <c r="T36" s="50"/>
      <c r="U36" s="141"/>
      <c r="V36" s="50"/>
      <c r="W36" s="50"/>
      <c r="X36" s="50"/>
      <c r="Y36" s="50"/>
      <c r="Z36" s="50"/>
      <c r="AA36" s="50"/>
      <c r="AB36" s="50"/>
      <c r="AC36" s="57" t="s">
        <v>421</v>
      </c>
      <c r="AD36" s="50"/>
      <c r="AE36" s="50"/>
      <c r="AF36" s="50"/>
      <c r="AG36" s="50"/>
      <c r="AH36" s="50"/>
      <c r="AI36" s="50"/>
      <c r="AJ36" s="50"/>
      <c r="AK36" s="57" t="s">
        <v>421</v>
      </c>
      <c r="AN36" s="130"/>
      <c r="AO36" s="130"/>
      <c r="AP36" s="130"/>
      <c r="AQ36" s="130"/>
      <c r="AR36" s="130"/>
      <c r="AS36" s="185">
        <v>0</v>
      </c>
    </row>
    <row r="37" ht="14.65" customHeight="1">
      <c r="Q37" s="540"/>
      <c r="R37" s="540"/>
      <c r="S37" s="541"/>
      <c r="T37" s="91"/>
      <c r="U37" s="548"/>
      <c r="V37" s="549"/>
      <c r="W37" s="549"/>
      <c r="X37" s="549"/>
      <c r="Y37" s="549"/>
      <c r="Z37" s="549"/>
      <c r="AA37" s="549"/>
      <c r="AB37" s="549"/>
      <c r="AC37" s="549"/>
      <c r="AD37" s="549"/>
      <c r="AE37" s="549"/>
      <c r="AF37" s="549"/>
      <c r="AG37" s="549"/>
      <c r="AH37" s="549"/>
      <c r="AI37" s="549"/>
      <c r="AJ37" s="549"/>
      <c r="AK37" s="549"/>
      <c r="AS37" s="50">
        <v>14</v>
      </c>
    </row>
    <row r="38" ht="14.65" customHeight="1">
      <c r="Q38" s="540"/>
      <c r="R38" s="540"/>
      <c r="S38" s="158" t="s">
        <v>294</v>
      </c>
      <c r="T38" s="158"/>
      <c r="U38" s="158"/>
      <c r="V38" s="158"/>
      <c r="W38" s="158"/>
      <c r="X38" s="158"/>
      <c r="Y38" s="158"/>
      <c r="Z38" s="158"/>
      <c r="AA38" s="158"/>
      <c r="AB38" s="158"/>
      <c r="AC38" s="158"/>
      <c r="AD38" s="158"/>
      <c r="AE38" s="158"/>
      <c r="AF38" s="158"/>
      <c r="AG38" s="158"/>
      <c r="AH38" s="158"/>
      <c r="AI38" s="158"/>
      <c r="AJ38" s="158"/>
      <c r="AK38" s="158"/>
      <c r="AL38" s="158"/>
      <c r="AM38" s="158" t="s">
        <v>295</v>
      </c>
      <c r="AS38" s="50">
        <v>14</v>
      </c>
    </row>
    <row r="39" ht="14.65" customHeight="1">
      <c r="Q39" s="540"/>
      <c r="R39" s="540"/>
      <c r="S39" s="485" t="s">
        <v>87</v>
      </c>
      <c r="T39" s="348" t="s">
        <v>422</v>
      </c>
      <c r="U39" s="550"/>
      <c r="V39" s="551" t="s">
        <v>423</v>
      </c>
      <c r="W39" s="552"/>
      <c r="X39" s="552"/>
      <c r="Y39" s="552"/>
      <c r="Z39" s="552"/>
      <c r="AA39" s="552"/>
      <c r="AB39" s="553"/>
      <c r="AC39" s="554" t="s">
        <v>424</v>
      </c>
      <c r="AD39" s="551" t="s">
        <v>423</v>
      </c>
      <c r="AE39" s="552"/>
      <c r="AF39" s="552"/>
      <c r="AG39" s="552"/>
      <c r="AH39" s="552"/>
      <c r="AI39" s="552"/>
      <c r="AJ39" s="553"/>
      <c r="AK39" s="554" t="s">
        <v>425</v>
      </c>
      <c r="AL39" s="555" t="s">
        <v>426</v>
      </c>
      <c r="AM39" s="158"/>
      <c r="AS39" s="50">
        <v>14</v>
      </c>
    </row>
    <row r="40" ht="35.649999999999999" customHeight="1">
      <c r="Q40" s="540"/>
      <c r="R40" s="540"/>
      <c r="S40" s="485"/>
      <c r="T40" s="348"/>
      <c r="U40" s="556"/>
      <c r="V40" s="308" t="s">
        <v>427</v>
      </c>
      <c r="W40" s="557"/>
      <c r="X40" s="73" t="s">
        <v>429</v>
      </c>
      <c r="Y40" s="72"/>
      <c r="Z40" s="73" t="s">
        <v>430</v>
      </c>
      <c r="AA40" s="146"/>
      <c r="AB40" s="72"/>
      <c r="AC40" s="558"/>
      <c r="AD40" s="308" t="s">
        <v>444</v>
      </c>
      <c r="AE40" s="557"/>
      <c r="AF40" s="73" t="s">
        <v>429</v>
      </c>
      <c r="AG40" s="72"/>
      <c r="AH40" s="73" t="s">
        <v>430</v>
      </c>
      <c r="AI40" s="146"/>
      <c r="AJ40" s="72"/>
      <c r="AK40" s="558"/>
      <c r="AL40" s="559"/>
      <c r="AM40" s="158"/>
      <c r="AS40" s="50">
        <v>34</v>
      </c>
    </row>
    <row r="41" ht="35.649999999999999" customHeight="1">
      <c r="A41" s="152"/>
      <c r="B41" s="152" t="s">
        <v>131</v>
      </c>
      <c r="C41" s="152" t="s">
        <v>132</v>
      </c>
      <c r="D41" s="152" t="s">
        <v>133</v>
      </c>
      <c r="E41" s="482" t="s">
        <v>431</v>
      </c>
      <c r="F41" s="482" t="s">
        <v>432</v>
      </c>
      <c r="G41" s="482" t="s">
        <v>433</v>
      </c>
      <c r="H41" s="482" t="s">
        <v>434</v>
      </c>
      <c r="I41" s="482" t="s">
        <v>435</v>
      </c>
      <c r="J41" s="482" t="s">
        <v>436</v>
      </c>
      <c r="K41" s="482" t="s">
        <v>437</v>
      </c>
      <c r="L41" s="482" t="s">
        <v>412</v>
      </c>
      <c r="Q41" s="540"/>
      <c r="R41" s="540"/>
      <c r="S41" s="485"/>
      <c r="T41" s="348"/>
      <c r="U41" s="560"/>
      <c r="V41" s="163"/>
      <c r="W41" s="561"/>
      <c r="X41" s="247" t="s">
        <v>438</v>
      </c>
      <c r="Y41" s="247" t="s">
        <v>439</v>
      </c>
      <c r="Z41" s="247" t="s">
        <v>440</v>
      </c>
      <c r="AA41" s="416" t="s">
        <v>441</v>
      </c>
      <c r="AB41" s="418"/>
      <c r="AC41" s="562"/>
      <c r="AD41" s="163"/>
      <c r="AE41" s="561"/>
      <c r="AF41" s="247" t="s">
        <v>438</v>
      </c>
      <c r="AG41" s="247" t="s">
        <v>439</v>
      </c>
      <c r="AH41" s="247" t="s">
        <v>440</v>
      </c>
      <c r="AI41" s="416" t="s">
        <v>441</v>
      </c>
      <c r="AJ41" s="418"/>
      <c r="AK41" s="562"/>
      <c r="AL41" s="563"/>
      <c r="AM41" s="158"/>
      <c r="AS41" s="50">
        <v>34</v>
      </c>
    </row>
    <row r="42" s="132" customFormat="1" ht="11.25" hidden="1" customHeight="1">
      <c r="A42" s="152"/>
      <c r="B42" s="152"/>
      <c r="C42" s="152"/>
      <c r="D42" s="152"/>
      <c r="E42" s="152"/>
      <c r="F42" s="152"/>
      <c r="G42" s="152"/>
      <c r="H42" s="152"/>
      <c r="I42" s="152"/>
      <c r="J42" s="152"/>
      <c r="K42" s="152"/>
      <c r="L42" s="482"/>
      <c r="M42" s="61"/>
      <c r="N42" s="61"/>
      <c r="O42" s="61"/>
      <c r="P42" s="564"/>
      <c r="Q42" s="565"/>
      <c r="R42" s="566">
        <v>1</v>
      </c>
      <c r="S42" s="567" t="s">
        <v>105</v>
      </c>
      <c r="T42" s="568" t="s">
        <v>106</v>
      </c>
      <c r="U42" s="569" t="str">
        <f ca="1">OFFSET(U42,0,-1)</f>
        <v>2</v>
      </c>
      <c r="V42" s="570">
        <f ca="1">OFFSET(V42,0,-1)+1</f>
        <v>3</v>
      </c>
      <c r="W42" s="570"/>
      <c r="X42" s="570">
        <f ca="1">OFFSET(X42,0,-1)+1</f>
        <v>1</v>
      </c>
      <c r="Y42" s="570">
        <f ca="1">OFFSET(Y42,0,-1)+1</f>
        <v>2</v>
      </c>
      <c r="Z42" s="570">
        <f ca="1">OFFSET(Z42,0,-1)+1</f>
        <v>3</v>
      </c>
      <c r="AA42" s="570">
        <f ca="1">OFFSET(AA42,0,-1)+1</f>
        <v>4</v>
      </c>
      <c r="AB42" s="570"/>
      <c r="AC42" s="570">
        <f ca="1">OFFSET(AC42,0,-2)+1</f>
        <v>5</v>
      </c>
      <c r="AD42" s="570">
        <f ca="1">OFFSET(AD42,0,-1)+1</f>
        <v>6</v>
      </c>
      <c r="AE42" s="570"/>
      <c r="AF42" s="570">
        <f ca="1">OFFSET(AF42,0,-1)+1</f>
        <v>1</v>
      </c>
      <c r="AG42" s="570">
        <f ca="1">OFFSET(AG42,0,-1)+1</f>
        <v>2</v>
      </c>
      <c r="AH42" s="570">
        <f ca="1">OFFSET(AH42,0,-1)+1</f>
        <v>3</v>
      </c>
      <c r="AI42" s="570">
        <f ca="1">OFFSET(AI42,0,-1)+1</f>
        <v>4</v>
      </c>
      <c r="AJ42" s="570"/>
      <c r="AK42" s="570">
        <f ca="1">OFFSET(AK42,0,-2)+1</f>
        <v>5</v>
      </c>
      <c r="AL42" s="569">
        <f ca="1">OFFSET(AL42,0,-1)</f>
        <v>5</v>
      </c>
      <c r="AM42" s="570">
        <f ca="1">OFFSET(AM42,0,-1)+1</f>
        <v>6</v>
      </c>
      <c r="AN42" s="57"/>
      <c r="AO42" s="57"/>
      <c r="AP42" s="57"/>
      <c r="AQ42" s="57"/>
      <c r="AR42" s="57"/>
      <c r="AS42" s="132">
        <v>0</v>
      </c>
    </row>
    <row r="43" ht="22" customHeight="1">
      <c r="A43" s="480" t="s">
        <v>182</v>
      </c>
      <c r="B43" s="480"/>
      <c r="C43" s="480"/>
      <c r="D43" s="480"/>
      <c r="E43" s="481">
        <v>1</v>
      </c>
      <c r="F43" s="480"/>
      <c r="G43" s="480"/>
      <c r="H43" s="480"/>
      <c r="I43" s="480"/>
      <c r="J43" s="480"/>
      <c r="K43" s="480"/>
      <c r="L43" s="482"/>
      <c r="M43" s="483"/>
      <c r="N43" s="483"/>
      <c r="O43" s="483"/>
      <c r="P43" s="60"/>
      <c r="Q43" s="144"/>
      <c r="R43" s="484"/>
      <c r="S43" s="485">
        <f>INDEX(PT_DIFFERENTIATION_NUM_NTAR,MATCH(A43,PT_DIFFERENTIATION_NTAR_ID,0))</f>
        <v>0</v>
      </c>
      <c r="T43" s="486" t="s">
        <v>119</v>
      </c>
      <c r="U43" s="487"/>
      <c r="V43" s="488"/>
      <c r="W43" s="489"/>
      <c r="X43" s="489"/>
      <c r="Y43" s="489"/>
      <c r="Z43" s="489"/>
      <c r="AA43" s="489"/>
      <c r="AB43" s="489"/>
      <c r="AC43" s="490"/>
      <c r="AD43" s="488" t="str">
        <f>INDEX(PT_DIFFERENTIATION_NTAR,MATCH(A43,PT_DIFFERENTIATION_NTAR_ID,0))</f>
        <v/>
      </c>
      <c r="AE43" s="489"/>
      <c r="AF43" s="489"/>
      <c r="AG43" s="489"/>
      <c r="AH43" s="489"/>
      <c r="AI43" s="489"/>
      <c r="AJ43" s="489"/>
      <c r="AK43" s="489"/>
      <c r="AL43" s="490"/>
      <c r="AM43" s="49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 xml:space="preserve">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30"/>
      <c r="AP43" s="130" t="str">
        <f t="shared" si="17"/>
        <v xml:space="preserve">Наименование тарифа</v>
      </c>
      <c r="AQ43" s="130"/>
      <c r="AR43" s="130"/>
      <c r="AS43" s="50">
        <v>21</v>
      </c>
    </row>
    <row r="44" ht="22" customHeight="1">
      <c r="A44" s="480" t="s">
        <v>182</v>
      </c>
      <c r="B44" s="480" t="s">
        <v>183</v>
      </c>
      <c r="C44" s="480"/>
      <c r="D44" s="480"/>
      <c r="E44" s="492"/>
      <c r="F44" s="481">
        <v>1</v>
      </c>
      <c r="G44" s="480"/>
      <c r="H44" s="480"/>
      <c r="I44" s="480"/>
      <c r="J44" s="480"/>
      <c r="K44" s="480"/>
      <c r="L44" s="482"/>
      <c r="M44" s="483"/>
      <c r="N44" s="483"/>
      <c r="O44" s="483"/>
      <c r="P44" s="51"/>
      <c r="Q44" s="493"/>
      <c r="R44" s="494"/>
      <c r="S44" s="485" t="str">
        <f>INDEX(PT_DIFFERENTIATION_NUM_TER,MATCH(B44,PT_DIFFERENTIATION_TER_ID,0))</f>
        <v>.</v>
      </c>
      <c r="T44" s="495" t="s">
        <v>391</v>
      </c>
      <c r="U44" s="487"/>
      <c r="V44" s="488"/>
      <c r="W44" s="489"/>
      <c r="X44" s="489"/>
      <c r="Y44" s="489"/>
      <c r="Z44" s="489"/>
      <c r="AA44" s="489"/>
      <c r="AB44" s="489"/>
      <c r="AC44" s="490"/>
      <c r="AD44" s="488" t="str">
        <f>INDEX(PT_DIFFERENTIATION_TER,MATCH(B44,PT_DIFFERENTIATION_TER_ID,0))</f>
        <v/>
      </c>
      <c r="AE44" s="489"/>
      <c r="AF44" s="489"/>
      <c r="AG44" s="489"/>
      <c r="AH44" s="489"/>
      <c r="AI44" s="489"/>
      <c r="AJ44" s="489"/>
      <c r="AK44" s="489"/>
      <c r="AL44" s="490"/>
      <c r="AM44" s="491" t="s">
        <v>392</v>
      </c>
      <c r="AO44" s="130"/>
      <c r="AP44" s="130" t="str">
        <f t="shared" si="17"/>
        <v xml:space="preserve">Территория действия тарифа</v>
      </c>
      <c r="AQ44" s="130"/>
      <c r="AR44" s="130"/>
      <c r="AS44" s="50">
        <v>21</v>
      </c>
    </row>
    <row r="45" ht="24" customHeight="1">
      <c r="A45" s="480" t="s">
        <v>182</v>
      </c>
      <c r="B45" s="480" t="s">
        <v>183</v>
      </c>
      <c r="C45" s="480" t="s">
        <v>184</v>
      </c>
      <c r="D45" s="480"/>
      <c r="E45" s="492"/>
      <c r="F45" s="492"/>
      <c r="G45" s="481">
        <v>1</v>
      </c>
      <c r="H45" s="480"/>
      <c r="I45" s="480"/>
      <c r="J45" s="480"/>
      <c r="K45" s="480"/>
      <c r="L45" s="482"/>
      <c r="M45" s="483"/>
      <c r="N45" s="483"/>
      <c r="O45" s="483"/>
      <c r="P45" s="496"/>
      <c r="Q45" s="493"/>
      <c r="R45" s="494"/>
      <c r="S45" s="485" t="str">
        <f>INDEX(PT_DIFFERENTIATION_NUM_CS,MATCH(C45,PT_DIFFERENTIATION_CS_ID,0))</f>
        <v>..</v>
      </c>
      <c r="T45" s="497" t="s">
        <v>393</v>
      </c>
      <c r="U45" s="487"/>
      <c r="V45" s="488"/>
      <c r="W45" s="489"/>
      <c r="X45" s="489"/>
      <c r="Y45" s="489"/>
      <c r="Z45" s="489"/>
      <c r="AA45" s="489"/>
      <c r="AB45" s="489"/>
      <c r="AC45" s="490"/>
      <c r="AD45" s="488" t="str">
        <f>INDEX(PT_DIFFERENTIATION_CS,MATCH(C45,PT_DIFFERENTIATION_CS_ID,0))</f>
        <v/>
      </c>
      <c r="AE45" s="489"/>
      <c r="AF45" s="489"/>
      <c r="AG45" s="489"/>
      <c r="AH45" s="489"/>
      <c r="AI45" s="489"/>
      <c r="AJ45" s="489"/>
      <c r="AK45" s="489"/>
      <c r="AL45" s="490"/>
      <c r="AM45" s="491" t="s">
        <v>394</v>
      </c>
      <c r="AO45" s="130"/>
      <c r="AP45" s="130" t="str">
        <f t="shared" si="17"/>
        <v xml:space="preserve">Наименование системы теплоснабжения </v>
      </c>
      <c r="AQ45" s="130"/>
      <c r="AR45" s="130"/>
      <c r="AS45" s="50">
        <v>23</v>
      </c>
    </row>
    <row r="46" ht="22" customHeight="1">
      <c r="A46" s="480" t="s">
        <v>182</v>
      </c>
      <c r="B46" s="480" t="s">
        <v>183</v>
      </c>
      <c r="C46" s="480" t="s">
        <v>184</v>
      </c>
      <c r="D46" s="480" t="s">
        <v>185</v>
      </c>
      <c r="E46" s="492"/>
      <c r="F46" s="492"/>
      <c r="G46" s="492"/>
      <c r="H46" s="481">
        <v>1</v>
      </c>
      <c r="I46" s="480"/>
      <c r="J46" s="480"/>
      <c r="K46" s="480"/>
      <c r="L46" s="482"/>
      <c r="M46" s="483"/>
      <c r="N46" s="483"/>
      <c r="O46" s="483"/>
      <c r="P46" s="496"/>
      <c r="Q46" s="493"/>
      <c r="R46" s="494"/>
      <c r="S46" s="485" t="str">
        <f>INDEX(PT_DIFFERENTIATION_NUM_IST_TE,MATCH(D46,PT_DIFFERENTIATION_IST_TE_ID,0))</f>
        <v>...</v>
      </c>
      <c r="T46" s="498" t="s">
        <v>395</v>
      </c>
      <c r="U46" s="487"/>
      <c r="V46" s="488"/>
      <c r="W46" s="489"/>
      <c r="X46" s="489"/>
      <c r="Y46" s="489"/>
      <c r="Z46" s="489"/>
      <c r="AA46" s="489"/>
      <c r="AB46" s="489"/>
      <c r="AC46" s="490"/>
      <c r="AD46" s="488" t="str">
        <f>INDEX(PT_DIFFERENTIATION_IST_TE,MATCH(D46,PT_DIFFERENTIATION_IST_TE_ID,0))</f>
        <v/>
      </c>
      <c r="AE46" s="489"/>
      <c r="AF46" s="489"/>
      <c r="AG46" s="489"/>
      <c r="AH46" s="489"/>
      <c r="AI46" s="489"/>
      <c r="AJ46" s="489"/>
      <c r="AK46" s="489"/>
      <c r="AL46" s="490"/>
      <c r="AM46" s="491" t="s">
        <v>396</v>
      </c>
      <c r="AO46" s="130"/>
      <c r="AP46" s="130" t="str">
        <f t="shared" si="17"/>
        <v xml:space="preserve">Источник тепловой энергии  </v>
      </c>
      <c r="AQ46" s="130"/>
      <c r="AR46" s="130"/>
      <c r="AS46" s="50">
        <v>21</v>
      </c>
    </row>
    <row r="47" s="57" customFormat="1" ht="0" customHeight="1">
      <c r="A47" s="134" t="s">
        <v>182</v>
      </c>
      <c r="B47" s="134" t="s">
        <v>183</v>
      </c>
      <c r="C47" s="134" t="s">
        <v>184</v>
      </c>
      <c r="D47" s="134" t="s">
        <v>185</v>
      </c>
      <c r="E47" s="492"/>
      <c r="F47" s="492"/>
      <c r="G47" s="492"/>
      <c r="H47" s="492"/>
      <c r="I47" s="499" t="str">
        <f>S46&amp;".1"</f>
        <v>....1</v>
      </c>
      <c r="J47" s="134"/>
      <c r="K47" s="134"/>
      <c r="L47" s="213" t="s">
        <v>397</v>
      </c>
      <c r="M47" s="597"/>
      <c r="N47" s="597"/>
      <c r="O47" s="597"/>
      <c r="P47" s="133">
        <v>1</v>
      </c>
      <c r="Q47" s="133"/>
      <c r="R47" s="500"/>
      <c r="S47" s="352"/>
      <c r="T47" s="587"/>
      <c r="U47" s="588"/>
      <c r="V47" s="589"/>
      <c r="W47" s="590"/>
      <c r="X47" s="590"/>
      <c r="Y47" s="590"/>
      <c r="Z47" s="590"/>
      <c r="AA47" s="590"/>
      <c r="AB47" s="590"/>
      <c r="AC47" s="591"/>
      <c r="AD47" s="589"/>
      <c r="AE47" s="590"/>
      <c r="AF47" s="590"/>
      <c r="AG47" s="590"/>
      <c r="AH47" s="590"/>
      <c r="AI47" s="590"/>
      <c r="AJ47" s="590"/>
      <c r="AK47" s="590"/>
      <c r="AL47" s="591"/>
      <c r="AM47" s="592"/>
      <c r="AO47" s="130"/>
      <c r="AP47" s="130" t="str">
        <f t="shared" si="17"/>
        <v/>
      </c>
      <c r="AQ47" s="130"/>
      <c r="AR47" s="130"/>
      <c r="AS47" s="57">
        <v>0</v>
      </c>
    </row>
    <row r="48" ht="22" customHeight="1">
      <c r="A48" s="480" t="s">
        <v>182</v>
      </c>
      <c r="B48" s="480" t="s">
        <v>183</v>
      </c>
      <c r="C48" s="480" t="s">
        <v>184</v>
      </c>
      <c r="D48" s="480" t="s">
        <v>185</v>
      </c>
      <c r="E48" s="492"/>
      <c r="F48" s="492"/>
      <c r="G48" s="492"/>
      <c r="H48" s="492"/>
      <c r="I48" s="504"/>
      <c r="J48" s="499" t="str">
        <f>S46&amp;".1"</f>
        <v>....1</v>
      </c>
      <c r="K48" s="480"/>
      <c r="L48" s="482" t="s">
        <v>400</v>
      </c>
      <c r="P48" s="133"/>
      <c r="Q48" s="133">
        <v>1</v>
      </c>
      <c r="R48" s="505"/>
      <c r="S48" s="485" t="str">
        <f>$J48</f>
        <v>....1</v>
      </c>
      <c r="T48" s="506" t="s">
        <v>401</v>
      </c>
      <c r="U48" s="487"/>
      <c r="V48" s="432"/>
      <c r="W48" s="502"/>
      <c r="X48" s="502"/>
      <c r="Y48" s="502"/>
      <c r="Z48" s="502"/>
      <c r="AA48" s="502"/>
      <c r="AB48" s="502"/>
      <c r="AC48" s="503"/>
      <c r="AD48" s="432"/>
      <c r="AE48" s="502"/>
      <c r="AF48" s="502"/>
      <c r="AG48" s="502"/>
      <c r="AH48" s="502"/>
      <c r="AI48" s="502"/>
      <c r="AJ48" s="502"/>
      <c r="AK48" s="502"/>
      <c r="AL48" s="503"/>
      <c r="AM48" s="491" t="s">
        <v>402</v>
      </c>
      <c r="AO48" s="130"/>
      <c r="AP48" s="130" t="str">
        <f t="shared" si="17"/>
        <v xml:space="preserve">Группа потребителей</v>
      </c>
      <c r="AQ48" s="130"/>
      <c r="AR48" s="130"/>
      <c r="AS48" s="50">
        <v>21</v>
      </c>
    </row>
    <row r="49" ht="22" customHeight="1">
      <c r="A49" s="480" t="s">
        <v>182</v>
      </c>
      <c r="B49" s="480" t="s">
        <v>183</v>
      </c>
      <c r="C49" s="480" t="s">
        <v>184</v>
      </c>
      <c r="D49" s="480" t="s">
        <v>185</v>
      </c>
      <c r="E49" s="492"/>
      <c r="F49" s="492"/>
      <c r="G49" s="492"/>
      <c r="H49" s="492"/>
      <c r="I49" s="504"/>
      <c r="J49" s="504"/>
      <c r="K49" s="499" t="str">
        <f>J48&amp;".1"</f>
        <v>....1.1</v>
      </c>
      <c r="L49" s="482" t="s">
        <v>403</v>
      </c>
      <c r="P49" s="133"/>
      <c r="Q49" s="133"/>
      <c r="R49" s="505">
        <v>1</v>
      </c>
      <c r="S49" s="485" t="str">
        <f>$K49</f>
        <v>....1.1</v>
      </c>
      <c r="T49" s="507"/>
      <c r="U49" s="487"/>
      <c r="V49" s="508"/>
      <c r="W49" s="509"/>
      <c r="X49" s="508"/>
      <c r="Y49" s="510"/>
      <c r="Z49" s="511"/>
      <c r="AA49" s="225" t="s">
        <v>64</v>
      </c>
      <c r="AB49" s="511"/>
      <c r="AC49" s="225" t="s">
        <v>64</v>
      </c>
      <c r="AD49" s="508"/>
      <c r="AE49" s="509"/>
      <c r="AF49" s="508"/>
      <c r="AG49" s="510"/>
      <c r="AH49" s="511"/>
      <c r="AI49" s="225" t="s">
        <v>64</v>
      </c>
      <c r="AJ49" s="571"/>
      <c r="AK49" s="225" t="s">
        <v>64</v>
      </c>
      <c r="AL49" s="572"/>
      <c r="AM49" s="512" t="s">
        <v>445</v>
      </c>
      <c r="AN49" s="57" t="e">
        <f>STRCHECKDATE(V50:AL50)</f>
        <v>#NAME?</v>
      </c>
      <c r="AO49" s="130"/>
      <c r="AP49" s="130" t="str">
        <f t="shared" si="17"/>
        <v/>
      </c>
      <c r="AQ49" s="130"/>
      <c r="AR49" s="130"/>
      <c r="AS49" s="50">
        <v>21</v>
      </c>
    </row>
    <row r="50" ht="0" customHeight="1">
      <c r="A50" s="480" t="s">
        <v>182</v>
      </c>
      <c r="B50" s="480" t="s">
        <v>183</v>
      </c>
      <c r="C50" s="480" t="s">
        <v>184</v>
      </c>
      <c r="D50" s="480" t="s">
        <v>185</v>
      </c>
      <c r="E50" s="492"/>
      <c r="F50" s="492"/>
      <c r="G50" s="492"/>
      <c r="H50" s="492"/>
      <c r="I50" s="504"/>
      <c r="J50" s="504"/>
      <c r="K50" s="499"/>
      <c r="L50" s="482"/>
      <c r="P50" s="133"/>
      <c r="Q50" s="133"/>
      <c r="R50" s="505"/>
      <c r="S50" s="459"/>
      <c r="T50" s="487"/>
      <c r="U50" s="487"/>
      <c r="V50" s="509"/>
      <c r="W50" s="509"/>
      <c r="X50" s="509"/>
      <c r="Y50" s="513" t="str">
        <f>Z49&amp;"-"&amp;AB49</f>
        <v>-</v>
      </c>
      <c r="Z50" s="514"/>
      <c r="AA50" s="225"/>
      <c r="AB50" s="514"/>
      <c r="AC50" s="225"/>
      <c r="AD50" s="509"/>
      <c r="AE50" s="509"/>
      <c r="AF50" s="509"/>
      <c r="AG50" s="513" t="str">
        <f>AH49&amp;"-"&amp;AJ49</f>
        <v>-</v>
      </c>
      <c r="AH50" s="514"/>
      <c r="AI50" s="225"/>
      <c r="AJ50" s="573"/>
      <c r="AK50" s="225"/>
      <c r="AL50" s="574"/>
      <c r="AM50" s="515"/>
      <c r="AO50" s="130"/>
      <c r="AP50" s="130" t="str">
        <f t="shared" si="17"/>
        <v/>
      </c>
      <c r="AQ50" s="130"/>
      <c r="AR50" s="130"/>
      <c r="AS50" s="50">
        <v>0</v>
      </c>
    </row>
    <row r="51" ht="11.5" customHeight="1">
      <c r="A51" s="480" t="s">
        <v>182</v>
      </c>
      <c r="B51" s="480" t="s">
        <v>183</v>
      </c>
      <c r="C51" s="480" t="s">
        <v>184</v>
      </c>
      <c r="D51" s="480" t="s">
        <v>185</v>
      </c>
      <c r="E51" s="492"/>
      <c r="F51" s="492"/>
      <c r="G51" s="492"/>
      <c r="H51" s="492"/>
      <c r="I51" s="504"/>
      <c r="J51" s="499"/>
      <c r="K51" s="480"/>
      <c r="L51" s="482"/>
      <c r="P51" s="133"/>
      <c r="Q51" s="133"/>
      <c r="R51" s="500"/>
      <c r="S51" s="516"/>
      <c r="T51" s="520" t="s">
        <v>405</v>
      </c>
      <c r="U51" s="215"/>
      <c r="V51" s="215"/>
      <c r="W51" s="215"/>
      <c r="X51" s="215"/>
      <c r="Y51" s="215"/>
      <c r="Z51" s="215"/>
      <c r="AA51" s="215"/>
      <c r="AB51" s="215"/>
      <c r="AC51" s="215"/>
      <c r="AD51" s="215"/>
      <c r="AE51" s="215"/>
      <c r="AF51" s="215"/>
      <c r="AG51" s="215"/>
      <c r="AH51" s="215"/>
      <c r="AI51" s="215"/>
      <c r="AJ51" s="215"/>
      <c r="AK51" s="215"/>
      <c r="AL51" s="518"/>
      <c r="AM51" s="519"/>
      <c r="AO51" s="130"/>
      <c r="AP51" s="130" t="str">
        <f t="shared" si="17"/>
        <v xml:space="preserve">Добавить вид теплоносителя (параметры теплоносителя)</v>
      </c>
      <c r="AQ51" s="130"/>
      <c r="AR51" s="130"/>
      <c r="AS51" s="50">
        <v>11</v>
      </c>
    </row>
    <row r="52" ht="11.5" customHeight="1">
      <c r="A52" s="480" t="s">
        <v>182</v>
      </c>
      <c r="B52" s="480" t="s">
        <v>183</v>
      </c>
      <c r="C52" s="480" t="s">
        <v>184</v>
      </c>
      <c r="D52" s="480" t="s">
        <v>185</v>
      </c>
      <c r="E52" s="492"/>
      <c r="F52" s="492"/>
      <c r="G52" s="492"/>
      <c r="H52" s="492"/>
      <c r="I52" s="499"/>
      <c r="J52" s="480"/>
      <c r="K52" s="480"/>
      <c r="L52" s="482"/>
      <c r="P52" s="133"/>
      <c r="Q52" s="133"/>
      <c r="R52" s="500"/>
      <c r="S52" s="516"/>
      <c r="T52" s="524" t="s">
        <v>406</v>
      </c>
      <c r="U52" s="215"/>
      <c r="V52" s="215"/>
      <c r="W52" s="215"/>
      <c r="X52" s="215"/>
      <c r="Y52" s="215"/>
      <c r="Z52" s="215"/>
      <c r="AA52" s="215"/>
      <c r="AB52" s="215"/>
      <c r="AC52" s="521"/>
      <c r="AD52" s="215"/>
      <c r="AE52" s="215"/>
      <c r="AF52" s="215"/>
      <c r="AG52" s="215"/>
      <c r="AH52" s="215"/>
      <c r="AI52" s="215"/>
      <c r="AJ52" s="215"/>
      <c r="AK52" s="521"/>
      <c r="AL52" s="215"/>
      <c r="AM52" s="522"/>
      <c r="AO52" s="130"/>
      <c r="AP52" s="130" t="str">
        <f t="shared" si="17"/>
        <v xml:space="preserve">Добавить группу потребителей</v>
      </c>
      <c r="AQ52" s="130"/>
      <c r="AR52" s="130"/>
      <c r="AS52" s="50">
        <v>11</v>
      </c>
    </row>
    <row r="53" ht="0" customHeight="1">
      <c r="A53" s="480" t="s">
        <v>182</v>
      </c>
      <c r="B53" s="480" t="s">
        <v>183</v>
      </c>
      <c r="C53" s="480" t="s">
        <v>184</v>
      </c>
      <c r="D53" s="480" t="s">
        <v>185</v>
      </c>
      <c r="E53" s="492"/>
      <c r="F53" s="492"/>
      <c r="G53" s="492"/>
      <c r="H53" s="481"/>
      <c r="I53" s="480"/>
      <c r="J53" s="480"/>
      <c r="K53" s="480"/>
      <c r="L53" s="482"/>
      <c r="M53" s="483"/>
      <c r="N53" s="483"/>
      <c r="O53" s="53"/>
      <c r="P53" s="144"/>
      <c r="Q53" s="523"/>
      <c r="R53" s="484"/>
      <c r="S53" s="593"/>
      <c r="T53" s="594"/>
      <c r="U53" s="595"/>
      <c r="V53" s="595"/>
      <c r="W53" s="595"/>
      <c r="X53" s="595"/>
      <c r="Y53" s="595"/>
      <c r="Z53" s="595"/>
      <c r="AA53" s="595"/>
      <c r="AB53" s="595"/>
      <c r="AC53" s="595"/>
      <c r="AD53" s="595"/>
      <c r="AE53" s="595"/>
      <c r="AF53" s="595"/>
      <c r="AG53" s="595"/>
      <c r="AH53" s="595"/>
      <c r="AI53" s="595"/>
      <c r="AJ53" s="595"/>
      <c r="AK53" s="595"/>
      <c r="AL53" s="595"/>
      <c r="AM53" s="596"/>
      <c r="AO53" s="130"/>
      <c r="AP53" s="130" t="str">
        <f t="shared" si="17"/>
        <v/>
      </c>
      <c r="AQ53" s="130"/>
      <c r="AR53" s="130"/>
      <c r="AS53" s="50">
        <v>0</v>
      </c>
    </row>
    <row r="54" s="57" customFormat="1" ht="0" customHeight="1">
      <c r="A54" s="134" t="s">
        <v>182</v>
      </c>
      <c r="B54" s="134" t="s">
        <v>183</v>
      </c>
      <c r="C54" s="134" t="s">
        <v>184</v>
      </c>
      <c r="D54" s="134"/>
      <c r="E54" s="492"/>
      <c r="F54" s="492"/>
      <c r="G54" s="481"/>
      <c r="H54" s="134"/>
      <c r="I54" s="134"/>
      <c r="J54" s="134"/>
      <c r="K54" s="134"/>
      <c r="L54" s="213"/>
      <c r="M54" s="465"/>
      <c r="N54" s="465"/>
      <c r="P54" s="168"/>
      <c r="Q54" s="525"/>
      <c r="R54" s="168"/>
      <c r="S54" s="530"/>
      <c r="T54" s="533" t="s">
        <v>408</v>
      </c>
      <c r="U54" s="532"/>
      <c r="V54" s="532"/>
      <c r="W54" s="532"/>
      <c r="X54" s="532"/>
      <c r="Y54" s="532"/>
      <c r="Z54" s="532"/>
      <c r="AA54" s="532"/>
      <c r="AB54" s="532"/>
      <c r="AC54" s="532"/>
      <c r="AD54" s="532"/>
      <c r="AE54" s="532"/>
      <c r="AF54" s="532"/>
      <c r="AG54" s="532"/>
      <c r="AH54" s="532"/>
      <c r="AI54" s="532"/>
      <c r="AJ54" s="532"/>
      <c r="AK54" s="532"/>
      <c r="AL54" s="532"/>
      <c r="AM54" s="532"/>
      <c r="AO54" s="130"/>
      <c r="AP54" s="130" t="str">
        <f t="shared" si="17"/>
        <v xml:space="preserve">Добавить источник для дифференциации</v>
      </c>
      <c r="AQ54" s="130"/>
      <c r="AR54" s="130"/>
      <c r="AS54" s="57">
        <v>0</v>
      </c>
    </row>
    <row r="55" s="57" customFormat="1" ht="0" customHeight="1">
      <c r="A55" s="134" t="s">
        <v>182</v>
      </c>
      <c r="B55" s="134" t="s">
        <v>183</v>
      </c>
      <c r="C55" s="134"/>
      <c r="D55" s="134"/>
      <c r="E55" s="492"/>
      <c r="F55" s="481"/>
      <c r="G55" s="134"/>
      <c r="H55" s="134"/>
      <c r="I55" s="134"/>
      <c r="J55" s="134"/>
      <c r="K55" s="134"/>
      <c r="L55" s="213"/>
      <c r="M55" s="529"/>
      <c r="N55" s="529"/>
      <c r="P55" s="168"/>
      <c r="Q55" s="525"/>
      <c r="R55" s="168"/>
      <c r="S55" s="530"/>
      <c r="T55" s="533" t="s">
        <v>409</v>
      </c>
      <c r="U55" s="532"/>
      <c r="V55" s="532"/>
      <c r="W55" s="532"/>
      <c r="X55" s="532"/>
      <c r="Y55" s="532"/>
      <c r="Z55" s="532"/>
      <c r="AA55" s="532"/>
      <c r="AB55" s="532"/>
      <c r="AC55" s="532"/>
      <c r="AD55" s="532"/>
      <c r="AE55" s="532"/>
      <c r="AF55" s="532"/>
      <c r="AG55" s="532"/>
      <c r="AH55" s="532"/>
      <c r="AI55" s="532"/>
      <c r="AJ55" s="532"/>
      <c r="AK55" s="532"/>
      <c r="AL55" s="532"/>
      <c r="AM55" s="532"/>
      <c r="AO55" s="130"/>
      <c r="AP55" s="130" t="str">
        <f t="shared" si="17"/>
        <v xml:space="preserve">Добавить централизованную систему для дифференциации</v>
      </c>
      <c r="AQ55" s="130"/>
      <c r="AR55" s="130"/>
      <c r="AS55" s="57">
        <v>0</v>
      </c>
    </row>
    <row r="56" s="57" customFormat="1" ht="0" customHeight="1">
      <c r="A56" s="134" t="s">
        <v>182</v>
      </c>
      <c r="B56" s="134"/>
      <c r="C56" s="134"/>
      <c r="D56" s="134"/>
      <c r="E56" s="481"/>
      <c r="F56" s="134"/>
      <c r="G56" s="134"/>
      <c r="H56" s="134"/>
      <c r="I56" s="134"/>
      <c r="J56" s="134"/>
      <c r="K56" s="134"/>
      <c r="L56" s="213"/>
      <c r="M56" s="529"/>
      <c r="N56" s="529"/>
      <c r="O56" s="57"/>
      <c r="P56" s="168"/>
      <c r="Q56" s="525"/>
      <c r="R56" s="168"/>
      <c r="S56" s="530"/>
      <c r="T56" s="533" t="s">
        <v>410</v>
      </c>
      <c r="U56" s="532"/>
      <c r="V56" s="532"/>
      <c r="W56" s="532"/>
      <c r="X56" s="532"/>
      <c r="Y56" s="532"/>
      <c r="Z56" s="532"/>
      <c r="AA56" s="532"/>
      <c r="AB56" s="532"/>
      <c r="AC56" s="532"/>
      <c r="AD56" s="532"/>
      <c r="AE56" s="532"/>
      <c r="AF56" s="532"/>
      <c r="AG56" s="532"/>
      <c r="AH56" s="532"/>
      <c r="AI56" s="532"/>
      <c r="AJ56" s="532"/>
      <c r="AK56" s="532"/>
      <c r="AL56" s="532"/>
      <c r="AM56" s="532"/>
      <c r="AO56" s="130"/>
      <c r="AP56" s="130" t="str">
        <f t="shared" si="17"/>
        <v xml:space="preserve">Добавить территорию для дифференциации</v>
      </c>
      <c r="AQ56" s="130"/>
      <c r="AR56" s="130"/>
      <c r="AS56" s="57">
        <v>0</v>
      </c>
    </row>
    <row r="57" s="57" customFormat="1" ht="4.2000000000000002" customHeight="1">
      <c r="A57" s="134"/>
      <c r="B57" s="134"/>
      <c r="C57" s="134"/>
      <c r="D57" s="134"/>
      <c r="E57" s="134"/>
      <c r="F57" s="134"/>
      <c r="G57" s="134"/>
      <c r="H57" s="134"/>
      <c r="I57" s="134"/>
      <c r="J57" s="134"/>
      <c r="K57" s="134"/>
      <c r="L57" s="213"/>
      <c r="M57" s="529"/>
      <c r="N57" s="529"/>
      <c r="P57" s="168"/>
      <c r="Q57" s="525"/>
      <c r="R57" s="168"/>
      <c r="S57" s="530"/>
      <c r="T57" s="533" t="s">
        <v>442</v>
      </c>
      <c r="U57" s="532"/>
      <c r="V57" s="532"/>
      <c r="W57" s="532"/>
      <c r="X57" s="532"/>
      <c r="Y57" s="532"/>
      <c r="Z57" s="532"/>
      <c r="AA57" s="532"/>
      <c r="AB57" s="532"/>
      <c r="AC57" s="532"/>
      <c r="AD57" s="532"/>
      <c r="AE57" s="532"/>
      <c r="AF57" s="532"/>
      <c r="AG57" s="532"/>
      <c r="AH57" s="532"/>
      <c r="AI57" s="532"/>
      <c r="AJ57" s="532"/>
      <c r="AK57" s="532"/>
      <c r="AL57" s="532"/>
      <c r="AM57" s="532"/>
      <c r="AO57" s="130"/>
      <c r="AP57" s="130" t="str">
        <f t="shared" si="17"/>
        <v xml:space="preserve">Добавить наименование тарифа</v>
      </c>
      <c r="AQ57" s="130"/>
      <c r="AR57" s="130"/>
      <c r="AS57" s="57">
        <v>4</v>
      </c>
    </row>
    <row r="58" ht="11.5" customHeight="1">
      <c r="M58" s="53"/>
      <c r="N58" s="53"/>
      <c r="O58" s="53"/>
      <c r="P58" s="50"/>
      <c r="Q58" s="50"/>
      <c r="R58" s="50"/>
      <c r="S58" s="50"/>
      <c r="AN58" s="50"/>
      <c r="AO58" s="50"/>
      <c r="AP58" s="50"/>
      <c r="AQ58" s="50"/>
      <c r="AR58" s="50"/>
      <c r="AS58" s="50">
        <v>11</v>
      </c>
    </row>
    <row r="59" ht="14.65" customHeight="1">
      <c r="O59" s="53"/>
      <c r="S59" s="477"/>
      <c r="T59" s="575"/>
      <c r="U59" s="575"/>
      <c r="V59" s="575"/>
      <c r="W59" s="575"/>
      <c r="X59" s="575"/>
      <c r="Y59" s="575"/>
      <c r="Z59" s="575"/>
      <c r="AA59" s="575"/>
      <c r="AB59" s="575"/>
      <c r="AC59" s="575"/>
      <c r="AD59" s="575"/>
      <c r="AE59" s="575"/>
      <c r="AF59" s="575"/>
      <c r="AG59" s="575"/>
      <c r="AH59" s="575"/>
      <c r="AI59" s="575"/>
      <c r="AJ59" s="575"/>
      <c r="AK59" s="575"/>
      <c r="AL59" s="575"/>
      <c r="AM59" s="575"/>
      <c r="AS59" s="50">
        <v>14</v>
      </c>
    </row>
    <row r="60" ht="14.65" customHeight="1">
      <c r="O60" s="53"/>
      <c r="T60" s="575"/>
      <c r="U60" s="575"/>
      <c r="V60" s="575"/>
      <c r="W60" s="575"/>
      <c r="X60" s="575"/>
      <c r="Y60" s="575"/>
      <c r="Z60" s="575"/>
      <c r="AA60" s="575"/>
      <c r="AB60" s="575"/>
      <c r="AC60" s="575"/>
      <c r="AD60" s="575"/>
      <c r="AE60" s="575"/>
      <c r="AF60" s="575"/>
      <c r="AG60" s="575"/>
      <c r="AH60" s="575"/>
      <c r="AI60" s="575"/>
      <c r="AJ60" s="575"/>
      <c r="AK60" s="575"/>
      <c r="AL60" s="575"/>
      <c r="AM60" s="575"/>
      <c r="AS60" s="50">
        <v>14</v>
      </c>
    </row>
    <row r="61" ht="14.65" customHeight="1">
      <c r="O61" s="53"/>
      <c r="T61" s="575"/>
      <c r="U61" s="575"/>
      <c r="V61" s="575"/>
      <c r="W61" s="575"/>
      <c r="X61" s="575"/>
      <c r="Y61" s="575"/>
      <c r="Z61" s="575"/>
      <c r="AA61" s="575"/>
      <c r="AB61" s="575"/>
      <c r="AC61" s="575"/>
      <c r="AD61" s="575"/>
      <c r="AE61" s="575"/>
      <c r="AF61" s="575"/>
      <c r="AG61" s="575"/>
      <c r="AH61" s="575"/>
      <c r="AI61" s="575"/>
      <c r="AJ61" s="575"/>
      <c r="AK61" s="575"/>
      <c r="AL61" s="575"/>
      <c r="AM61" s="575"/>
      <c r="AS61" s="50">
        <v>14</v>
      </c>
    </row>
    <row r="62" ht="14.65" customHeight="1">
      <c r="O62" s="53"/>
      <c r="AS62" s="50">
        <v>14</v>
      </c>
    </row>
    <row r="63" ht="14.65" customHeight="1">
      <c r="O63" s="53"/>
      <c r="S63" s="477"/>
      <c r="T63" s="291"/>
      <c r="U63" s="575"/>
      <c r="V63" s="575"/>
      <c r="W63" s="575"/>
      <c r="X63" s="575"/>
      <c r="Y63" s="575"/>
      <c r="Z63" s="575"/>
      <c r="AA63" s="575"/>
      <c r="AB63" s="575"/>
      <c r="AC63" s="575"/>
      <c r="AD63" s="575"/>
      <c r="AE63" s="575"/>
      <c r="AF63" s="575"/>
      <c r="AG63" s="575"/>
      <c r="AH63" s="575"/>
      <c r="AI63" s="575"/>
      <c r="AJ63" s="575"/>
      <c r="AK63" s="575"/>
      <c r="AL63" s="575"/>
      <c r="AM63" s="575"/>
      <c r="AS63" s="50">
        <v>14</v>
      </c>
    </row>
    <row r="64" ht="14.65" customHeight="1">
      <c r="O64" s="53"/>
      <c r="T64" s="575"/>
      <c r="U64" s="575"/>
      <c r="V64" s="575"/>
      <c r="W64" s="575"/>
      <c r="X64" s="575"/>
      <c r="Y64" s="575"/>
      <c r="Z64" s="575"/>
      <c r="AA64" s="575"/>
      <c r="AB64" s="575"/>
      <c r="AC64" s="575"/>
      <c r="AD64" s="575"/>
      <c r="AE64" s="575"/>
      <c r="AF64" s="575"/>
      <c r="AG64" s="575"/>
      <c r="AH64" s="575"/>
      <c r="AI64" s="575"/>
      <c r="AJ64" s="575"/>
      <c r="AK64" s="575"/>
      <c r="AL64" s="575"/>
      <c r="AM64" s="575"/>
      <c r="AS64" s="50">
        <v>14</v>
      </c>
    </row>
    <row r="65" ht="14.65" customHeight="1">
      <c r="T65" s="575"/>
      <c r="U65" s="575"/>
      <c r="V65" s="575"/>
      <c r="W65" s="575"/>
      <c r="X65" s="575"/>
      <c r="Y65" s="575"/>
      <c r="Z65" s="575"/>
      <c r="AA65" s="575"/>
      <c r="AB65" s="575"/>
      <c r="AC65" s="575"/>
      <c r="AD65" s="575"/>
      <c r="AE65" s="575"/>
      <c r="AF65" s="575"/>
      <c r="AG65" s="575"/>
      <c r="AH65" s="575"/>
      <c r="AI65" s="575"/>
      <c r="AJ65" s="575"/>
      <c r="AK65" s="575"/>
      <c r="AL65" s="575"/>
      <c r="AM65" s="575"/>
      <c r="AS65" s="50">
        <v>14</v>
      </c>
    </row>
    <row r="66" ht="22.5" hidden="1" customHeight="1">
      <c r="A66" s="53" t="s">
        <v>81</v>
      </c>
      <c r="B66" s="53">
        <v>0</v>
      </c>
      <c r="C66" s="53">
        <v>0</v>
      </c>
      <c r="D66" s="53">
        <v>0</v>
      </c>
      <c r="E66" s="53">
        <v>0</v>
      </c>
      <c r="F66" s="53">
        <v>0</v>
      </c>
      <c r="G66" s="53">
        <v>0</v>
      </c>
      <c r="H66" s="53">
        <v>0</v>
      </c>
      <c r="I66" s="53">
        <v>0</v>
      </c>
      <c r="J66" s="53">
        <v>0</v>
      </c>
      <c r="K66" s="53">
        <v>0</v>
      </c>
      <c r="L66" s="114">
        <v>0</v>
      </c>
      <c r="M66" s="61">
        <v>0</v>
      </c>
      <c r="N66" s="61">
        <v>0</v>
      </c>
      <c r="O66" s="61">
        <v>0</v>
      </c>
      <c r="P66" s="60">
        <v>0</v>
      </c>
      <c r="Q66" s="479">
        <v>3</v>
      </c>
      <c r="R66" s="479">
        <v>3</v>
      </c>
      <c r="S66" s="86">
        <v>12</v>
      </c>
      <c r="T66" s="50">
        <v>31</v>
      </c>
      <c r="U66" s="50">
        <v>0</v>
      </c>
      <c r="V66" s="50">
        <v>0</v>
      </c>
      <c r="W66" s="50">
        <v>0</v>
      </c>
      <c r="X66" s="50">
        <v>0</v>
      </c>
      <c r="Y66" s="50">
        <v>0</v>
      </c>
      <c r="Z66" s="50">
        <v>0</v>
      </c>
      <c r="AA66" s="50">
        <v>0</v>
      </c>
      <c r="AB66" s="50">
        <v>0</v>
      </c>
      <c r="AC66" s="50">
        <v>0</v>
      </c>
      <c r="AD66" s="50">
        <v>24</v>
      </c>
      <c r="AE66" s="50">
        <v>0</v>
      </c>
      <c r="AF66" s="50">
        <v>24</v>
      </c>
      <c r="AG66" s="50">
        <v>24</v>
      </c>
      <c r="AH66" s="50">
        <v>11</v>
      </c>
      <c r="AI66" s="50">
        <v>3</v>
      </c>
      <c r="AJ66" s="50">
        <v>11</v>
      </c>
      <c r="AK66" s="50">
        <v>0</v>
      </c>
      <c r="AL66" s="50">
        <v>4</v>
      </c>
      <c r="AM66" s="50">
        <v>115</v>
      </c>
      <c r="AN66" s="57">
        <v>10</v>
      </c>
      <c r="AO66" s="57">
        <v>10</v>
      </c>
      <c r="AP66" s="57">
        <v>10</v>
      </c>
      <c r="AQ66" s="57">
        <v>10</v>
      </c>
      <c r="AR66" s="57">
        <v>10</v>
      </c>
      <c r="AS66" s="50">
        <v>23</v>
      </c>
    </row>
  </sheetData>
  <sheetProtection autoFilter="0" deleteColumns="1" deleteRows="1" formatCells="1" formatColumns="0" formatRows="0" insertColumns="1" insertHyperlinks="1" insertRows="1" objects="0" pivotTables="1" scenarios="0" selectLockedCells="0" selectUnlockedCells="0" sheet="1" sort="1"/>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K8:K9"/>
    <mergeCell ref="Z8:Z9"/>
    <mergeCell ref="AA8:AA9"/>
    <mergeCell ref="AB8:AB9"/>
    <mergeCell ref="AC8:AC9"/>
    <mergeCell ref="AH8:AH9"/>
    <mergeCell ref="AI8:AI9"/>
    <mergeCell ref="AJ8:AJ9"/>
    <mergeCell ref="AK8:AK9"/>
    <mergeCell ref="AM8:AM10"/>
    <mergeCell ref="AH17:AH18"/>
    <mergeCell ref="AI17:AI18"/>
    <mergeCell ref="AJ17:AJ18"/>
    <mergeCell ref="AK17:AK18"/>
    <mergeCell ref="S26:AJ26"/>
    <mergeCell ref="S27:AJ27"/>
    <mergeCell ref="S29:T29"/>
    <mergeCell ref="V29:AB29"/>
    <mergeCell ref="AD29:AJ29"/>
    <mergeCell ref="S30:T30"/>
    <mergeCell ref="V30:AB30"/>
    <mergeCell ref="AD30:AJ30"/>
    <mergeCell ref="S31:T31"/>
    <mergeCell ref="V31:AB31"/>
    <mergeCell ref="AD31:AJ31"/>
    <mergeCell ref="S32:T32"/>
    <mergeCell ref="V32:AB32"/>
    <mergeCell ref="AD32:AJ32"/>
    <mergeCell ref="S34:T34"/>
    <mergeCell ref="V34:AB34"/>
    <mergeCell ref="AD34:AJ34"/>
    <mergeCell ref="S35:T35"/>
    <mergeCell ref="V35:AB35"/>
    <mergeCell ref="AD35:AJ35"/>
    <mergeCell ref="V37:AC37"/>
    <mergeCell ref="AD37:AK37"/>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AH40:AJ40"/>
    <mergeCell ref="AA41:AB41"/>
    <mergeCell ref="AI41:AJ41"/>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AM49:AM51"/>
    <mergeCell ref="T59:AM59"/>
    <mergeCell ref="T60:AM60"/>
    <mergeCell ref="T61:AM61"/>
    <mergeCell ref="T63:AM63"/>
    <mergeCell ref="T64:AM64"/>
    <mergeCell ref="T65:AM65"/>
  </mergeCells>
  <dataValidations count="4" disablePrompts="0">
    <dataValidation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type="none" allowBlank="1" errorStyle="stop" imeMode="noControl" operator="between" promptTitle="checkPeriodRange" showDropDown="0" showErrorMessage="0" showInputMessage="0"/>
    <dataValidation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S131123:AM131129 S196659:AM196665 S262195:AM262201 S327731:AM327737 S393267:AM393273 S458803:AM458809 S524339:AM524345 S589875:AM589881 S655411:AM655417 S720947:AM720953 S786483:AM786489 S852019:AM852025 S917555:AM917561 S983091:AM983097 S65587:AM65593"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0E00EE-0018-4BA8-AB98-00BD00750068}" type="list" allowBlank="1" error="Выберите значение из списка" errorStyle="stop" errorTitle="Ошибка" imeMode="noControl" operator="between" showDropDown="0" showErrorMessage="1" showInputMessage="1">
          <x14:formula1>
            <xm:f>kind_of_heat_transfer</xm:f>
          </x14:formula1>
          <xm:sqref>T65585 T131121 T196657 T262193 T327729 T393265 T458801 T524337 T589873 T655409 T720945 T786481 T852017 T917553 T983089</xm:sqref>
        </x14:dataValidation>
        <x14:dataValidation xr:uid="{004B00BB-006C-47B6-BDB8-00DB00C300A6}" type="textLength" allowBlank="1" error="Допускается ввод не более 900 символов!" errorStyle="stop" errorTitle="Ошибка" imeMode="noControl" operator="lessThanOrEqual" showDropDown="0" showErrorMessage="1" showInputMessage="1">
          <x14:formula1>
            <xm:f>900</xm:f>
          </x14:formula1>
          <xm:sqref>AM65579:AM65586 AM131115:AM131122 AM196651:AM196658 AM262187:AM262194 AM327723:AM327730 AM393259:AM393266 AM458795:AM458802 AM524331:AM524338 AM589867:AM589874 AM655403:AM655410 AM720939:AM720946 AM786475:AM786482 AM852011:AM852018 AM917547:AM917554 AM983083:AM983090</xm:sqref>
        </x14:dataValidation>
        <x14:dataValidation xr:uid="{00F70063-0035-4332-A12D-006800BB00E2}"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V983088:AL983088 V65584:AL65584 V131120:AL131120 V196656:AL196656 V262192:AL262192 V327728:AL327728 V393264:AL393264 V458800:AL458800 V524336:AL524336 V589872:AL589872 V655408:AL655408 V720944:AL720944 V786480:AL786480 V852016:AL852016 V917552:AL917552</xm:sqref>
        </x14:dataValidation>
        <x14:dataValidation xr:uid="{00C5004F-0013-445C-B340-0012001700BD}" type="list" allowBlank="1" error="Выберите значение из списка" errorStyle="stop" errorTitle="Ошибка" imeMode="noControl" operator="between" showDropDown="0" showErrorMessage="1" showInputMessage="1">
          <x14:formula1>
            <xm:f>kind_of_scheme_in</xm:f>
          </x14:formula1>
          <xm: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xm:sqref>
        </x14:dataValidation>
      </x14:dataValidations>
    </ext>
  </extLs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32" ySplit="48" topLeftCell="AG49" activePane="bottomRight" state="frozen"/>
      <selection activeCell="A1" activeCellId="0" sqref="A1"/>
    </sheetView>
  </sheetViews>
  <sheetFormatPr defaultColWidth="10.57421875" defaultRowHeight="14.25" customHeight="1"/>
  <cols>
    <col hidden="1" min="1" max="1" style="50" width="10.57421875"/>
    <col customWidth="1" hidden="1" min="2" max="2" style="50" width="11.00390625"/>
    <col hidden="1" min="3" max="3" style="50" width="10.57421875"/>
    <col customWidth="1" hidden="1" min="4" max="4" style="50" width="11.8515625"/>
    <col customWidth="1" hidden="1" min="5" max="5" style="50" width="10.00390625"/>
    <col customWidth="1" hidden="1" min="6" max="6" style="50" width="8.7109375"/>
    <col customWidth="1" hidden="1" min="7" max="7" style="50" width="7.57421875"/>
    <col customWidth="1" hidden="1" min="8" max="8" style="50" width="11.421875"/>
    <col customWidth="1" hidden="1" min="9" max="9" style="50" width="12.00390625"/>
    <col customWidth="1" hidden="1" min="10" max="10" style="50" width="9.8515625"/>
    <col customWidth="1" hidden="1" min="11" max="12" style="50" width="11.421875"/>
    <col customWidth="1" hidden="1" min="13" max="13" style="51" width="19.140625"/>
    <col customWidth="1" hidden="1" min="14" max="15" style="60" width="12.28125"/>
    <col customWidth="1" hidden="1" min="16" max="16" style="60" width="23.421875"/>
    <col customWidth="1" hidden="1" min="17" max="17" style="60" width="3.7109375"/>
    <col customWidth="1" min="18" max="20" style="479" width="3.00390625"/>
    <col customWidth="1" min="21" max="21" style="86" width="12.00390625"/>
    <col customWidth="1" min="22" max="22" style="50" width="31.00390625"/>
    <col customWidth="1" min="23" max="23" style="50" width="0.140625"/>
    <col customWidth="1" hidden="1" min="24" max="28" style="50" width="21.7109375"/>
    <col customWidth="1" hidden="1" min="29" max="29" style="50" width="11.7109375"/>
    <col customWidth="1" hidden="1" min="30" max="30" style="50" width="3.7109375"/>
    <col customWidth="1" hidden="1" min="31" max="31" style="50" width="11.7109375"/>
    <col customWidth="1" hidden="1" min="32" max="32" style="50" width="8.57421875"/>
    <col customWidth="1" min="33" max="33" style="50" width="21.7109375"/>
    <col customWidth="1" min="34" max="37" style="50" width="21.00390625"/>
    <col customWidth="1" min="38" max="38" style="50" width="11.00390625"/>
    <col customWidth="1" min="39" max="39" style="50" width="3.7109375"/>
    <col customWidth="1" min="40" max="40" style="50" width="11.00390625"/>
    <col customWidth="1" hidden="1" min="41" max="41" style="50" width="8.57421875"/>
    <col customWidth="1" min="42" max="42" style="50" width="4.00390625"/>
    <col customWidth="1" min="43" max="43" style="50" width="115.00390625"/>
    <col customWidth="1" min="44" max="48" style="57" width="10.00390625"/>
    <col hidden="1" min="49" max="49" style="50" width="10.57421875"/>
  </cols>
  <sheetData>
    <row r="1" ht="22.5" hidden="1" customHeight="1">
      <c r="AB1" s="50"/>
      <c r="AC1" s="50"/>
      <c r="AK1" s="50"/>
      <c r="AL1" s="50"/>
      <c r="AW1" s="50" t="s">
        <v>14</v>
      </c>
    </row>
    <row r="2" ht="21" hidden="1" customHeight="1">
      <c r="A2" s="265"/>
      <c r="B2" s="265"/>
      <c r="C2" s="265"/>
      <c r="D2" s="265"/>
      <c r="E2" s="576">
        <v>1</v>
      </c>
      <c r="F2" s="265"/>
      <c r="G2" s="265"/>
      <c r="H2" s="265"/>
      <c r="I2" s="265"/>
      <c r="J2" s="265"/>
      <c r="K2" s="265"/>
      <c r="L2" s="265"/>
      <c r="M2" s="323"/>
      <c r="N2" s="86"/>
      <c r="O2" s="86"/>
      <c r="P2" s="86"/>
      <c r="Q2" s="60"/>
      <c r="R2" s="144"/>
      <c r="S2" s="144"/>
      <c r="T2" s="484"/>
      <c r="U2" s="485" t="e">
        <f>INDEX(PT_DIFFERENTIATION_NUM_NTAR,MATCH(A2,PT_DIFFERENTIATION_NTAR_ID,0))</f>
        <v>#VALUE!</v>
      </c>
      <c r="V2" s="486" t="s">
        <v>119</v>
      </c>
      <c r="W2" s="487"/>
      <c r="X2" s="488"/>
      <c r="Y2" s="489"/>
      <c r="Z2" s="489"/>
      <c r="AA2" s="489"/>
      <c r="AB2" s="489"/>
      <c r="AC2" s="489"/>
      <c r="AD2" s="489"/>
      <c r="AE2" s="489"/>
      <c r="AF2" s="490"/>
      <c r="AG2" s="488" t="e">
        <f>INDEX(PT_DIFFERENTIATION_NTAR,MATCH(A2,PT_DIFFERENTIATION_NTAR_ID,0))</f>
        <v>#VALUE!</v>
      </c>
      <c r="AH2" s="489"/>
      <c r="AI2" s="489"/>
      <c r="AJ2" s="489"/>
      <c r="AK2" s="489"/>
      <c r="AL2" s="489"/>
      <c r="AM2" s="489"/>
      <c r="AN2" s="489"/>
      <c r="AO2" s="489"/>
      <c r="AP2" s="490"/>
      <c r="AQ2" s="491" t="s">
        <v>390</v>
      </c>
      <c r="AS2" s="130"/>
      <c r="AT2" s="130" t="str">
        <f t="shared" ref="AT2:AT8" si="18">IF(V2="","",V2)</f>
        <v xml:space="preserve">Наименование тарифа</v>
      </c>
      <c r="AU2" s="130"/>
      <c r="AV2" s="130"/>
      <c r="AW2" s="50">
        <v>0</v>
      </c>
    </row>
    <row r="3" ht="21" hidden="1" customHeight="1">
      <c r="A3" s="265"/>
      <c r="B3" s="265"/>
      <c r="C3" s="265"/>
      <c r="D3" s="265"/>
      <c r="E3" s="577"/>
      <c r="F3" s="576">
        <v>1</v>
      </c>
      <c r="G3" s="265"/>
      <c r="H3" s="265"/>
      <c r="I3" s="265"/>
      <c r="J3" s="265"/>
      <c r="K3" s="265"/>
      <c r="L3" s="265"/>
      <c r="M3" s="323"/>
      <c r="N3" s="86"/>
      <c r="O3" s="86"/>
      <c r="P3" s="86"/>
      <c r="Q3" s="51"/>
      <c r="R3" s="493"/>
      <c r="S3" s="50"/>
      <c r="T3" s="494"/>
      <c r="U3" s="485" t="e">
        <f>INDEX(PT_DIFFERENTIATION_NUM_TER,MATCH(B3,PT_DIFFERENTIATION_TER_ID,0))</f>
        <v>#VALUE!</v>
      </c>
      <c r="V3" s="495" t="s">
        <v>391</v>
      </c>
      <c r="W3" s="487"/>
      <c r="X3" s="488"/>
      <c r="Y3" s="489"/>
      <c r="Z3" s="489"/>
      <c r="AA3" s="489"/>
      <c r="AB3" s="489"/>
      <c r="AC3" s="489"/>
      <c r="AD3" s="489"/>
      <c r="AE3" s="489"/>
      <c r="AF3" s="490"/>
      <c r="AG3" s="488" t="e">
        <f>INDEX(PT_DIFFERENTIATION_TER,MATCH(B3,PT_DIFFERENTIATION_TER_ID,0))</f>
        <v>#VALUE!</v>
      </c>
      <c r="AH3" s="489"/>
      <c r="AI3" s="489"/>
      <c r="AJ3" s="489"/>
      <c r="AK3" s="489"/>
      <c r="AL3" s="489"/>
      <c r="AM3" s="489"/>
      <c r="AN3" s="489"/>
      <c r="AO3" s="489"/>
      <c r="AP3" s="490"/>
      <c r="AQ3" s="491" t="s">
        <v>392</v>
      </c>
      <c r="AS3" s="130"/>
      <c r="AT3" s="130" t="str">
        <f t="shared" si="18"/>
        <v xml:space="preserve">Территория действия тарифа</v>
      </c>
      <c r="AU3" s="130"/>
      <c r="AV3" s="130"/>
      <c r="AW3" s="50">
        <v>0</v>
      </c>
    </row>
    <row r="4" ht="22.5" hidden="1" customHeight="1">
      <c r="A4" s="265"/>
      <c r="B4" s="265"/>
      <c r="C4" s="265"/>
      <c r="D4" s="265"/>
      <c r="E4" s="577"/>
      <c r="F4" s="577"/>
      <c r="G4" s="576">
        <v>1</v>
      </c>
      <c r="H4" s="265"/>
      <c r="I4" s="265"/>
      <c r="J4" s="265"/>
      <c r="K4" s="265"/>
      <c r="L4" s="265"/>
      <c r="M4" s="323"/>
      <c r="N4" s="86"/>
      <c r="O4" s="86"/>
      <c r="P4" s="86"/>
      <c r="Q4" s="496"/>
      <c r="R4" s="493"/>
      <c r="S4" s="50"/>
      <c r="T4" s="494"/>
      <c r="U4" s="485" t="e">
        <f>INDEX(PT_DIFFERENTIATION_NUM_CS,MATCH(C4,PT_DIFFERENTIATION_CS_ID,0))</f>
        <v>#VALUE!</v>
      </c>
      <c r="V4" s="497" t="s">
        <v>393</v>
      </c>
      <c r="W4" s="487"/>
      <c r="X4" s="488"/>
      <c r="Y4" s="489"/>
      <c r="Z4" s="489"/>
      <c r="AA4" s="489"/>
      <c r="AB4" s="489"/>
      <c r="AC4" s="489"/>
      <c r="AD4" s="489"/>
      <c r="AE4" s="489"/>
      <c r="AF4" s="490"/>
      <c r="AG4" s="488" t="e">
        <f>INDEX(PT_DIFFERENTIATION_CS,MATCH(C4,PT_DIFFERENTIATION_CS_ID,0))</f>
        <v>#VALUE!</v>
      </c>
      <c r="AH4" s="489"/>
      <c r="AI4" s="489"/>
      <c r="AJ4" s="489"/>
      <c r="AK4" s="489"/>
      <c r="AL4" s="489"/>
      <c r="AM4" s="489"/>
      <c r="AN4" s="489"/>
      <c r="AO4" s="489"/>
      <c r="AP4" s="490"/>
      <c r="AQ4" s="491" t="s">
        <v>394</v>
      </c>
      <c r="AS4" s="130"/>
      <c r="AT4" s="130" t="str">
        <f t="shared" si="18"/>
        <v xml:space="preserve">Наименование системы теплоснабжения </v>
      </c>
      <c r="AU4" s="130"/>
      <c r="AV4" s="130"/>
      <c r="AW4" s="50">
        <v>0</v>
      </c>
    </row>
    <row r="5" ht="21" hidden="1" customHeight="1">
      <c r="A5" s="265"/>
      <c r="B5" s="265"/>
      <c r="C5" s="265"/>
      <c r="D5" s="265"/>
      <c r="E5" s="577"/>
      <c r="F5" s="577"/>
      <c r="G5" s="577"/>
      <c r="H5" s="576">
        <v>1</v>
      </c>
      <c r="I5" s="265"/>
      <c r="J5" s="265"/>
      <c r="K5" s="265"/>
      <c r="L5" s="265"/>
      <c r="M5" s="323"/>
      <c r="N5" s="86"/>
      <c r="O5" s="86"/>
      <c r="P5" s="86"/>
      <c r="Q5" s="496"/>
      <c r="R5" s="493"/>
      <c r="S5" s="50"/>
      <c r="T5" s="494"/>
      <c r="U5" s="485" t="e">
        <f>INDEX(PT_DIFFERENTIATION_NUM_IST_TE,MATCH(D5,PT_DIFFERENTIATION_IST_TE_ID,0))</f>
        <v>#VALUE!</v>
      </c>
      <c r="V5" s="498" t="s">
        <v>395</v>
      </c>
      <c r="W5" s="487"/>
      <c r="X5" s="488"/>
      <c r="Y5" s="489"/>
      <c r="Z5" s="489"/>
      <c r="AA5" s="489"/>
      <c r="AB5" s="489"/>
      <c r="AC5" s="489"/>
      <c r="AD5" s="489"/>
      <c r="AE5" s="489"/>
      <c r="AF5" s="490"/>
      <c r="AG5" s="488" t="e">
        <f>INDEX(PT_DIFFERENTIATION_IST_TE,MATCH(D5,PT_DIFFERENTIATION_IST_TE_ID,0))</f>
        <v>#VALUE!</v>
      </c>
      <c r="AH5" s="489"/>
      <c r="AI5" s="489"/>
      <c r="AJ5" s="489"/>
      <c r="AK5" s="489"/>
      <c r="AL5" s="489"/>
      <c r="AM5" s="489"/>
      <c r="AN5" s="489"/>
      <c r="AO5" s="489"/>
      <c r="AP5" s="490"/>
      <c r="AQ5" s="491" t="s">
        <v>396</v>
      </c>
      <c r="AS5" s="130"/>
      <c r="AT5" s="130" t="str">
        <f t="shared" si="18"/>
        <v xml:space="preserve">Источник тепловой энергии  </v>
      </c>
      <c r="AU5" s="130"/>
      <c r="AV5" s="130"/>
      <c r="AW5" s="50">
        <v>0</v>
      </c>
    </row>
    <row r="6" ht="14.25" hidden="1" customHeight="1">
      <c r="A6" s="265"/>
      <c r="B6" s="265"/>
      <c r="C6" s="265"/>
      <c r="D6" s="265"/>
      <c r="E6" s="577"/>
      <c r="F6" s="577"/>
      <c r="G6" s="577"/>
      <c r="H6" s="577"/>
      <c r="I6" s="158" t="e">
        <f>U5&amp;".1"</f>
        <v>#VALUE!</v>
      </c>
      <c r="J6" s="265"/>
      <c r="K6" s="265"/>
      <c r="L6" s="265"/>
      <c r="M6" s="323" t="s">
        <v>397</v>
      </c>
      <c r="N6" s="50"/>
      <c r="Q6" s="133">
        <v>1</v>
      </c>
      <c r="R6" s="133"/>
      <c r="S6" s="133"/>
      <c r="T6" s="500"/>
      <c r="U6" s="352"/>
      <c r="V6" s="587"/>
      <c r="W6" s="588"/>
      <c r="X6" s="589"/>
      <c r="Y6" s="590"/>
      <c r="Z6" s="590"/>
      <c r="AA6" s="590"/>
      <c r="AB6" s="590"/>
      <c r="AC6" s="590"/>
      <c r="AD6" s="590"/>
      <c r="AE6" s="590"/>
      <c r="AF6" s="591"/>
      <c r="AG6" s="589"/>
      <c r="AH6" s="590"/>
      <c r="AI6" s="590"/>
      <c r="AJ6" s="590"/>
      <c r="AK6" s="590"/>
      <c r="AL6" s="590"/>
      <c r="AM6" s="590"/>
      <c r="AN6" s="590"/>
      <c r="AO6" s="590"/>
      <c r="AP6" s="591"/>
      <c r="AQ6" s="592"/>
      <c r="AS6" s="130"/>
      <c r="AT6" s="130" t="str">
        <f t="shared" si="18"/>
        <v/>
      </c>
      <c r="AU6" s="130"/>
      <c r="AV6" s="130"/>
      <c r="AW6" s="50">
        <v>0</v>
      </c>
    </row>
    <row r="7" ht="21" hidden="1" customHeight="1">
      <c r="A7" s="265"/>
      <c r="B7" s="265"/>
      <c r="C7" s="265"/>
      <c r="D7" s="265"/>
      <c r="E7" s="577"/>
      <c r="F7" s="577"/>
      <c r="G7" s="577"/>
      <c r="H7" s="577"/>
      <c r="I7" s="73"/>
      <c r="J7" s="158" t="e">
        <f>I6&amp;".1"</f>
        <v>#VALUE!</v>
      </c>
      <c r="K7" s="265"/>
      <c r="L7" s="265"/>
      <c r="M7" s="323" t="s">
        <v>400</v>
      </c>
      <c r="N7" s="50"/>
      <c r="O7" s="50"/>
      <c r="Q7" s="133"/>
      <c r="R7" s="133">
        <v>1</v>
      </c>
      <c r="S7" s="57"/>
      <c r="T7" s="505"/>
      <c r="U7" s="485" t="e">
        <f>$J7</f>
        <v>#VALUE!</v>
      </c>
      <c r="V7" s="506" t="s">
        <v>401</v>
      </c>
      <c r="W7" s="487"/>
      <c r="X7" s="432"/>
      <c r="Y7" s="502"/>
      <c r="Z7" s="502"/>
      <c r="AA7" s="502"/>
      <c r="AB7" s="502"/>
      <c r="AC7" s="447"/>
      <c r="AD7" s="447"/>
      <c r="AE7" s="447"/>
      <c r="AF7" s="615"/>
      <c r="AG7" s="432"/>
      <c r="AH7" s="502"/>
      <c r="AI7" s="502"/>
      <c r="AJ7" s="502"/>
      <c r="AK7" s="502"/>
      <c r="AL7" s="502"/>
      <c r="AM7" s="502"/>
      <c r="AN7" s="502"/>
      <c r="AO7" s="502"/>
      <c r="AP7" s="503"/>
      <c r="AQ7" s="491" t="s">
        <v>402</v>
      </c>
      <c r="AS7" s="130"/>
      <c r="AT7" s="130" t="str">
        <f t="shared" si="18"/>
        <v xml:space="preserve">Группа потребителей</v>
      </c>
      <c r="AU7" s="130"/>
      <c r="AV7" s="130"/>
      <c r="AW7" s="50">
        <v>0</v>
      </c>
    </row>
    <row r="8" ht="21" hidden="1" customHeight="1">
      <c r="A8" s="265"/>
      <c r="B8" s="265"/>
      <c r="C8" s="265"/>
      <c r="D8" s="265"/>
      <c r="E8" s="577"/>
      <c r="F8" s="577"/>
      <c r="G8" s="577"/>
      <c r="H8" s="577"/>
      <c r="I8" s="73"/>
      <c r="J8" s="73"/>
      <c r="K8" s="158" t="e">
        <f>J7&amp;".1"</f>
        <v>#VALUE!</v>
      </c>
      <c r="L8" s="51"/>
      <c r="M8" s="323" t="s">
        <v>403</v>
      </c>
      <c r="N8" s="50"/>
      <c r="O8" s="50"/>
      <c r="P8" s="50"/>
      <c r="Q8" s="133"/>
      <c r="R8" s="133"/>
      <c r="S8" s="133">
        <v>1</v>
      </c>
      <c r="T8" s="505"/>
      <c r="U8" s="485" t="e">
        <f>$K8</f>
        <v>#VALUE!</v>
      </c>
      <c r="V8" s="507"/>
      <c r="W8" s="487"/>
      <c r="X8" s="508"/>
      <c r="Y8" s="508"/>
      <c r="Z8" s="508"/>
      <c r="AA8" s="508"/>
      <c r="AB8" s="616"/>
      <c r="AC8" s="511"/>
      <c r="AD8" s="225" t="s">
        <v>64</v>
      </c>
      <c r="AE8" s="511"/>
      <c r="AF8" s="225" t="s">
        <v>64</v>
      </c>
      <c r="AG8" s="617"/>
      <c r="AH8" s="508"/>
      <c r="AI8" s="508"/>
      <c r="AJ8" s="508"/>
      <c r="AK8" s="510"/>
      <c r="AL8" s="511"/>
      <c r="AM8" s="225" t="s">
        <v>64</v>
      </c>
      <c r="AN8" s="511"/>
      <c r="AO8" s="225" t="s">
        <v>64</v>
      </c>
      <c r="AP8" s="509"/>
      <c r="AQ8" s="618" t="s">
        <v>446</v>
      </c>
      <c r="AR8" s="57" t="e">
        <f>STRCHECKDATE(X10:AP10)</f>
        <v>#NAME?</v>
      </c>
      <c r="AS8" s="130"/>
      <c r="AT8" s="130" t="str">
        <f t="shared" si="18"/>
        <v/>
      </c>
      <c r="AU8" s="130"/>
      <c r="AV8" s="130"/>
      <c r="AW8" s="50">
        <v>0</v>
      </c>
    </row>
    <row r="9" ht="21" hidden="1" customHeight="1">
      <c r="A9" s="265"/>
      <c r="B9" s="265"/>
      <c r="C9" s="265"/>
      <c r="D9" s="265"/>
      <c r="E9" s="577"/>
      <c r="F9" s="577"/>
      <c r="G9" s="577"/>
      <c r="H9" s="577"/>
      <c r="I9" s="73"/>
      <c r="J9" s="73"/>
      <c r="K9" s="73"/>
      <c r="L9" s="158" t="e">
        <f>K8&amp;".1"</f>
        <v>#VALUE!</v>
      </c>
      <c r="M9" s="323"/>
      <c r="N9" s="50"/>
      <c r="O9" s="50"/>
      <c r="P9" s="50"/>
      <c r="Q9" s="133"/>
      <c r="R9" s="133"/>
      <c r="S9" s="133"/>
      <c r="T9" s="505"/>
      <c r="U9" s="485" t="e">
        <f>$L9</f>
        <v>#VALUE!</v>
      </c>
      <c r="V9" s="619"/>
      <c r="W9" s="487"/>
      <c r="X9" s="509"/>
      <c r="Y9" s="508"/>
      <c r="Z9" s="508"/>
      <c r="AA9" s="508"/>
      <c r="AB9" s="616"/>
      <c r="AC9" s="514"/>
      <c r="AD9" s="225"/>
      <c r="AE9" s="514"/>
      <c r="AF9" s="225"/>
      <c r="AG9" s="617"/>
      <c r="AH9" s="508"/>
      <c r="AI9" s="508"/>
      <c r="AJ9" s="508"/>
      <c r="AK9" s="510"/>
      <c r="AL9" s="514"/>
      <c r="AM9" s="225"/>
      <c r="AN9" s="514"/>
      <c r="AO9" s="225"/>
      <c r="AP9" s="509"/>
      <c r="AQ9" s="512" t="s">
        <v>447</v>
      </c>
      <c r="AS9" s="130"/>
      <c r="AT9" s="130"/>
      <c r="AU9" s="130"/>
      <c r="AV9" s="130"/>
      <c r="AW9" s="50">
        <v>0</v>
      </c>
    </row>
    <row r="10" ht="14.25" hidden="1" customHeight="1">
      <c r="A10" s="265"/>
      <c r="B10" s="265"/>
      <c r="C10" s="265"/>
      <c r="D10" s="265"/>
      <c r="E10" s="577"/>
      <c r="F10" s="577"/>
      <c r="G10" s="577"/>
      <c r="H10" s="577"/>
      <c r="I10" s="73"/>
      <c r="J10" s="73"/>
      <c r="K10" s="73"/>
      <c r="L10" s="158"/>
      <c r="M10" s="323"/>
      <c r="N10" s="50"/>
      <c r="O10" s="50"/>
      <c r="P10" s="50"/>
      <c r="Q10" s="133"/>
      <c r="R10" s="133"/>
      <c r="S10" s="133"/>
      <c r="T10" s="505"/>
      <c r="U10" s="459"/>
      <c r="V10" s="487"/>
      <c r="W10" s="487"/>
      <c r="X10" s="509"/>
      <c r="Y10" s="509"/>
      <c r="Z10" s="509"/>
      <c r="AA10" s="509"/>
      <c r="AB10" s="620" t="str">
        <f>AC8&amp;"-"&amp;AE8</f>
        <v>-</v>
      </c>
      <c r="AC10" s="514"/>
      <c r="AD10" s="225"/>
      <c r="AE10" s="514"/>
      <c r="AF10" s="225"/>
      <c r="AG10" s="621"/>
      <c r="AH10" s="509"/>
      <c r="AI10" s="509"/>
      <c r="AJ10" s="509"/>
      <c r="AK10" s="513" t="str">
        <f>AL8&amp;"-"&amp;AN8</f>
        <v>-</v>
      </c>
      <c r="AL10" s="514"/>
      <c r="AM10" s="225"/>
      <c r="AN10" s="514"/>
      <c r="AO10" s="225"/>
      <c r="AP10" s="509"/>
      <c r="AQ10" s="515"/>
      <c r="AS10" s="130"/>
      <c r="AT10" s="130" t="str">
        <f>IF(V10="","",V10)</f>
        <v/>
      </c>
      <c r="AU10" s="130"/>
      <c r="AV10" s="130"/>
      <c r="AW10" s="50">
        <v>0</v>
      </c>
    </row>
    <row r="11" ht="11.25" hidden="1" customHeight="1">
      <c r="A11" s="265"/>
      <c r="B11" s="265"/>
      <c r="C11" s="265"/>
      <c r="D11" s="265"/>
      <c r="E11" s="577"/>
      <c r="F11" s="577"/>
      <c r="G11" s="577"/>
      <c r="H11" s="577"/>
      <c r="I11" s="73"/>
      <c r="J11" s="73"/>
      <c r="K11" s="158"/>
      <c r="L11" s="265"/>
      <c r="M11" s="323"/>
      <c r="N11" s="50"/>
      <c r="O11" s="50"/>
      <c r="P11" s="50"/>
      <c r="Q11" s="133"/>
      <c r="R11" s="133"/>
      <c r="S11" s="133"/>
      <c r="T11" s="505"/>
      <c r="U11" s="516"/>
      <c r="V11" s="517" t="s">
        <v>448</v>
      </c>
      <c r="W11" s="622"/>
      <c r="X11" s="623"/>
      <c r="Y11" s="623"/>
      <c r="Z11" s="623"/>
      <c r="AA11" s="623"/>
      <c r="AB11" s="624"/>
      <c r="AC11" s="514"/>
      <c r="AD11" s="225"/>
      <c r="AE11" s="514"/>
      <c r="AF11" s="225"/>
      <c r="AG11" s="623"/>
      <c r="AH11" s="623"/>
      <c r="AI11" s="623"/>
      <c r="AJ11" s="623"/>
      <c r="AK11" s="624"/>
      <c r="AL11" s="514"/>
      <c r="AM11" s="225"/>
      <c r="AN11" s="514"/>
      <c r="AO11" s="225"/>
      <c r="AP11" s="625"/>
      <c r="AQ11" s="515"/>
      <c r="AS11" s="130"/>
      <c r="AT11" s="130"/>
      <c r="AU11" s="130"/>
      <c r="AV11" s="130"/>
      <c r="AW11" s="50">
        <v>0</v>
      </c>
    </row>
    <row r="12" ht="15" hidden="1" customHeight="1">
      <c r="A12" s="265"/>
      <c r="B12" s="265"/>
      <c r="C12" s="265"/>
      <c r="D12" s="265"/>
      <c r="E12" s="577"/>
      <c r="F12" s="577"/>
      <c r="G12" s="577"/>
      <c r="H12" s="577"/>
      <c r="I12" s="73"/>
      <c r="J12" s="158"/>
      <c r="K12" s="265"/>
      <c r="L12" s="265"/>
      <c r="M12" s="323"/>
      <c r="N12" s="50"/>
      <c r="O12" s="50"/>
      <c r="Q12" s="133"/>
      <c r="R12" s="133"/>
      <c r="S12" s="133"/>
      <c r="T12" s="500"/>
      <c r="U12" s="516"/>
      <c r="V12" s="520" t="s">
        <v>405</v>
      </c>
      <c r="W12" s="215"/>
      <c r="X12" s="215"/>
      <c r="Y12" s="215"/>
      <c r="Z12" s="215"/>
      <c r="AA12" s="215"/>
      <c r="AB12" s="215"/>
      <c r="AC12" s="626"/>
      <c r="AD12" s="626"/>
      <c r="AE12" s="626"/>
      <c r="AF12" s="626"/>
      <c r="AG12" s="215"/>
      <c r="AH12" s="215"/>
      <c r="AI12" s="215"/>
      <c r="AJ12" s="215"/>
      <c r="AK12" s="215"/>
      <c r="AL12" s="215"/>
      <c r="AM12" s="215"/>
      <c r="AN12" s="215"/>
      <c r="AO12" s="215"/>
      <c r="AP12" s="518"/>
      <c r="AQ12" s="519"/>
      <c r="AS12" s="130"/>
      <c r="AT12" s="130" t="str">
        <f t="shared" ref="AT12:AT65" si="19">IF(V12="","",V12)</f>
        <v xml:space="preserve">Добавить вид теплоносителя (параметры теплоносителя)</v>
      </c>
      <c r="AU12" s="130"/>
      <c r="AV12" s="130"/>
      <c r="AW12" s="50">
        <v>0</v>
      </c>
    </row>
    <row r="13" ht="11.25" hidden="1" customHeight="1">
      <c r="A13" s="265"/>
      <c r="B13" s="265"/>
      <c r="C13" s="265"/>
      <c r="D13" s="265"/>
      <c r="E13" s="577"/>
      <c r="F13" s="577"/>
      <c r="G13" s="577"/>
      <c r="H13" s="577"/>
      <c r="I13" s="158"/>
      <c r="J13" s="265"/>
      <c r="K13" s="265"/>
      <c r="L13" s="265"/>
      <c r="M13" s="323"/>
      <c r="N13" s="50"/>
      <c r="Q13" s="133"/>
      <c r="R13" s="133"/>
      <c r="S13" s="133"/>
      <c r="T13" s="500"/>
      <c r="U13" s="516"/>
      <c r="V13" s="524" t="s">
        <v>406</v>
      </c>
      <c r="W13" s="215"/>
      <c r="X13" s="215"/>
      <c r="Y13" s="215"/>
      <c r="Z13" s="215"/>
      <c r="AA13" s="215"/>
      <c r="AB13" s="215"/>
      <c r="AC13" s="215"/>
      <c r="AD13" s="215"/>
      <c r="AE13" s="215"/>
      <c r="AF13" s="521"/>
      <c r="AG13" s="215"/>
      <c r="AH13" s="215"/>
      <c r="AI13" s="215"/>
      <c r="AJ13" s="215"/>
      <c r="AK13" s="215"/>
      <c r="AL13" s="215"/>
      <c r="AM13" s="215"/>
      <c r="AN13" s="215"/>
      <c r="AO13" s="521"/>
      <c r="AP13" s="215"/>
      <c r="AQ13" s="522"/>
      <c r="AS13" s="130"/>
      <c r="AT13" s="130" t="str">
        <f t="shared" si="19"/>
        <v xml:space="preserve">Добавить группу потребителей</v>
      </c>
      <c r="AU13" s="130"/>
      <c r="AV13" s="130"/>
      <c r="AW13" s="50">
        <v>0</v>
      </c>
    </row>
    <row r="14" ht="14.25" hidden="1" customHeight="1">
      <c r="A14" s="265"/>
      <c r="B14" s="265"/>
      <c r="C14" s="265"/>
      <c r="D14" s="265"/>
      <c r="E14" s="577"/>
      <c r="F14" s="577"/>
      <c r="G14" s="577"/>
      <c r="H14" s="576"/>
      <c r="I14" s="265"/>
      <c r="J14" s="265"/>
      <c r="K14" s="265"/>
      <c r="L14" s="265"/>
      <c r="M14" s="323"/>
      <c r="N14" s="86"/>
      <c r="O14" s="86"/>
      <c r="P14" s="50"/>
      <c r="Q14" s="144"/>
      <c r="R14" s="523"/>
      <c r="S14" s="484"/>
      <c r="T14" s="144"/>
      <c r="U14" s="593"/>
      <c r="V14" s="594"/>
      <c r="W14" s="595"/>
      <c r="X14" s="595"/>
      <c r="Y14" s="595"/>
      <c r="Z14" s="595"/>
      <c r="AA14" s="595"/>
      <c r="AB14" s="595"/>
      <c r="AC14" s="595"/>
      <c r="AD14" s="595"/>
      <c r="AE14" s="595"/>
      <c r="AF14" s="595"/>
      <c r="AG14" s="595"/>
      <c r="AH14" s="595"/>
      <c r="AI14" s="595"/>
      <c r="AJ14" s="595"/>
      <c r="AK14" s="595"/>
      <c r="AL14" s="595"/>
      <c r="AM14" s="595"/>
      <c r="AN14" s="595"/>
      <c r="AO14" s="595"/>
      <c r="AP14" s="595"/>
      <c r="AQ14" s="596"/>
      <c r="AS14" s="130"/>
      <c r="AT14" s="130" t="str">
        <f t="shared" si="19"/>
        <v/>
      </c>
      <c r="AU14" s="130"/>
      <c r="AV14" s="130"/>
      <c r="AW14" s="50">
        <v>0</v>
      </c>
    </row>
    <row r="15" s="57" customFormat="1" ht="14.25" hidden="1" customHeight="1">
      <c r="A15" s="578"/>
      <c r="B15" s="578"/>
      <c r="C15" s="578"/>
      <c r="D15" s="578"/>
      <c r="E15" s="577"/>
      <c r="F15" s="577"/>
      <c r="G15" s="576"/>
      <c r="H15" s="578"/>
      <c r="I15" s="578"/>
      <c r="J15" s="578"/>
      <c r="K15" s="578"/>
      <c r="L15" s="578"/>
      <c r="M15" s="579"/>
      <c r="N15" s="580"/>
      <c r="O15" s="580"/>
      <c r="P15" s="132"/>
      <c r="Q15" s="168"/>
      <c r="R15" s="525"/>
      <c r="S15" s="168"/>
      <c r="T15" s="168"/>
      <c r="U15" s="526"/>
      <c r="V15" s="527" t="s">
        <v>408</v>
      </c>
      <c r="W15" s="528"/>
      <c r="X15" s="528"/>
      <c r="Y15" s="528"/>
      <c r="Z15" s="528"/>
      <c r="AA15" s="528"/>
      <c r="AB15" s="528"/>
      <c r="AC15" s="528"/>
      <c r="AD15" s="528"/>
      <c r="AE15" s="528"/>
      <c r="AF15" s="528"/>
      <c r="AG15" s="528"/>
      <c r="AH15" s="528"/>
      <c r="AI15" s="528"/>
      <c r="AJ15" s="528"/>
      <c r="AK15" s="528"/>
      <c r="AL15" s="528"/>
      <c r="AM15" s="528"/>
      <c r="AN15" s="528"/>
      <c r="AO15" s="528"/>
      <c r="AP15" s="528"/>
      <c r="AQ15" s="528"/>
      <c r="AS15" s="130"/>
      <c r="AT15" s="130" t="str">
        <f t="shared" si="19"/>
        <v xml:space="preserve">Добавить источник для дифференциации</v>
      </c>
      <c r="AU15" s="130"/>
      <c r="AV15" s="130"/>
      <c r="AW15" s="57">
        <v>0</v>
      </c>
    </row>
    <row r="16" s="57" customFormat="1" ht="14.25" hidden="1" customHeight="1">
      <c r="A16" s="578"/>
      <c r="B16" s="578"/>
      <c r="C16" s="578"/>
      <c r="D16" s="578"/>
      <c r="E16" s="577"/>
      <c r="F16" s="576"/>
      <c r="G16" s="578"/>
      <c r="H16" s="578"/>
      <c r="I16" s="578"/>
      <c r="J16" s="578"/>
      <c r="K16" s="578"/>
      <c r="L16" s="578"/>
      <c r="M16" s="579"/>
      <c r="N16" s="581"/>
      <c r="O16" s="581"/>
      <c r="P16" s="132"/>
      <c r="Q16" s="168"/>
      <c r="R16" s="525"/>
      <c r="S16" s="168"/>
      <c r="T16" s="168"/>
      <c r="U16" s="530"/>
      <c r="V16" s="531" t="s">
        <v>409</v>
      </c>
      <c r="W16" s="532"/>
      <c r="X16" s="532"/>
      <c r="Y16" s="532"/>
      <c r="Z16" s="532"/>
      <c r="AA16" s="532"/>
      <c r="AB16" s="532"/>
      <c r="AC16" s="532"/>
      <c r="AD16" s="532"/>
      <c r="AE16" s="532"/>
      <c r="AF16" s="532"/>
      <c r="AG16" s="532"/>
      <c r="AH16" s="532"/>
      <c r="AI16" s="532"/>
      <c r="AJ16" s="532"/>
      <c r="AK16" s="532"/>
      <c r="AL16" s="532"/>
      <c r="AM16" s="532"/>
      <c r="AN16" s="532"/>
      <c r="AO16" s="532"/>
      <c r="AP16" s="532"/>
      <c r="AQ16" s="532"/>
      <c r="AS16" s="130"/>
      <c r="AT16" s="130" t="str">
        <f t="shared" si="19"/>
        <v xml:space="preserve">Добавить централизованную систему для дифференциации</v>
      </c>
      <c r="AU16" s="130"/>
      <c r="AV16" s="130"/>
      <c r="AW16" s="57">
        <v>0</v>
      </c>
    </row>
    <row r="17" s="57" customFormat="1" ht="14.25" hidden="1" customHeight="1">
      <c r="A17" s="578"/>
      <c r="B17" s="578"/>
      <c r="C17" s="578"/>
      <c r="D17" s="578"/>
      <c r="E17" s="576"/>
      <c r="F17" s="578"/>
      <c r="G17" s="578"/>
      <c r="H17" s="578"/>
      <c r="I17" s="578"/>
      <c r="J17" s="578"/>
      <c r="K17" s="578"/>
      <c r="L17" s="578"/>
      <c r="M17" s="579"/>
      <c r="N17" s="581"/>
      <c r="O17" s="581"/>
      <c r="P17" s="132"/>
      <c r="Q17" s="168"/>
      <c r="R17" s="525"/>
      <c r="S17" s="168"/>
      <c r="T17" s="168"/>
      <c r="U17" s="530"/>
      <c r="V17" s="533" t="s">
        <v>410</v>
      </c>
      <c r="W17" s="532"/>
      <c r="X17" s="532"/>
      <c r="Y17" s="532"/>
      <c r="Z17" s="532"/>
      <c r="AA17" s="532"/>
      <c r="AB17" s="532"/>
      <c r="AC17" s="532"/>
      <c r="AD17" s="532"/>
      <c r="AE17" s="532"/>
      <c r="AF17" s="532"/>
      <c r="AG17" s="532"/>
      <c r="AH17" s="532"/>
      <c r="AI17" s="532"/>
      <c r="AJ17" s="532"/>
      <c r="AK17" s="532"/>
      <c r="AL17" s="532"/>
      <c r="AM17" s="532"/>
      <c r="AN17" s="532"/>
      <c r="AO17" s="532"/>
      <c r="AP17" s="532"/>
      <c r="AQ17" s="532"/>
      <c r="AS17" s="130"/>
      <c r="AT17" s="130" t="str">
        <f t="shared" si="19"/>
        <v xml:space="preserve">Добавить территорию для дифференциации</v>
      </c>
      <c r="AU17" s="130"/>
      <c r="AV17" s="130"/>
      <c r="AW17" s="57">
        <v>0</v>
      </c>
    </row>
    <row r="18" ht="14.25" hidden="1" customHeight="1">
      <c r="AF18" s="50"/>
      <c r="AO18" s="50"/>
      <c r="AW18" s="50">
        <v>0</v>
      </c>
    </row>
    <row r="19" ht="14.25" hidden="1" customHeight="1">
      <c r="AG19" s="534"/>
      <c r="AH19" s="534"/>
      <c r="AI19" s="534"/>
      <c r="AJ19" s="534"/>
      <c r="AK19" s="535"/>
      <c r="AL19" s="536"/>
      <c r="AM19" s="537" t="s">
        <v>64</v>
      </c>
      <c r="AN19" s="536"/>
      <c r="AO19" s="537" t="s">
        <v>64</v>
      </c>
      <c r="AW19" s="50">
        <v>0</v>
      </c>
    </row>
    <row r="20" ht="14.25" hidden="1" customHeight="1">
      <c r="AG20" s="534"/>
      <c r="AH20" s="534"/>
      <c r="AI20" s="534"/>
      <c r="AJ20" s="534"/>
      <c r="AK20" s="535"/>
      <c r="AL20" s="536"/>
      <c r="AM20" s="537"/>
      <c r="AN20" s="536"/>
      <c r="AO20" s="537"/>
      <c r="AW20" s="50">
        <v>0</v>
      </c>
    </row>
    <row r="21" ht="14.25" hidden="1" customHeight="1">
      <c r="AG21" s="534"/>
      <c r="AH21" s="534"/>
      <c r="AI21" s="534"/>
      <c r="AJ21" s="534"/>
      <c r="AK21" s="535"/>
      <c r="AL21" s="536"/>
      <c r="AM21" s="537"/>
      <c r="AN21" s="536"/>
      <c r="AO21" s="537"/>
      <c r="AW21" s="50">
        <v>0</v>
      </c>
    </row>
    <row r="22" ht="14.25" hidden="1" customHeight="1">
      <c r="AG22" s="534"/>
      <c r="AH22" s="534"/>
      <c r="AI22" s="534"/>
      <c r="AJ22" s="534"/>
      <c r="AK22" s="513" t="str">
        <f>AL19&amp;"-"&amp;AN19</f>
        <v>-</v>
      </c>
      <c r="AL22" s="537"/>
      <c r="AM22" s="537"/>
      <c r="AN22" s="537"/>
      <c r="AO22" s="537"/>
      <c r="AW22" s="50">
        <v>0</v>
      </c>
    </row>
    <row r="23" ht="14.25" hidden="1" customHeight="1">
      <c r="AO23" s="50"/>
      <c r="AW23" s="50">
        <v>0</v>
      </c>
    </row>
    <row r="24" s="53" customFormat="1" ht="22.5" hidden="1" customHeight="1">
      <c r="A24" s="50"/>
      <c r="B24" s="50"/>
      <c r="C24" s="50"/>
      <c r="D24" s="50"/>
      <c r="E24" s="50"/>
      <c r="F24" s="50"/>
      <c r="G24" s="50"/>
      <c r="H24" s="50"/>
      <c r="I24" s="50"/>
      <c r="J24" s="50"/>
      <c r="K24" s="50"/>
      <c r="L24" s="50"/>
      <c r="M24" s="51"/>
      <c r="N24" s="60"/>
      <c r="O24" s="60"/>
      <c r="P24" s="582" t="s">
        <v>411</v>
      </c>
      <c r="Q24" s="61"/>
      <c r="R24" s="539"/>
      <c r="S24" s="539"/>
      <c r="T24" s="539"/>
      <c r="U24" s="483"/>
      <c r="AC24" s="538"/>
      <c r="AE24" s="538"/>
      <c r="AF24" s="53"/>
      <c r="AL24" s="538"/>
      <c r="AN24" s="538"/>
      <c r="AO24" s="53"/>
      <c r="AR24" s="57"/>
      <c r="AS24" s="57"/>
      <c r="AT24" s="57"/>
      <c r="AU24" s="57"/>
      <c r="AV24" s="57"/>
      <c r="AW24" s="53">
        <v>0</v>
      </c>
    </row>
    <row r="25" s="53" customFormat="1" ht="14.25" hidden="1" customHeight="1">
      <c r="A25" s="50"/>
      <c r="B25" s="50"/>
      <c r="C25" s="50"/>
      <c r="D25" s="50"/>
      <c r="E25" s="50"/>
      <c r="F25" s="50"/>
      <c r="G25" s="50"/>
      <c r="H25" s="50"/>
      <c r="I25" s="50"/>
      <c r="J25" s="50"/>
      <c r="K25" s="50"/>
      <c r="L25" s="50"/>
      <c r="M25" s="51"/>
      <c r="N25" s="60"/>
      <c r="O25" s="60"/>
      <c r="P25" s="60"/>
      <c r="Q25" s="61"/>
      <c r="R25" s="539"/>
      <c r="S25" s="539"/>
      <c r="T25" s="539"/>
      <c r="U25" s="483"/>
      <c r="AF25" s="53"/>
      <c r="AO25" s="53"/>
      <c r="AR25" s="57"/>
      <c r="AS25" s="57"/>
      <c r="AT25" s="57"/>
      <c r="AU25" s="57"/>
      <c r="AV25" s="57"/>
      <c r="AW25" s="53">
        <v>0</v>
      </c>
    </row>
    <row r="26" s="53" customFormat="1" ht="14.25" hidden="1" customHeight="1">
      <c r="A26" s="50"/>
      <c r="B26" s="50"/>
      <c r="C26" s="50"/>
      <c r="D26" s="50"/>
      <c r="E26" s="50"/>
      <c r="F26" s="50"/>
      <c r="G26" s="50"/>
      <c r="H26" s="50"/>
      <c r="I26" s="50"/>
      <c r="J26" s="50"/>
      <c r="K26" s="50"/>
      <c r="L26" s="50"/>
      <c r="M26" s="51"/>
      <c r="N26" s="60"/>
      <c r="O26" s="60"/>
      <c r="P26" s="323" t="s">
        <v>412</v>
      </c>
      <c r="Q26" s="61"/>
      <c r="R26" s="539"/>
      <c r="S26" s="539"/>
      <c r="T26" s="539"/>
      <c r="U26" s="483"/>
      <c r="V26" s="53" t="s">
        <v>413</v>
      </c>
      <c r="AD26" s="152" t="s">
        <v>414</v>
      </c>
      <c r="AF26" s="152" t="s">
        <v>415</v>
      </c>
      <c r="AG26" s="53" t="s">
        <v>413</v>
      </c>
      <c r="AM26" s="152" t="s">
        <v>416</v>
      </c>
      <c r="AO26" s="152" t="s">
        <v>415</v>
      </c>
      <c r="AR26" s="57"/>
      <c r="AS26" s="57"/>
      <c r="AT26" s="57"/>
      <c r="AU26" s="57"/>
      <c r="AV26" s="57"/>
      <c r="AW26" s="53">
        <v>0</v>
      </c>
    </row>
    <row r="27" ht="14.25" hidden="1" customHeight="1">
      <c r="P27" s="323"/>
      <c r="AW27" s="50">
        <v>0</v>
      </c>
    </row>
    <row r="28" ht="14.25" hidden="1" customHeight="1">
      <c r="P28" s="323"/>
      <c r="AW28" s="50">
        <v>0</v>
      </c>
    </row>
    <row r="29" ht="14.65" customHeight="1">
      <c r="R29" s="540"/>
      <c r="S29" s="540"/>
      <c r="T29" s="540"/>
      <c r="U29" s="541"/>
      <c r="V29" s="91"/>
      <c r="W29" s="91"/>
      <c r="X29" s="50"/>
      <c r="Y29" s="50"/>
      <c r="Z29" s="50"/>
      <c r="AA29" s="50"/>
      <c r="AB29" s="50"/>
      <c r="AC29" s="50"/>
      <c r="AD29" s="50"/>
      <c r="AE29" s="50"/>
      <c r="AF29" s="50"/>
      <c r="AG29" s="50"/>
      <c r="AH29" s="50"/>
      <c r="AI29" s="50"/>
      <c r="AJ29" s="50"/>
      <c r="AK29" s="50"/>
      <c r="AL29" s="50"/>
      <c r="AM29" s="50"/>
      <c r="AN29" s="50"/>
      <c r="AO29" s="50"/>
      <c r="AW29" s="50">
        <v>14</v>
      </c>
    </row>
    <row r="30" ht="56.700000000000003" customHeight="1">
      <c r="R30" s="540"/>
      <c r="S30" s="540"/>
      <c r="T30" s="540"/>
      <c r="U30" s="453" t="str">
        <f>IF(TEMPLATE_GROUP="P",PT_P_FORM_HEAT_6_NAME_FORM,PT_R_FORM_HEAT_23_NAME_FORM)</f>
        <v xml:space="preserve">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453"/>
      <c r="W30" s="453"/>
      <c r="X30" s="453"/>
      <c r="Y30" s="453"/>
      <c r="Z30" s="453"/>
      <c r="AA30" s="453"/>
      <c r="AB30" s="453"/>
      <c r="AC30" s="453"/>
      <c r="AD30" s="453"/>
      <c r="AE30" s="453"/>
      <c r="AF30" s="453"/>
      <c r="AG30" s="453"/>
      <c r="AH30" s="453"/>
      <c r="AI30" s="453"/>
      <c r="AJ30" s="453"/>
      <c r="AK30" s="453"/>
      <c r="AL30" s="453"/>
      <c r="AM30" s="453"/>
      <c r="AN30" s="453"/>
      <c r="AO30" s="241"/>
      <c r="AW30" s="50">
        <v>54</v>
      </c>
    </row>
    <row r="31" ht="14.65" customHeight="1">
      <c r="R31" s="540"/>
      <c r="S31" s="540"/>
      <c r="T31" s="540"/>
      <c r="U31" s="304" t="str">
        <f>IF(org=0,"Не определено",org)</f>
        <v xml:space="preserve">АО "ДГК" СП "Биробиджанская ТЭЦ"</v>
      </c>
      <c r="V31" s="304"/>
      <c r="W31" s="304"/>
      <c r="X31" s="304"/>
      <c r="Y31" s="304"/>
      <c r="Z31" s="304"/>
      <c r="AA31" s="304"/>
      <c r="AB31" s="304"/>
      <c r="AC31" s="304"/>
      <c r="AD31" s="304"/>
      <c r="AE31" s="304"/>
      <c r="AF31" s="304"/>
      <c r="AG31" s="304"/>
      <c r="AH31" s="304"/>
      <c r="AI31" s="304"/>
      <c r="AJ31" s="304"/>
      <c r="AK31" s="304"/>
      <c r="AL31" s="304"/>
      <c r="AM31" s="304"/>
      <c r="AN31" s="304"/>
      <c r="AO31" s="241"/>
      <c r="AW31" s="50">
        <v>14</v>
      </c>
    </row>
    <row r="32" ht="14.25" hidden="1" customHeight="1">
      <c r="R32" s="540"/>
      <c r="S32" s="540"/>
      <c r="T32" s="540"/>
      <c r="U32" s="541"/>
      <c r="V32" s="91"/>
      <c r="W32" s="91"/>
      <c r="X32" s="542"/>
      <c r="Y32" s="542"/>
      <c r="Z32" s="542"/>
      <c r="AA32" s="542"/>
      <c r="AB32" s="542"/>
      <c r="AC32" s="542"/>
      <c r="AD32" s="542"/>
      <c r="AE32" s="542"/>
      <c r="AF32" s="542"/>
      <c r="AG32" s="542"/>
      <c r="AH32" s="542"/>
      <c r="AI32" s="542"/>
      <c r="AJ32" s="542"/>
      <c r="AK32" s="542"/>
      <c r="AL32" s="542"/>
      <c r="AM32" s="542"/>
      <c r="AN32" s="542"/>
      <c r="AO32" s="542"/>
      <c r="AP32" s="50"/>
      <c r="AW32" s="50">
        <v>0</v>
      </c>
    </row>
    <row r="33" s="185" customFormat="1" ht="25.5" hidden="1" customHeight="1">
      <c r="A33" s="107"/>
      <c r="B33" s="107"/>
      <c r="C33" s="107"/>
      <c r="D33" s="107"/>
      <c r="E33" s="107"/>
      <c r="F33" s="107"/>
      <c r="G33" s="107"/>
      <c r="H33" s="107"/>
      <c r="I33" s="107"/>
      <c r="J33" s="107"/>
      <c r="K33" s="107"/>
      <c r="L33" s="107"/>
      <c r="M33" s="323"/>
      <c r="N33" s="107"/>
      <c r="O33" s="107"/>
      <c r="P33" s="107"/>
      <c r="U33" s="543" t="s">
        <v>41</v>
      </c>
      <c r="V33" s="543"/>
      <c r="W33" s="544"/>
      <c r="X33" s="545" t="str">
        <f>IF(TITLE_NAME_OR_PR_CHANGE="",IF(TITLE_NAME_OR_PR="","",TITLE_NAME_OR_PR),TITLE_NAME_OR_PR_CHANGE)</f>
        <v/>
      </c>
      <c r="Y33" s="545"/>
      <c r="Z33" s="545"/>
      <c r="AA33" s="545"/>
      <c r="AB33" s="545"/>
      <c r="AC33" s="545"/>
      <c r="AD33" s="545"/>
      <c r="AE33" s="545"/>
      <c r="AF33" s="50"/>
      <c r="AG33" s="545" t="str">
        <f>IF(TITLE_NAME_OR_PR_CHANGE="",IF(TITLE_NAME_OR_PR="","",TITLE_NAME_OR_PR),TITLE_NAME_OR_PR_CHANGE)</f>
        <v/>
      </c>
      <c r="AH33" s="545"/>
      <c r="AI33" s="545"/>
      <c r="AJ33" s="545"/>
      <c r="AK33" s="545"/>
      <c r="AL33" s="545"/>
      <c r="AM33" s="545"/>
      <c r="AN33" s="545"/>
      <c r="AO33" s="50"/>
      <c r="AP33" s="50"/>
      <c r="AQ33" s="546"/>
      <c r="AR33" s="130"/>
      <c r="AS33" s="130"/>
      <c r="AT33" s="130"/>
      <c r="AU33" s="130"/>
      <c r="AV33" s="130"/>
      <c r="AW33" s="185">
        <v>0</v>
      </c>
    </row>
    <row r="34" s="185" customFormat="1" ht="18.75" hidden="1" customHeight="1">
      <c r="A34" s="107"/>
      <c r="B34" s="107"/>
      <c r="C34" s="107"/>
      <c r="D34" s="107"/>
      <c r="E34" s="107"/>
      <c r="F34" s="107"/>
      <c r="G34" s="107"/>
      <c r="H34" s="107"/>
      <c r="I34" s="107"/>
      <c r="J34" s="107"/>
      <c r="K34" s="107"/>
      <c r="L34" s="107"/>
      <c r="M34" s="323"/>
      <c r="N34" s="107"/>
      <c r="O34" s="107"/>
      <c r="P34" s="107"/>
      <c r="U34" s="543" t="s">
        <v>417</v>
      </c>
      <c r="V34" s="543"/>
      <c r="W34" s="544"/>
      <c r="X34" s="547" t="str">
        <f>IF(TITLE_DATE_PR_CHANGE="",IF(TITLE_DATE_PR="","",TITLE_DATE_PR),TITLE_DATE_PR_CHANGE)</f>
        <v/>
      </c>
      <c r="Y34" s="547"/>
      <c r="Z34" s="547"/>
      <c r="AA34" s="547"/>
      <c r="AB34" s="547"/>
      <c r="AC34" s="547"/>
      <c r="AD34" s="547"/>
      <c r="AE34" s="547"/>
      <c r="AF34" s="50"/>
      <c r="AG34" s="547" t="str">
        <f>IF(TITLE_DATE_PR_CHANGE="",IF(TITLE_DATE_PR="","",TITLE_DATE_PR),TITLE_DATE_PR_CHANGE)</f>
        <v/>
      </c>
      <c r="AH34" s="547"/>
      <c r="AI34" s="547"/>
      <c r="AJ34" s="547"/>
      <c r="AK34" s="547"/>
      <c r="AL34" s="547"/>
      <c r="AM34" s="547"/>
      <c r="AN34" s="547"/>
      <c r="AO34" s="50"/>
      <c r="AP34" s="50"/>
      <c r="AQ34" s="546"/>
      <c r="AR34" s="130"/>
      <c r="AS34" s="130"/>
      <c r="AT34" s="130"/>
      <c r="AU34" s="130"/>
      <c r="AV34" s="130"/>
      <c r="AW34" s="185">
        <v>0</v>
      </c>
    </row>
    <row r="35" s="185" customFormat="1" ht="18.75" hidden="1" customHeight="1">
      <c r="A35" s="107"/>
      <c r="B35" s="107"/>
      <c r="C35" s="107"/>
      <c r="D35" s="107"/>
      <c r="E35" s="107"/>
      <c r="F35" s="107"/>
      <c r="G35" s="107"/>
      <c r="H35" s="107"/>
      <c r="I35" s="107"/>
      <c r="J35" s="107"/>
      <c r="K35" s="107"/>
      <c r="L35" s="107"/>
      <c r="M35" s="323"/>
      <c r="N35" s="107"/>
      <c r="O35" s="107"/>
      <c r="P35" s="107"/>
      <c r="U35" s="543" t="s">
        <v>418</v>
      </c>
      <c r="V35" s="543"/>
      <c r="W35" s="544"/>
      <c r="X35" s="545" t="str">
        <f>IF(TITLE_NUMBER_PR_CHANGE="",IF(TITLE_NUMBER_PR="","",TITLE_NUMBER_PR),TITLE_NUMBER_PR_CHANGE)</f>
        <v/>
      </c>
      <c r="Y35" s="545"/>
      <c r="Z35" s="545"/>
      <c r="AA35" s="545"/>
      <c r="AB35" s="545"/>
      <c r="AC35" s="545"/>
      <c r="AD35" s="545"/>
      <c r="AE35" s="545"/>
      <c r="AF35" s="50"/>
      <c r="AG35" s="545" t="str">
        <f>IF(TITLE_NUMBER_PR_CHANGE="",IF(TITLE_NUMBER_PR="","",TITLE_NUMBER_PR),TITLE_NUMBER_PR_CHANGE)</f>
        <v/>
      </c>
      <c r="AH35" s="545"/>
      <c r="AI35" s="545"/>
      <c r="AJ35" s="545"/>
      <c r="AK35" s="545"/>
      <c r="AL35" s="545"/>
      <c r="AM35" s="545"/>
      <c r="AN35" s="545"/>
      <c r="AO35" s="50"/>
      <c r="AP35" s="50"/>
      <c r="AQ35" s="546"/>
      <c r="AR35" s="130"/>
      <c r="AS35" s="130"/>
      <c r="AT35" s="130"/>
      <c r="AU35" s="130"/>
      <c r="AV35" s="130"/>
      <c r="AW35" s="185">
        <v>0</v>
      </c>
    </row>
    <row r="36" s="185" customFormat="1" ht="18.75" hidden="1" customHeight="1">
      <c r="A36" s="107"/>
      <c r="B36" s="107"/>
      <c r="C36" s="107"/>
      <c r="D36" s="107"/>
      <c r="E36" s="107"/>
      <c r="F36" s="107"/>
      <c r="G36" s="107"/>
      <c r="H36" s="107"/>
      <c r="I36" s="107"/>
      <c r="J36" s="107"/>
      <c r="K36" s="107"/>
      <c r="L36" s="107"/>
      <c r="M36" s="323"/>
      <c r="N36" s="107"/>
      <c r="O36" s="107"/>
      <c r="P36" s="107"/>
      <c r="U36" s="543" t="s">
        <v>42</v>
      </c>
      <c r="V36" s="543"/>
      <c r="W36" s="544"/>
      <c r="X36" s="545" t="str">
        <f>IF(TITLE_IST_PUB_CHANGE="",IF(TITLE_IST_PUB="","",TITLE_IST_PUB),TITLE_IST_PUB_CHANGE)</f>
        <v/>
      </c>
      <c r="Y36" s="545"/>
      <c r="Z36" s="545"/>
      <c r="AA36" s="545"/>
      <c r="AB36" s="545"/>
      <c r="AC36" s="545"/>
      <c r="AD36" s="545"/>
      <c r="AE36" s="545"/>
      <c r="AF36" s="50"/>
      <c r="AG36" s="545" t="str">
        <f>IF(TITLE_IST_PUB_CHANGE="",IF(TITLE_IST_PUB="","",TITLE_IST_PUB),TITLE_IST_PUB_CHANGE)</f>
        <v/>
      </c>
      <c r="AH36" s="545"/>
      <c r="AI36" s="545"/>
      <c r="AJ36" s="545"/>
      <c r="AK36" s="545"/>
      <c r="AL36" s="545"/>
      <c r="AM36" s="545"/>
      <c r="AN36" s="545"/>
      <c r="AO36" s="50"/>
      <c r="AP36" s="50"/>
      <c r="AQ36" s="546"/>
      <c r="AR36" s="130"/>
      <c r="AS36" s="130"/>
      <c r="AT36" s="130"/>
      <c r="AU36" s="130"/>
      <c r="AV36" s="130"/>
      <c r="AW36" s="185">
        <v>0</v>
      </c>
    </row>
    <row r="37" ht="14.25" hidden="1" customHeight="1">
      <c r="R37" s="540"/>
      <c r="S37" s="540"/>
      <c r="T37" s="540"/>
      <c r="U37" s="541"/>
      <c r="V37" s="91"/>
      <c r="W37" s="91"/>
      <c r="X37" s="542"/>
      <c r="Y37" s="542"/>
      <c r="Z37" s="542"/>
      <c r="AA37" s="542"/>
      <c r="AB37" s="542"/>
      <c r="AC37" s="542"/>
      <c r="AD37" s="542"/>
      <c r="AE37" s="542"/>
      <c r="AF37" s="542"/>
      <c r="AG37" s="542"/>
      <c r="AH37" s="542"/>
      <c r="AI37" s="542"/>
      <c r="AJ37" s="542"/>
      <c r="AK37" s="542"/>
      <c r="AL37" s="542"/>
      <c r="AM37" s="542"/>
      <c r="AN37" s="542"/>
      <c r="AO37" s="542"/>
      <c r="AP37" s="50"/>
      <c r="AW37" s="50">
        <v>0</v>
      </c>
    </row>
    <row r="38" s="185" customFormat="1" ht="18.75" hidden="1" customHeight="1">
      <c r="A38" s="107"/>
      <c r="B38" s="107"/>
      <c r="C38" s="107"/>
      <c r="D38" s="107"/>
      <c r="E38" s="107"/>
      <c r="F38" s="107"/>
      <c r="G38" s="107"/>
      <c r="H38" s="107"/>
      <c r="I38" s="107"/>
      <c r="J38" s="107"/>
      <c r="K38" s="107"/>
      <c r="L38" s="107"/>
      <c r="M38" s="323"/>
      <c r="N38" s="107"/>
      <c r="O38" s="107"/>
      <c r="P38" s="107"/>
      <c r="U38" s="543" t="s">
        <v>419</v>
      </c>
      <c r="V38" s="543"/>
      <c r="W38" s="544"/>
      <c r="X38" s="547" t="str">
        <f>IF(TITLE_DATE_PR_CHANGE="",IF(TITLE_DATE_PR="","",TITLE_DATE_PR),TITLE_DATE_PR_CHANGE)</f>
        <v/>
      </c>
      <c r="Y38" s="547"/>
      <c r="Z38" s="547"/>
      <c r="AA38" s="547"/>
      <c r="AB38" s="547"/>
      <c r="AC38" s="547"/>
      <c r="AD38" s="547"/>
      <c r="AE38" s="547"/>
      <c r="AF38" s="50"/>
      <c r="AG38" s="547" t="str">
        <f>IF(TITLE_DATE_PR_CHANGE="",IF(TITLE_DATE_PR="","",TITLE_DATE_PR),TITLE_DATE_PR_CHANGE)</f>
        <v/>
      </c>
      <c r="AH38" s="547"/>
      <c r="AI38" s="547"/>
      <c r="AJ38" s="547"/>
      <c r="AK38" s="547"/>
      <c r="AL38" s="547"/>
      <c r="AM38" s="547"/>
      <c r="AN38" s="547"/>
      <c r="AO38" s="50"/>
      <c r="AP38" s="50"/>
      <c r="AQ38" s="546"/>
      <c r="AR38" s="130"/>
      <c r="AS38" s="130"/>
      <c r="AT38" s="130"/>
      <c r="AU38" s="130"/>
      <c r="AV38" s="130"/>
      <c r="AW38" s="185">
        <v>0</v>
      </c>
    </row>
    <row r="39" s="185" customFormat="1" ht="18.75" hidden="1" customHeight="1">
      <c r="A39" s="107"/>
      <c r="B39" s="107"/>
      <c r="C39" s="107"/>
      <c r="D39" s="107"/>
      <c r="E39" s="107"/>
      <c r="F39" s="107"/>
      <c r="G39" s="107"/>
      <c r="H39" s="107"/>
      <c r="I39" s="107"/>
      <c r="J39" s="107"/>
      <c r="K39" s="107"/>
      <c r="L39" s="107"/>
      <c r="M39" s="323"/>
      <c r="N39" s="107"/>
      <c r="O39" s="107"/>
      <c r="P39" s="107"/>
      <c r="U39" s="543" t="s">
        <v>420</v>
      </c>
      <c r="V39" s="543"/>
      <c r="W39" s="544"/>
      <c r="X39" s="545" t="str">
        <f>IF(TITLE_NUMBER_PR_CHANGE="",IF(TITLE_NUMBER_PR="","",TITLE_NUMBER_PR),TITLE_NUMBER_PR_CHANGE)</f>
        <v/>
      </c>
      <c r="Y39" s="545"/>
      <c r="Z39" s="545"/>
      <c r="AA39" s="545"/>
      <c r="AB39" s="545"/>
      <c r="AC39" s="545"/>
      <c r="AD39" s="545"/>
      <c r="AE39" s="545"/>
      <c r="AF39" s="50"/>
      <c r="AG39" s="545" t="str">
        <f>IF(TITLE_NUMBER_PR_CHANGE="",IF(TITLE_NUMBER_PR="","",TITLE_NUMBER_PR),TITLE_NUMBER_PR_CHANGE)</f>
        <v/>
      </c>
      <c r="AH39" s="545"/>
      <c r="AI39" s="545"/>
      <c r="AJ39" s="545"/>
      <c r="AK39" s="545"/>
      <c r="AL39" s="545"/>
      <c r="AM39" s="545"/>
      <c r="AN39" s="545"/>
      <c r="AO39" s="50"/>
      <c r="AP39" s="50"/>
      <c r="AQ39" s="546"/>
      <c r="AR39" s="130"/>
      <c r="AS39" s="130"/>
      <c r="AT39" s="130"/>
      <c r="AU39" s="130"/>
      <c r="AV39" s="130"/>
      <c r="AW39" s="185">
        <v>0</v>
      </c>
    </row>
    <row r="40" s="185" customFormat="1" ht="0" customHeight="1">
      <c r="A40" s="107"/>
      <c r="B40" s="107"/>
      <c r="C40" s="107"/>
      <c r="D40" s="107"/>
      <c r="E40" s="107"/>
      <c r="F40" s="107"/>
      <c r="G40" s="107"/>
      <c r="H40" s="107"/>
      <c r="I40" s="107"/>
      <c r="J40" s="107"/>
      <c r="K40" s="107"/>
      <c r="L40" s="107"/>
      <c r="M40" s="323"/>
      <c r="N40" s="107"/>
      <c r="O40" s="107"/>
      <c r="P40" s="107"/>
      <c r="U40" s="50"/>
      <c r="V40" s="50"/>
      <c r="W40" s="141"/>
      <c r="X40" s="50"/>
      <c r="Y40" s="50"/>
      <c r="Z40" s="50"/>
      <c r="AA40" s="50"/>
      <c r="AB40" s="50"/>
      <c r="AC40" s="50"/>
      <c r="AD40" s="50"/>
      <c r="AE40" s="50"/>
      <c r="AF40" s="57" t="s">
        <v>421</v>
      </c>
      <c r="AG40" s="50"/>
      <c r="AH40" s="50"/>
      <c r="AI40" s="50"/>
      <c r="AJ40" s="50"/>
      <c r="AK40" s="50"/>
      <c r="AL40" s="50"/>
      <c r="AM40" s="50"/>
      <c r="AN40" s="50"/>
      <c r="AO40" s="57" t="s">
        <v>421</v>
      </c>
      <c r="AR40" s="130"/>
      <c r="AS40" s="130"/>
      <c r="AT40" s="130"/>
      <c r="AU40" s="130"/>
      <c r="AV40" s="130"/>
      <c r="AW40" s="185">
        <v>0</v>
      </c>
    </row>
    <row r="41" ht="14.65" customHeight="1">
      <c r="R41" s="540"/>
      <c r="S41" s="540"/>
      <c r="T41" s="540"/>
      <c r="U41" s="541"/>
      <c r="V41" s="91"/>
      <c r="W41" s="548"/>
      <c r="X41" s="549"/>
      <c r="Y41" s="549"/>
      <c r="Z41" s="549"/>
      <c r="AA41" s="549"/>
      <c r="AB41" s="549"/>
      <c r="AC41" s="549"/>
      <c r="AD41" s="549"/>
      <c r="AE41" s="549"/>
      <c r="AF41" s="549"/>
      <c r="AG41" s="549"/>
      <c r="AH41" s="549"/>
      <c r="AI41" s="549"/>
      <c r="AJ41" s="549"/>
      <c r="AK41" s="549"/>
      <c r="AL41" s="549"/>
      <c r="AM41" s="549"/>
      <c r="AN41" s="549"/>
      <c r="AO41" s="549"/>
      <c r="AW41" s="50">
        <v>14</v>
      </c>
    </row>
    <row r="42" ht="14.65" customHeight="1">
      <c r="R42" s="540"/>
      <c r="S42" s="540"/>
      <c r="T42" s="540"/>
      <c r="U42" s="158" t="s">
        <v>294</v>
      </c>
      <c r="V42" s="158"/>
      <c r="W42" s="158"/>
      <c r="X42" s="158"/>
      <c r="Y42" s="158"/>
      <c r="Z42" s="158"/>
      <c r="AA42" s="158"/>
      <c r="AB42" s="158"/>
      <c r="AC42" s="158"/>
      <c r="AD42" s="158"/>
      <c r="AE42" s="158"/>
      <c r="AF42" s="158"/>
      <c r="AG42" s="158"/>
      <c r="AH42" s="158"/>
      <c r="AI42" s="158"/>
      <c r="AJ42" s="158"/>
      <c r="AK42" s="158"/>
      <c r="AL42" s="158"/>
      <c r="AM42" s="158"/>
      <c r="AN42" s="158"/>
      <c r="AO42" s="158"/>
      <c r="AP42" s="158"/>
      <c r="AQ42" s="158" t="s">
        <v>295</v>
      </c>
      <c r="AW42" s="50">
        <v>14</v>
      </c>
    </row>
    <row r="43" ht="14.65" customHeight="1">
      <c r="R43" s="540"/>
      <c r="S43" s="540"/>
      <c r="T43" s="540"/>
      <c r="U43" s="485" t="s">
        <v>87</v>
      </c>
      <c r="V43" s="348" t="s">
        <v>422</v>
      </c>
      <c r="W43" s="550"/>
      <c r="X43" s="551" t="s">
        <v>423</v>
      </c>
      <c r="Y43" s="585"/>
      <c r="Z43" s="585"/>
      <c r="AA43" s="585"/>
      <c r="AB43" s="585"/>
      <c r="AC43" s="552"/>
      <c r="AD43" s="552"/>
      <c r="AE43" s="553"/>
      <c r="AF43" s="554" t="s">
        <v>424</v>
      </c>
      <c r="AG43" s="551" t="s">
        <v>423</v>
      </c>
      <c r="AH43" s="585"/>
      <c r="AI43" s="585"/>
      <c r="AJ43" s="585"/>
      <c r="AK43" s="585"/>
      <c r="AL43" s="552"/>
      <c r="AM43" s="552"/>
      <c r="AN43" s="553"/>
      <c r="AO43" s="554" t="s">
        <v>425</v>
      </c>
      <c r="AP43" s="555" t="s">
        <v>426</v>
      </c>
      <c r="AQ43" s="158"/>
      <c r="AW43" s="50">
        <v>14</v>
      </c>
    </row>
    <row r="44" ht="35.649999999999999" customHeight="1">
      <c r="R44" s="540"/>
      <c r="S44" s="540"/>
      <c r="T44" s="540"/>
      <c r="U44" s="485"/>
      <c r="V44" s="348"/>
      <c r="W44" s="556"/>
      <c r="X44" s="305" t="s">
        <v>449</v>
      </c>
      <c r="Y44" s="158" t="s">
        <v>450</v>
      </c>
      <c r="Z44" s="158"/>
      <c r="AA44" s="158"/>
      <c r="AB44" s="158"/>
      <c r="AC44" s="305" t="s">
        <v>430</v>
      </c>
      <c r="AD44" s="627"/>
      <c r="AE44" s="306"/>
      <c r="AF44" s="558"/>
      <c r="AG44" s="305" t="s">
        <v>449</v>
      </c>
      <c r="AH44" s="158" t="s">
        <v>450</v>
      </c>
      <c r="AI44" s="158"/>
      <c r="AJ44" s="158"/>
      <c r="AK44" s="158"/>
      <c r="AL44" s="305" t="s">
        <v>430</v>
      </c>
      <c r="AM44" s="627"/>
      <c r="AN44" s="306"/>
      <c r="AO44" s="558"/>
      <c r="AP44" s="559"/>
      <c r="AQ44" s="158"/>
      <c r="AW44" s="50">
        <v>34</v>
      </c>
    </row>
    <row r="45" ht="14.65" customHeight="1">
      <c r="R45" s="540"/>
      <c r="S45" s="540"/>
      <c r="T45" s="540"/>
      <c r="U45" s="485"/>
      <c r="V45" s="348"/>
      <c r="W45" s="556"/>
      <c r="X45" s="309"/>
      <c r="Y45" s="419" t="s">
        <v>451</v>
      </c>
      <c r="Z45" s="416" t="s">
        <v>452</v>
      </c>
      <c r="AA45" s="417"/>
      <c r="AB45" s="418"/>
      <c r="AC45" s="311"/>
      <c r="AD45" s="628"/>
      <c r="AE45" s="312"/>
      <c r="AF45" s="558"/>
      <c r="AG45" s="309"/>
      <c r="AH45" s="419" t="s">
        <v>451</v>
      </c>
      <c r="AI45" s="416" t="s">
        <v>452</v>
      </c>
      <c r="AJ45" s="417"/>
      <c r="AK45" s="418"/>
      <c r="AL45" s="311"/>
      <c r="AM45" s="628"/>
      <c r="AN45" s="312"/>
      <c r="AO45" s="558"/>
      <c r="AP45" s="559"/>
      <c r="AQ45" s="158"/>
      <c r="AW45" s="50">
        <v>14</v>
      </c>
    </row>
    <row r="46" ht="27.300000000000001" customHeight="1">
      <c r="R46" s="540"/>
      <c r="S46" s="540"/>
      <c r="T46" s="540"/>
      <c r="U46" s="485"/>
      <c r="V46" s="348"/>
      <c r="W46" s="556"/>
      <c r="X46" s="309"/>
      <c r="Y46" s="629"/>
      <c r="Z46" s="419" t="s">
        <v>453</v>
      </c>
      <c r="AA46" s="416" t="s">
        <v>454</v>
      </c>
      <c r="AB46" s="418"/>
      <c r="AC46" s="419" t="s">
        <v>440</v>
      </c>
      <c r="AD46" s="420" t="s">
        <v>441</v>
      </c>
      <c r="AE46" s="421"/>
      <c r="AF46" s="558"/>
      <c r="AG46" s="309"/>
      <c r="AH46" s="629"/>
      <c r="AI46" s="419" t="s">
        <v>453</v>
      </c>
      <c r="AJ46" s="416" t="s">
        <v>454</v>
      </c>
      <c r="AK46" s="418"/>
      <c r="AL46" s="419" t="s">
        <v>440</v>
      </c>
      <c r="AM46" s="420" t="s">
        <v>441</v>
      </c>
      <c r="AN46" s="421"/>
      <c r="AO46" s="558"/>
      <c r="AP46" s="559"/>
      <c r="AQ46" s="158"/>
      <c r="AW46" s="50">
        <v>26</v>
      </c>
    </row>
    <row r="47" ht="65.25" customHeight="1">
      <c r="A47" s="107"/>
      <c r="B47" s="107" t="s">
        <v>131</v>
      </c>
      <c r="C47" s="107" t="s">
        <v>132</v>
      </c>
      <c r="D47" s="107" t="s">
        <v>133</v>
      </c>
      <c r="E47" s="323" t="s">
        <v>431</v>
      </c>
      <c r="F47" s="323" t="s">
        <v>432</v>
      </c>
      <c r="G47" s="323" t="s">
        <v>433</v>
      </c>
      <c r="H47" s="323" t="s">
        <v>434</v>
      </c>
      <c r="I47" s="323" t="s">
        <v>435</v>
      </c>
      <c r="J47" s="323" t="s">
        <v>436</v>
      </c>
      <c r="K47" s="323" t="s">
        <v>437</v>
      </c>
      <c r="L47" s="323" t="s">
        <v>455</v>
      </c>
      <c r="M47" s="323" t="s">
        <v>412</v>
      </c>
      <c r="R47" s="540"/>
      <c r="S47" s="540"/>
      <c r="T47" s="540"/>
      <c r="U47" s="485"/>
      <c r="V47" s="348"/>
      <c r="W47" s="560"/>
      <c r="X47" s="311"/>
      <c r="Y47" s="422"/>
      <c r="Z47" s="422"/>
      <c r="AA47" s="247" t="s">
        <v>456</v>
      </c>
      <c r="AB47" s="247" t="s">
        <v>457</v>
      </c>
      <c r="AC47" s="422"/>
      <c r="AD47" s="423"/>
      <c r="AE47" s="424"/>
      <c r="AF47" s="562"/>
      <c r="AG47" s="311"/>
      <c r="AH47" s="422"/>
      <c r="AI47" s="422"/>
      <c r="AJ47" s="247" t="s">
        <v>456</v>
      </c>
      <c r="AK47" s="247" t="s">
        <v>457</v>
      </c>
      <c r="AL47" s="422"/>
      <c r="AM47" s="423"/>
      <c r="AN47" s="424"/>
      <c r="AO47" s="562"/>
      <c r="AP47" s="563"/>
      <c r="AQ47" s="158"/>
      <c r="AW47" s="50">
        <v>62</v>
      </c>
    </row>
    <row r="48" s="132" customFormat="1" ht="11.25" hidden="1" customHeight="1">
      <c r="A48" s="107"/>
      <c r="B48" s="107"/>
      <c r="C48" s="107"/>
      <c r="D48" s="107"/>
      <c r="E48" s="107"/>
      <c r="F48" s="107"/>
      <c r="G48" s="107"/>
      <c r="H48" s="107"/>
      <c r="I48" s="107"/>
      <c r="J48" s="107"/>
      <c r="K48" s="107"/>
      <c r="L48" s="107"/>
      <c r="M48" s="323"/>
      <c r="N48" s="60"/>
      <c r="O48" s="60"/>
      <c r="P48" s="60"/>
      <c r="Q48" s="564"/>
      <c r="R48" s="565"/>
      <c r="S48" s="566">
        <v>1</v>
      </c>
      <c r="T48" s="566"/>
      <c r="U48" s="567" t="s">
        <v>105</v>
      </c>
      <c r="V48" s="568" t="s">
        <v>106</v>
      </c>
      <c r="W48" s="569" t="str">
        <f ca="1">OFFSET(W48,0,-1)</f>
        <v>2</v>
      </c>
      <c r="X48" s="570">
        <f ca="1">OFFSET(X48,0,-1)+1</f>
        <v>3</v>
      </c>
      <c r="Y48" s="427"/>
      <c r="Z48" s="427"/>
      <c r="AA48" s="427">
        <f ca="1">OFFSET(AA48,0,-1)+1</f>
        <v>1</v>
      </c>
      <c r="AB48" s="427">
        <f ca="1">OFFSET(AB48,0,-1)+1</f>
        <v>2</v>
      </c>
      <c r="AC48" s="570">
        <f ca="1">OFFSET(AC48,0,-1)+1</f>
        <v>3</v>
      </c>
      <c r="AD48" s="570">
        <f ca="1">OFFSET(AD48,0,-1)+1</f>
        <v>4</v>
      </c>
      <c r="AE48" s="570"/>
      <c r="AF48" s="570">
        <f ca="1">OFFSET(AF48,0,-2)+1</f>
        <v>5</v>
      </c>
      <c r="AG48" s="570">
        <f ca="1">OFFSET(AG48,0,-1)+1</f>
        <v>6</v>
      </c>
      <c r="AH48" s="570"/>
      <c r="AI48" s="570"/>
      <c r="AJ48" s="570">
        <f ca="1">OFFSET(AJ48,0,-1)+1</f>
        <v>1</v>
      </c>
      <c r="AK48" s="570">
        <f ca="1">OFFSET(AK48,0,-1)+1</f>
        <v>2</v>
      </c>
      <c r="AL48" s="570">
        <f ca="1">OFFSET(AL48,0,-1)+1</f>
        <v>3</v>
      </c>
      <c r="AM48" s="570">
        <f ca="1">OFFSET(AM48,0,-1)+1</f>
        <v>4</v>
      </c>
      <c r="AN48" s="570"/>
      <c r="AO48" s="570">
        <f ca="1">OFFSET(AO48,0,-2)+1</f>
        <v>5</v>
      </c>
      <c r="AP48" s="569">
        <f ca="1">OFFSET(AP48,0,-1)</f>
        <v>5</v>
      </c>
      <c r="AQ48" s="570">
        <f ca="1">OFFSET(AQ48,0,-1)+1</f>
        <v>6</v>
      </c>
      <c r="AR48" s="57"/>
      <c r="AS48" s="57"/>
      <c r="AT48" s="57"/>
      <c r="AU48" s="57"/>
      <c r="AV48" s="57"/>
      <c r="AW48" s="132">
        <v>0</v>
      </c>
    </row>
    <row r="49" ht="22" customHeight="1">
      <c r="A49" s="265" t="s">
        <v>170</v>
      </c>
      <c r="B49" s="265"/>
      <c r="C49" s="265"/>
      <c r="D49" s="265"/>
      <c r="E49" s="576">
        <v>1</v>
      </c>
      <c r="F49" s="265"/>
      <c r="G49" s="265"/>
      <c r="H49" s="265"/>
      <c r="I49" s="265"/>
      <c r="J49" s="265"/>
      <c r="K49" s="265"/>
      <c r="L49" s="265"/>
      <c r="M49" s="323"/>
      <c r="N49" s="86"/>
      <c r="O49" s="86"/>
      <c r="P49" s="86"/>
      <c r="Q49" s="60"/>
      <c r="R49" s="144"/>
      <c r="S49" s="144"/>
      <c r="T49" s="484"/>
      <c r="U49" s="485">
        <f>INDEX(PT_DIFFERENTIATION_NUM_NTAR,MATCH(A49,PT_DIFFERENTIATION_NTAR_ID,0))</f>
        <v>0</v>
      </c>
      <c r="V49" s="486" t="s">
        <v>119</v>
      </c>
      <c r="W49" s="487"/>
      <c r="X49" s="488"/>
      <c r="Y49" s="489"/>
      <c r="Z49" s="489"/>
      <c r="AA49" s="489"/>
      <c r="AB49" s="489"/>
      <c r="AC49" s="489"/>
      <c r="AD49" s="489"/>
      <c r="AE49" s="489"/>
      <c r="AF49" s="490"/>
      <c r="AG49" s="488" t="str">
        <f>INDEX(PT_DIFFERENTIATION_NTAR,MATCH(A49,PT_DIFFERENTIATION_NTAR_ID,0))</f>
        <v/>
      </c>
      <c r="AH49" s="489"/>
      <c r="AI49" s="489"/>
      <c r="AJ49" s="489"/>
      <c r="AK49" s="489"/>
      <c r="AL49" s="489"/>
      <c r="AM49" s="489"/>
      <c r="AN49" s="489"/>
      <c r="AO49" s="489"/>
      <c r="AP49" s="490"/>
      <c r="AQ49" s="49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 xml:space="preserve">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130"/>
      <c r="AT49" s="130" t="str">
        <f t="shared" si="19"/>
        <v xml:space="preserve">Наименование тарифа</v>
      </c>
      <c r="AU49" s="130"/>
      <c r="AV49" s="130"/>
      <c r="AW49" s="50">
        <v>21</v>
      </c>
    </row>
    <row r="50" ht="22" customHeight="1">
      <c r="A50" s="265" t="s">
        <v>170</v>
      </c>
      <c r="B50" s="265" t="s">
        <v>171</v>
      </c>
      <c r="C50" s="265"/>
      <c r="D50" s="265"/>
      <c r="E50" s="577"/>
      <c r="F50" s="576">
        <v>1</v>
      </c>
      <c r="G50" s="265"/>
      <c r="H50" s="265"/>
      <c r="I50" s="265"/>
      <c r="J50" s="265"/>
      <c r="K50" s="265"/>
      <c r="L50" s="265"/>
      <c r="M50" s="323"/>
      <c r="N50" s="86"/>
      <c r="O50" s="86"/>
      <c r="P50" s="86"/>
      <c r="Q50" s="51"/>
      <c r="R50" s="493"/>
      <c r="S50" s="50"/>
      <c r="T50" s="494"/>
      <c r="U50" s="485" t="str">
        <f>INDEX(PT_DIFFERENTIATION_NUM_TER,MATCH(B50,PT_DIFFERENTIATION_TER_ID,0))</f>
        <v>.</v>
      </c>
      <c r="V50" s="495" t="s">
        <v>391</v>
      </c>
      <c r="W50" s="487"/>
      <c r="X50" s="488"/>
      <c r="Y50" s="489"/>
      <c r="Z50" s="489"/>
      <c r="AA50" s="489"/>
      <c r="AB50" s="489"/>
      <c r="AC50" s="489"/>
      <c r="AD50" s="489"/>
      <c r="AE50" s="489"/>
      <c r="AF50" s="490"/>
      <c r="AG50" s="488" t="str">
        <f>INDEX(PT_DIFFERENTIATION_TER,MATCH(B50,PT_DIFFERENTIATION_TER_ID,0))</f>
        <v/>
      </c>
      <c r="AH50" s="489"/>
      <c r="AI50" s="489"/>
      <c r="AJ50" s="489"/>
      <c r="AK50" s="489"/>
      <c r="AL50" s="489"/>
      <c r="AM50" s="489"/>
      <c r="AN50" s="489"/>
      <c r="AO50" s="489"/>
      <c r="AP50" s="490"/>
      <c r="AQ50" s="491" t="s">
        <v>392</v>
      </c>
      <c r="AS50" s="130"/>
      <c r="AT50" s="130" t="str">
        <f t="shared" si="19"/>
        <v xml:space="preserve">Территория действия тарифа</v>
      </c>
      <c r="AU50" s="130"/>
      <c r="AV50" s="130"/>
      <c r="AW50" s="50">
        <v>21</v>
      </c>
    </row>
    <row r="51" ht="24" customHeight="1">
      <c r="A51" s="265" t="s">
        <v>170</v>
      </c>
      <c r="B51" s="265" t="s">
        <v>171</v>
      </c>
      <c r="C51" s="265" t="s">
        <v>172</v>
      </c>
      <c r="D51" s="265"/>
      <c r="E51" s="577"/>
      <c r="F51" s="577"/>
      <c r="G51" s="576">
        <v>1</v>
      </c>
      <c r="H51" s="265"/>
      <c r="I51" s="265"/>
      <c r="J51" s="265"/>
      <c r="K51" s="265"/>
      <c r="L51" s="265"/>
      <c r="M51" s="323"/>
      <c r="N51" s="86"/>
      <c r="O51" s="86"/>
      <c r="P51" s="86"/>
      <c r="Q51" s="496"/>
      <c r="R51" s="493"/>
      <c r="S51" s="50"/>
      <c r="T51" s="494"/>
      <c r="U51" s="485" t="str">
        <f>INDEX(PT_DIFFERENTIATION_NUM_CS,MATCH(C51,PT_DIFFERENTIATION_CS_ID,0))</f>
        <v>..</v>
      </c>
      <c r="V51" s="497" t="s">
        <v>393</v>
      </c>
      <c r="W51" s="487"/>
      <c r="X51" s="488"/>
      <c r="Y51" s="489"/>
      <c r="Z51" s="489"/>
      <c r="AA51" s="489"/>
      <c r="AB51" s="489"/>
      <c r="AC51" s="489"/>
      <c r="AD51" s="489"/>
      <c r="AE51" s="489"/>
      <c r="AF51" s="490"/>
      <c r="AG51" s="488" t="str">
        <f>INDEX(PT_DIFFERENTIATION_CS,MATCH(C51,PT_DIFFERENTIATION_CS_ID,0))</f>
        <v/>
      </c>
      <c r="AH51" s="489"/>
      <c r="AI51" s="489"/>
      <c r="AJ51" s="489"/>
      <c r="AK51" s="489"/>
      <c r="AL51" s="489"/>
      <c r="AM51" s="489"/>
      <c r="AN51" s="489"/>
      <c r="AO51" s="489"/>
      <c r="AP51" s="490"/>
      <c r="AQ51" s="491" t="s">
        <v>394</v>
      </c>
      <c r="AS51" s="130"/>
      <c r="AT51" s="130" t="str">
        <f t="shared" si="19"/>
        <v xml:space="preserve">Наименование системы теплоснабжения </v>
      </c>
      <c r="AU51" s="130"/>
      <c r="AV51" s="130"/>
      <c r="AW51" s="50">
        <v>23</v>
      </c>
    </row>
    <row r="52" ht="22" customHeight="1">
      <c r="A52" s="265" t="s">
        <v>170</v>
      </c>
      <c r="B52" s="265" t="s">
        <v>171</v>
      </c>
      <c r="C52" s="265" t="s">
        <v>172</v>
      </c>
      <c r="D52" s="265" t="s">
        <v>173</v>
      </c>
      <c r="E52" s="577"/>
      <c r="F52" s="577"/>
      <c r="G52" s="577"/>
      <c r="H52" s="576">
        <v>1</v>
      </c>
      <c r="I52" s="265"/>
      <c r="J52" s="265"/>
      <c r="K52" s="265"/>
      <c r="L52" s="265"/>
      <c r="M52" s="323"/>
      <c r="N52" s="86"/>
      <c r="O52" s="86"/>
      <c r="P52" s="86"/>
      <c r="Q52" s="496"/>
      <c r="R52" s="493"/>
      <c r="S52" s="50"/>
      <c r="T52" s="494"/>
      <c r="U52" s="485" t="str">
        <f>INDEX(PT_DIFFERENTIATION_NUM_IST_TE,MATCH(D52,PT_DIFFERENTIATION_IST_TE_ID,0))</f>
        <v>...</v>
      </c>
      <c r="V52" s="498" t="s">
        <v>395</v>
      </c>
      <c r="W52" s="487"/>
      <c r="X52" s="488"/>
      <c r="Y52" s="489"/>
      <c r="Z52" s="489"/>
      <c r="AA52" s="489"/>
      <c r="AB52" s="489"/>
      <c r="AC52" s="489"/>
      <c r="AD52" s="489"/>
      <c r="AE52" s="489"/>
      <c r="AF52" s="490"/>
      <c r="AG52" s="488" t="str">
        <f>INDEX(PT_DIFFERENTIATION_IST_TE,MATCH(D52,PT_DIFFERENTIATION_IST_TE_ID,0))</f>
        <v/>
      </c>
      <c r="AH52" s="489"/>
      <c r="AI52" s="489"/>
      <c r="AJ52" s="489"/>
      <c r="AK52" s="489"/>
      <c r="AL52" s="489"/>
      <c r="AM52" s="489"/>
      <c r="AN52" s="489"/>
      <c r="AO52" s="489"/>
      <c r="AP52" s="490"/>
      <c r="AQ52" s="491" t="s">
        <v>396</v>
      </c>
      <c r="AS52" s="130"/>
      <c r="AT52" s="130" t="str">
        <f t="shared" si="19"/>
        <v xml:space="preserve">Источник тепловой энергии  </v>
      </c>
      <c r="AU52" s="130"/>
      <c r="AV52" s="130"/>
      <c r="AW52" s="50">
        <v>21</v>
      </c>
    </row>
    <row r="53" s="57" customFormat="1" ht="0" customHeight="1">
      <c r="A53" s="578" t="s">
        <v>170</v>
      </c>
      <c r="B53" s="578" t="s">
        <v>171</v>
      </c>
      <c r="C53" s="578" t="s">
        <v>172</v>
      </c>
      <c r="D53" s="578" t="s">
        <v>173</v>
      </c>
      <c r="E53" s="577"/>
      <c r="F53" s="577"/>
      <c r="G53" s="577"/>
      <c r="H53" s="577"/>
      <c r="I53" s="158" t="str">
        <f>U52&amp;".1"</f>
        <v>....1</v>
      </c>
      <c r="J53" s="578"/>
      <c r="K53" s="578"/>
      <c r="L53" s="578"/>
      <c r="M53" s="579" t="s">
        <v>397</v>
      </c>
      <c r="N53" s="564"/>
      <c r="O53" s="564"/>
      <c r="P53" s="564"/>
      <c r="Q53" s="133">
        <v>1</v>
      </c>
      <c r="R53" s="133"/>
      <c r="S53" s="133"/>
      <c r="T53" s="500"/>
      <c r="U53" s="352"/>
      <c r="V53" s="587"/>
      <c r="W53" s="588"/>
      <c r="X53" s="589"/>
      <c r="Y53" s="590"/>
      <c r="Z53" s="590"/>
      <c r="AA53" s="590"/>
      <c r="AB53" s="590"/>
      <c r="AC53" s="590"/>
      <c r="AD53" s="590"/>
      <c r="AE53" s="590"/>
      <c r="AF53" s="591"/>
      <c r="AG53" s="589"/>
      <c r="AH53" s="590"/>
      <c r="AI53" s="590"/>
      <c r="AJ53" s="590"/>
      <c r="AK53" s="590"/>
      <c r="AL53" s="590"/>
      <c r="AM53" s="590"/>
      <c r="AN53" s="590"/>
      <c r="AO53" s="590"/>
      <c r="AP53" s="591"/>
      <c r="AQ53" s="592"/>
      <c r="AS53" s="130"/>
      <c r="AT53" s="130" t="str">
        <f t="shared" si="19"/>
        <v/>
      </c>
      <c r="AU53" s="130"/>
      <c r="AV53" s="130"/>
      <c r="AW53" s="57">
        <v>0</v>
      </c>
    </row>
    <row r="54" ht="22" customHeight="1">
      <c r="A54" s="265" t="s">
        <v>170</v>
      </c>
      <c r="B54" s="265" t="s">
        <v>171</v>
      </c>
      <c r="C54" s="265" t="s">
        <v>172</v>
      </c>
      <c r="D54" s="265" t="s">
        <v>173</v>
      </c>
      <c r="E54" s="577"/>
      <c r="F54" s="577"/>
      <c r="G54" s="577"/>
      <c r="H54" s="577"/>
      <c r="I54" s="73"/>
      <c r="J54" s="158" t="str">
        <f>I53&amp;".1"</f>
        <v>....1.1</v>
      </c>
      <c r="K54" s="265"/>
      <c r="L54" s="265"/>
      <c r="M54" s="323" t="s">
        <v>400</v>
      </c>
      <c r="Q54" s="133"/>
      <c r="R54" s="133">
        <v>1</v>
      </c>
      <c r="S54" s="57"/>
      <c r="T54" s="505"/>
      <c r="U54" s="485" t="str">
        <f>$J54</f>
        <v>....1.1</v>
      </c>
      <c r="V54" s="506" t="s">
        <v>401</v>
      </c>
      <c r="W54" s="487"/>
      <c r="X54" s="432"/>
      <c r="Y54" s="502"/>
      <c r="Z54" s="502"/>
      <c r="AA54" s="502"/>
      <c r="AB54" s="502"/>
      <c r="AC54" s="447"/>
      <c r="AD54" s="447"/>
      <c r="AE54" s="447"/>
      <c r="AF54" s="615"/>
      <c r="AG54" s="432"/>
      <c r="AH54" s="502"/>
      <c r="AI54" s="502"/>
      <c r="AJ54" s="502"/>
      <c r="AK54" s="502"/>
      <c r="AL54" s="502"/>
      <c r="AM54" s="502"/>
      <c r="AN54" s="502"/>
      <c r="AO54" s="502"/>
      <c r="AP54" s="503"/>
      <c r="AQ54" s="491" t="s">
        <v>402</v>
      </c>
      <c r="AS54" s="130"/>
      <c r="AT54" s="130" t="str">
        <f t="shared" si="19"/>
        <v xml:space="preserve">Группа потребителей</v>
      </c>
      <c r="AU54" s="130"/>
      <c r="AV54" s="130"/>
      <c r="AW54" s="50">
        <v>21</v>
      </c>
    </row>
    <row r="55" ht="22" customHeight="1">
      <c r="A55" s="265" t="s">
        <v>170</v>
      </c>
      <c r="B55" s="265" t="s">
        <v>171</v>
      </c>
      <c r="C55" s="265" t="s">
        <v>172</v>
      </c>
      <c r="D55" s="265" t="s">
        <v>173</v>
      </c>
      <c r="E55" s="577"/>
      <c r="F55" s="577"/>
      <c r="G55" s="577"/>
      <c r="H55" s="577"/>
      <c r="I55" s="73"/>
      <c r="J55" s="73"/>
      <c r="K55" s="158" t="str">
        <f>J54&amp;".1"</f>
        <v>....1.1.1</v>
      </c>
      <c r="L55" s="51"/>
      <c r="M55" s="323" t="s">
        <v>403</v>
      </c>
      <c r="Q55" s="133"/>
      <c r="R55" s="133"/>
      <c r="S55" s="57">
        <v>1</v>
      </c>
      <c r="T55" s="505"/>
      <c r="U55" s="485" t="str">
        <f>$K55</f>
        <v>....1.1.1</v>
      </c>
      <c r="V55" s="507"/>
      <c r="W55" s="487"/>
      <c r="X55" s="508"/>
      <c r="Y55" s="508"/>
      <c r="Z55" s="508"/>
      <c r="AA55" s="508"/>
      <c r="AB55" s="616"/>
      <c r="AC55" s="511"/>
      <c r="AD55" s="225" t="s">
        <v>64</v>
      </c>
      <c r="AE55" s="511"/>
      <c r="AF55" s="225" t="s">
        <v>64</v>
      </c>
      <c r="AG55" s="617"/>
      <c r="AH55" s="508"/>
      <c r="AI55" s="508"/>
      <c r="AJ55" s="508"/>
      <c r="AK55" s="510"/>
      <c r="AL55" s="511"/>
      <c r="AM55" s="225" t="s">
        <v>64</v>
      </c>
      <c r="AN55" s="511"/>
      <c r="AO55" s="225" t="s">
        <v>64</v>
      </c>
      <c r="AP55" s="572"/>
      <c r="AQ55" s="618" t="s">
        <v>446</v>
      </c>
      <c r="AR55" s="57" t="e">
        <f t="shared" ref="AR55:AR56" si="20">STRCHECKDATE(X57:AP57)</f>
        <v>#NAME?</v>
      </c>
      <c r="AS55" s="130"/>
      <c r="AT55" s="130" t="str">
        <f t="shared" si="19"/>
        <v/>
      </c>
      <c r="AU55" s="130"/>
      <c r="AV55" s="130"/>
      <c r="AW55" s="50">
        <v>21</v>
      </c>
    </row>
    <row r="56" ht="11.5" customHeight="1">
      <c r="A56" s="265" t="s">
        <v>170</v>
      </c>
      <c r="B56" s="265" t="s">
        <v>171</v>
      </c>
      <c r="C56" s="265" t="s">
        <v>172</v>
      </c>
      <c r="D56" s="265" t="s">
        <v>173</v>
      </c>
      <c r="E56" s="577"/>
      <c r="F56" s="577"/>
      <c r="G56" s="577"/>
      <c r="H56" s="577"/>
      <c r="I56" s="73"/>
      <c r="J56" s="73"/>
      <c r="K56" s="73"/>
      <c r="L56" s="158" t="str">
        <f>K55&amp;".1"</f>
        <v>....1.1.1.1</v>
      </c>
      <c r="M56" s="323"/>
      <c r="Q56" s="133"/>
      <c r="R56" s="133"/>
      <c r="S56" s="57">
        <v>1</v>
      </c>
      <c r="T56" s="505"/>
      <c r="U56" s="485" t="str">
        <f>$L56</f>
        <v>....1.1.1.1</v>
      </c>
      <c r="V56" s="619"/>
      <c r="W56" s="487"/>
      <c r="X56" s="509"/>
      <c r="Y56" s="508"/>
      <c r="Z56" s="508"/>
      <c r="AA56" s="508"/>
      <c r="AB56" s="616"/>
      <c r="AC56" s="514"/>
      <c r="AD56" s="225"/>
      <c r="AE56" s="514"/>
      <c r="AF56" s="225"/>
      <c r="AG56" s="617"/>
      <c r="AH56" s="508"/>
      <c r="AI56" s="508"/>
      <c r="AJ56" s="508"/>
      <c r="AK56" s="510"/>
      <c r="AL56" s="514"/>
      <c r="AM56" s="225"/>
      <c r="AN56" s="514"/>
      <c r="AO56" s="225"/>
      <c r="AP56" s="572"/>
      <c r="AQ56" s="512" t="s">
        <v>447</v>
      </c>
      <c r="AR56" s="57" t="e">
        <f t="shared" si="20"/>
        <v>#NAME?</v>
      </c>
      <c r="AS56" s="130"/>
      <c r="AT56" s="130" t="str">
        <f t="shared" si="19"/>
        <v/>
      </c>
      <c r="AU56" s="130"/>
      <c r="AV56" s="130"/>
      <c r="AW56" s="50">
        <v>11</v>
      </c>
    </row>
    <row r="57" ht="0" customHeight="1">
      <c r="A57" s="265" t="s">
        <v>170</v>
      </c>
      <c r="B57" s="265" t="s">
        <v>171</v>
      </c>
      <c r="C57" s="265" t="s">
        <v>172</v>
      </c>
      <c r="D57" s="265" t="s">
        <v>173</v>
      </c>
      <c r="E57" s="577"/>
      <c r="F57" s="577"/>
      <c r="G57" s="577"/>
      <c r="H57" s="577"/>
      <c r="I57" s="73"/>
      <c r="J57" s="73"/>
      <c r="K57" s="73"/>
      <c r="L57" s="158"/>
      <c r="M57" s="323"/>
      <c r="Q57" s="133"/>
      <c r="R57" s="133"/>
      <c r="S57" s="57"/>
      <c r="T57" s="505"/>
      <c r="U57" s="459"/>
      <c r="V57" s="487"/>
      <c r="W57" s="487"/>
      <c r="X57" s="509"/>
      <c r="Y57" s="509"/>
      <c r="Z57" s="509"/>
      <c r="AA57" s="509"/>
      <c r="AB57" s="620" t="str">
        <f>AC55&amp;"-"&amp;AE55</f>
        <v>-</v>
      </c>
      <c r="AC57" s="514"/>
      <c r="AD57" s="225"/>
      <c r="AE57" s="514"/>
      <c r="AF57" s="225"/>
      <c r="AG57" s="621"/>
      <c r="AH57" s="509"/>
      <c r="AI57" s="509"/>
      <c r="AJ57" s="509"/>
      <c r="AK57" s="513" t="str">
        <f>AL55&amp;"-"&amp;AN55</f>
        <v>-</v>
      </c>
      <c r="AL57" s="514"/>
      <c r="AM57" s="225"/>
      <c r="AN57" s="514"/>
      <c r="AO57" s="225"/>
      <c r="AP57" s="574"/>
      <c r="AQ57" s="515"/>
      <c r="AS57" s="130"/>
      <c r="AT57" s="130" t="str">
        <f t="shared" si="19"/>
        <v/>
      </c>
      <c r="AU57" s="130"/>
      <c r="AV57" s="130"/>
      <c r="AW57" s="50">
        <v>0</v>
      </c>
    </row>
    <row r="58" ht="11.5" customHeight="1">
      <c r="A58" s="265" t="s">
        <v>170</v>
      </c>
      <c r="B58" s="265" t="s">
        <v>171</v>
      </c>
      <c r="C58" s="265" t="s">
        <v>172</v>
      </c>
      <c r="D58" s="265" t="s">
        <v>173</v>
      </c>
      <c r="E58" s="577"/>
      <c r="F58" s="577"/>
      <c r="G58" s="577"/>
      <c r="H58" s="577"/>
      <c r="I58" s="73"/>
      <c r="J58" s="73"/>
      <c r="K58" s="158"/>
      <c r="L58" s="265"/>
      <c r="M58" s="323"/>
      <c r="Q58" s="133"/>
      <c r="R58" s="133"/>
      <c r="S58" s="133"/>
      <c r="T58" s="500"/>
      <c r="U58" s="516"/>
      <c r="V58" s="517" t="s">
        <v>448</v>
      </c>
      <c r="W58" s="215"/>
      <c r="X58" s="215"/>
      <c r="Y58" s="215"/>
      <c r="Z58" s="215"/>
      <c r="AA58" s="215"/>
      <c r="AB58" s="215"/>
      <c r="AC58" s="514"/>
      <c r="AD58" s="225"/>
      <c r="AE58" s="514"/>
      <c r="AF58" s="225"/>
      <c r="AG58" s="215"/>
      <c r="AH58" s="215"/>
      <c r="AI58" s="215"/>
      <c r="AJ58" s="215"/>
      <c r="AK58" s="215"/>
      <c r="AL58" s="514"/>
      <c r="AM58" s="225"/>
      <c r="AN58" s="514"/>
      <c r="AO58" s="225"/>
      <c r="AP58" s="518"/>
      <c r="AQ58" s="515"/>
      <c r="AS58" s="130"/>
      <c r="AT58" s="130" t="str">
        <f t="shared" si="19"/>
        <v xml:space="preserve">Добавить наименование поставщика</v>
      </c>
      <c r="AU58" s="130"/>
      <c r="AV58" s="130"/>
      <c r="AW58" s="50">
        <v>11</v>
      </c>
    </row>
    <row r="59" ht="11.5" customHeight="1">
      <c r="A59" s="265" t="s">
        <v>170</v>
      </c>
      <c r="B59" s="265" t="s">
        <v>171</v>
      </c>
      <c r="C59" s="265" t="s">
        <v>172</v>
      </c>
      <c r="D59" s="265" t="s">
        <v>173</v>
      </c>
      <c r="E59" s="577"/>
      <c r="F59" s="577"/>
      <c r="G59" s="577"/>
      <c r="H59" s="577"/>
      <c r="I59" s="73"/>
      <c r="J59" s="158"/>
      <c r="K59" s="265"/>
      <c r="L59" s="265"/>
      <c r="M59" s="323"/>
      <c r="Q59" s="133"/>
      <c r="R59" s="133"/>
      <c r="S59" s="133"/>
      <c r="T59" s="500"/>
      <c r="U59" s="516"/>
      <c r="V59" s="520" t="s">
        <v>405</v>
      </c>
      <c r="W59" s="215"/>
      <c r="X59" s="215"/>
      <c r="Y59" s="215"/>
      <c r="Z59" s="215"/>
      <c r="AA59" s="215"/>
      <c r="AB59" s="215"/>
      <c r="AC59" s="626"/>
      <c r="AD59" s="626"/>
      <c r="AE59" s="626"/>
      <c r="AF59" s="626"/>
      <c r="AG59" s="215"/>
      <c r="AH59" s="215"/>
      <c r="AI59" s="215"/>
      <c r="AJ59" s="215"/>
      <c r="AK59" s="215"/>
      <c r="AL59" s="215"/>
      <c r="AM59" s="215"/>
      <c r="AN59" s="215"/>
      <c r="AO59" s="215"/>
      <c r="AP59" s="518"/>
      <c r="AQ59" s="519"/>
      <c r="AS59" s="130"/>
      <c r="AT59" s="130" t="str">
        <f t="shared" si="19"/>
        <v xml:space="preserve">Добавить вид теплоносителя (параметры теплоносителя)</v>
      </c>
      <c r="AU59" s="130"/>
      <c r="AV59" s="130"/>
      <c r="AW59" s="50">
        <v>11</v>
      </c>
    </row>
    <row r="60" ht="11.5" customHeight="1">
      <c r="A60" s="265" t="s">
        <v>170</v>
      </c>
      <c r="B60" s="265" t="s">
        <v>171</v>
      </c>
      <c r="C60" s="265" t="s">
        <v>172</v>
      </c>
      <c r="D60" s="265" t="s">
        <v>173</v>
      </c>
      <c r="E60" s="577"/>
      <c r="F60" s="577"/>
      <c r="G60" s="577"/>
      <c r="H60" s="577"/>
      <c r="I60" s="158"/>
      <c r="J60" s="265"/>
      <c r="K60" s="265"/>
      <c r="L60" s="265"/>
      <c r="M60" s="323"/>
      <c r="Q60" s="133"/>
      <c r="R60" s="133"/>
      <c r="S60" s="133"/>
      <c r="T60" s="500"/>
      <c r="U60" s="516"/>
      <c r="V60" s="524" t="s">
        <v>406</v>
      </c>
      <c r="W60" s="215"/>
      <c r="X60" s="215"/>
      <c r="Y60" s="215"/>
      <c r="Z60" s="215"/>
      <c r="AA60" s="215"/>
      <c r="AB60" s="215"/>
      <c r="AC60" s="215"/>
      <c r="AD60" s="215"/>
      <c r="AE60" s="215"/>
      <c r="AF60" s="521"/>
      <c r="AG60" s="215"/>
      <c r="AH60" s="215"/>
      <c r="AI60" s="215"/>
      <c r="AJ60" s="215"/>
      <c r="AK60" s="215"/>
      <c r="AL60" s="215"/>
      <c r="AM60" s="215"/>
      <c r="AN60" s="215"/>
      <c r="AO60" s="521"/>
      <c r="AP60" s="215"/>
      <c r="AQ60" s="522"/>
      <c r="AS60" s="130"/>
      <c r="AT60" s="130" t="str">
        <f t="shared" si="19"/>
        <v xml:space="preserve">Добавить группу потребителей</v>
      </c>
      <c r="AU60" s="130"/>
      <c r="AV60" s="130"/>
      <c r="AW60" s="50">
        <v>11</v>
      </c>
    </row>
    <row r="61" ht="0" customHeight="1">
      <c r="A61" s="265" t="s">
        <v>170</v>
      </c>
      <c r="B61" s="265" t="s">
        <v>171</v>
      </c>
      <c r="C61" s="265" t="s">
        <v>172</v>
      </c>
      <c r="D61" s="265" t="s">
        <v>173</v>
      </c>
      <c r="E61" s="577"/>
      <c r="F61" s="577"/>
      <c r="G61" s="577"/>
      <c r="H61" s="576"/>
      <c r="I61" s="265"/>
      <c r="J61" s="265"/>
      <c r="K61" s="265"/>
      <c r="L61" s="265"/>
      <c r="M61" s="323"/>
      <c r="N61" s="86"/>
      <c r="O61" s="86"/>
      <c r="P61" s="50"/>
      <c r="Q61" s="144"/>
      <c r="R61" s="523"/>
      <c r="S61" s="484"/>
      <c r="T61" s="144"/>
      <c r="U61" s="593"/>
      <c r="V61" s="594"/>
      <c r="W61" s="595"/>
      <c r="X61" s="595"/>
      <c r="Y61" s="595"/>
      <c r="Z61" s="595"/>
      <c r="AA61" s="595"/>
      <c r="AB61" s="595"/>
      <c r="AC61" s="595"/>
      <c r="AD61" s="595"/>
      <c r="AE61" s="595"/>
      <c r="AF61" s="595"/>
      <c r="AG61" s="595"/>
      <c r="AH61" s="595"/>
      <c r="AI61" s="595"/>
      <c r="AJ61" s="595"/>
      <c r="AK61" s="595"/>
      <c r="AL61" s="595"/>
      <c r="AM61" s="595"/>
      <c r="AN61" s="595"/>
      <c r="AO61" s="595"/>
      <c r="AP61" s="595"/>
      <c r="AQ61" s="596"/>
      <c r="AS61" s="130"/>
      <c r="AT61" s="130" t="str">
        <f t="shared" si="19"/>
        <v/>
      </c>
      <c r="AU61" s="130"/>
      <c r="AV61" s="130"/>
      <c r="AW61" s="50">
        <v>0</v>
      </c>
    </row>
    <row r="62" s="57" customFormat="1" ht="0" customHeight="1">
      <c r="A62" s="578" t="s">
        <v>170</v>
      </c>
      <c r="B62" s="578" t="s">
        <v>171</v>
      </c>
      <c r="C62" s="578" t="s">
        <v>172</v>
      </c>
      <c r="D62" s="578"/>
      <c r="E62" s="577"/>
      <c r="F62" s="577"/>
      <c r="G62" s="576"/>
      <c r="H62" s="578"/>
      <c r="I62" s="578"/>
      <c r="J62" s="578"/>
      <c r="K62" s="578"/>
      <c r="L62" s="578"/>
      <c r="M62" s="579"/>
      <c r="N62" s="580"/>
      <c r="O62" s="580"/>
      <c r="P62" s="132"/>
      <c r="Q62" s="168"/>
      <c r="R62" s="525"/>
      <c r="S62" s="168"/>
      <c r="T62" s="168"/>
      <c r="U62" s="530"/>
      <c r="V62" s="533" t="s">
        <v>408</v>
      </c>
      <c r="W62" s="532"/>
      <c r="X62" s="532"/>
      <c r="Y62" s="532"/>
      <c r="Z62" s="532"/>
      <c r="AA62" s="532"/>
      <c r="AB62" s="532"/>
      <c r="AC62" s="532"/>
      <c r="AD62" s="532"/>
      <c r="AE62" s="532"/>
      <c r="AF62" s="532"/>
      <c r="AG62" s="532"/>
      <c r="AH62" s="532"/>
      <c r="AI62" s="532"/>
      <c r="AJ62" s="532"/>
      <c r="AK62" s="532"/>
      <c r="AL62" s="532"/>
      <c r="AM62" s="532"/>
      <c r="AN62" s="532"/>
      <c r="AO62" s="532"/>
      <c r="AP62" s="532"/>
      <c r="AQ62" s="532"/>
      <c r="AS62" s="130"/>
      <c r="AT62" s="130" t="str">
        <f t="shared" si="19"/>
        <v xml:space="preserve">Добавить источник для дифференциации</v>
      </c>
      <c r="AU62" s="130"/>
      <c r="AV62" s="130"/>
      <c r="AW62" s="57">
        <v>0</v>
      </c>
    </row>
    <row r="63" s="57" customFormat="1" ht="0" customHeight="1">
      <c r="A63" s="578" t="s">
        <v>170</v>
      </c>
      <c r="B63" s="578" t="s">
        <v>171</v>
      </c>
      <c r="C63" s="578"/>
      <c r="D63" s="578"/>
      <c r="E63" s="577"/>
      <c r="F63" s="576"/>
      <c r="G63" s="578"/>
      <c r="H63" s="578"/>
      <c r="I63" s="578"/>
      <c r="J63" s="578"/>
      <c r="K63" s="578"/>
      <c r="L63" s="578"/>
      <c r="M63" s="579"/>
      <c r="N63" s="581"/>
      <c r="O63" s="581"/>
      <c r="P63" s="132"/>
      <c r="Q63" s="168"/>
      <c r="R63" s="525"/>
      <c r="S63" s="168"/>
      <c r="T63" s="168"/>
      <c r="U63" s="530"/>
      <c r="V63" s="533" t="s">
        <v>409</v>
      </c>
      <c r="W63" s="532"/>
      <c r="X63" s="532"/>
      <c r="Y63" s="532"/>
      <c r="Z63" s="532"/>
      <c r="AA63" s="532"/>
      <c r="AB63" s="532"/>
      <c r="AC63" s="532"/>
      <c r="AD63" s="532"/>
      <c r="AE63" s="532"/>
      <c r="AF63" s="532"/>
      <c r="AG63" s="532"/>
      <c r="AH63" s="532"/>
      <c r="AI63" s="532"/>
      <c r="AJ63" s="532"/>
      <c r="AK63" s="532"/>
      <c r="AL63" s="532"/>
      <c r="AM63" s="532"/>
      <c r="AN63" s="532"/>
      <c r="AO63" s="532"/>
      <c r="AP63" s="532"/>
      <c r="AQ63" s="532"/>
      <c r="AS63" s="130"/>
      <c r="AT63" s="130" t="str">
        <f t="shared" si="19"/>
        <v xml:space="preserve">Добавить централизованную систему для дифференциации</v>
      </c>
      <c r="AU63" s="130"/>
      <c r="AV63" s="130"/>
      <c r="AW63" s="57">
        <v>0</v>
      </c>
    </row>
    <row r="64" s="57" customFormat="1" ht="0" customHeight="1">
      <c r="A64" s="578" t="s">
        <v>170</v>
      </c>
      <c r="B64" s="578"/>
      <c r="C64" s="578"/>
      <c r="D64" s="578"/>
      <c r="E64" s="576"/>
      <c r="F64" s="578"/>
      <c r="G64" s="578"/>
      <c r="H64" s="578"/>
      <c r="I64" s="578"/>
      <c r="J64" s="578"/>
      <c r="K64" s="578"/>
      <c r="L64" s="578"/>
      <c r="M64" s="579"/>
      <c r="N64" s="581"/>
      <c r="O64" s="581"/>
      <c r="P64" s="132"/>
      <c r="Q64" s="168"/>
      <c r="R64" s="525"/>
      <c r="S64" s="168"/>
      <c r="T64" s="168"/>
      <c r="U64" s="530"/>
      <c r="V64" s="533" t="s">
        <v>410</v>
      </c>
      <c r="W64" s="532"/>
      <c r="X64" s="532"/>
      <c r="Y64" s="532"/>
      <c r="Z64" s="532"/>
      <c r="AA64" s="532"/>
      <c r="AB64" s="532"/>
      <c r="AC64" s="532"/>
      <c r="AD64" s="532"/>
      <c r="AE64" s="532"/>
      <c r="AF64" s="532"/>
      <c r="AG64" s="532"/>
      <c r="AH64" s="532"/>
      <c r="AI64" s="532"/>
      <c r="AJ64" s="532"/>
      <c r="AK64" s="532"/>
      <c r="AL64" s="532"/>
      <c r="AM64" s="532"/>
      <c r="AN64" s="532"/>
      <c r="AO64" s="532"/>
      <c r="AP64" s="532"/>
      <c r="AQ64" s="532"/>
      <c r="AS64" s="130"/>
      <c r="AT64" s="130" t="str">
        <f t="shared" si="19"/>
        <v xml:space="preserve">Добавить территорию для дифференциации</v>
      </c>
      <c r="AU64" s="130"/>
      <c r="AV64" s="130"/>
      <c r="AW64" s="57">
        <v>0</v>
      </c>
    </row>
    <row r="65" s="57" customFormat="1" ht="4.2000000000000002" customHeight="1">
      <c r="A65" s="578"/>
      <c r="B65" s="578"/>
      <c r="C65" s="578"/>
      <c r="D65" s="578"/>
      <c r="E65" s="578"/>
      <c r="F65" s="578"/>
      <c r="G65" s="578"/>
      <c r="H65" s="578"/>
      <c r="I65" s="578"/>
      <c r="J65" s="578"/>
      <c r="K65" s="578"/>
      <c r="L65" s="578"/>
      <c r="M65" s="579"/>
      <c r="N65" s="581"/>
      <c r="O65" s="581"/>
      <c r="P65" s="132"/>
      <c r="Q65" s="168"/>
      <c r="R65" s="525"/>
      <c r="S65" s="168"/>
      <c r="T65" s="168"/>
      <c r="U65" s="530"/>
      <c r="V65" s="533" t="s">
        <v>442</v>
      </c>
      <c r="W65" s="532"/>
      <c r="X65" s="532"/>
      <c r="Y65" s="532"/>
      <c r="Z65" s="532"/>
      <c r="AA65" s="532"/>
      <c r="AB65" s="532"/>
      <c r="AC65" s="532"/>
      <c r="AD65" s="532"/>
      <c r="AE65" s="532"/>
      <c r="AF65" s="532"/>
      <c r="AG65" s="532"/>
      <c r="AH65" s="532"/>
      <c r="AI65" s="532"/>
      <c r="AJ65" s="532"/>
      <c r="AK65" s="532"/>
      <c r="AL65" s="532"/>
      <c r="AM65" s="532"/>
      <c r="AN65" s="532"/>
      <c r="AO65" s="532"/>
      <c r="AP65" s="532"/>
      <c r="AQ65" s="532"/>
      <c r="AS65" s="130"/>
      <c r="AT65" s="130" t="str">
        <f t="shared" si="19"/>
        <v xml:space="preserve">Добавить наименование тарифа</v>
      </c>
      <c r="AU65" s="130"/>
      <c r="AV65" s="130"/>
      <c r="AW65" s="57">
        <v>4</v>
      </c>
    </row>
    <row r="66" ht="11.5" customHeight="1">
      <c r="N66" s="50"/>
      <c r="O66" s="50"/>
      <c r="P66" s="50"/>
      <c r="Q66" s="50"/>
      <c r="R66" s="50"/>
      <c r="S66" s="50"/>
      <c r="T66" s="50"/>
      <c r="U66" s="50"/>
      <c r="AR66" s="50"/>
      <c r="AS66" s="50"/>
      <c r="AT66" s="50"/>
      <c r="AU66" s="50"/>
      <c r="AV66" s="50"/>
      <c r="AW66" s="50">
        <v>11</v>
      </c>
    </row>
    <row r="67" ht="35.649999999999999" customHeight="1">
      <c r="P67" s="50"/>
      <c r="U67" s="477"/>
      <c r="V67" s="575"/>
      <c r="W67" s="575"/>
      <c r="X67" s="575"/>
      <c r="Y67" s="575"/>
      <c r="Z67" s="575"/>
      <c r="AA67" s="575"/>
      <c r="AB67" s="575"/>
      <c r="AC67" s="575"/>
      <c r="AD67" s="575"/>
      <c r="AE67" s="575"/>
      <c r="AF67" s="575"/>
      <c r="AG67" s="575"/>
      <c r="AH67" s="575"/>
      <c r="AI67" s="575"/>
      <c r="AJ67" s="575"/>
      <c r="AK67" s="575"/>
      <c r="AL67" s="575"/>
      <c r="AM67" s="575"/>
      <c r="AN67" s="575"/>
      <c r="AO67" s="575"/>
      <c r="AP67" s="575"/>
      <c r="AQ67" s="575"/>
      <c r="AW67" s="50">
        <v>34</v>
      </c>
    </row>
    <row r="68" ht="21" customHeight="1">
      <c r="P68" s="50"/>
      <c r="V68" s="575"/>
      <c r="W68" s="575"/>
      <c r="X68" s="575"/>
      <c r="Y68" s="575"/>
      <c r="Z68" s="575"/>
      <c r="AA68" s="575"/>
      <c r="AB68" s="575"/>
      <c r="AC68" s="575"/>
      <c r="AD68" s="575"/>
      <c r="AE68" s="575"/>
      <c r="AF68" s="575"/>
      <c r="AG68" s="575"/>
      <c r="AH68" s="575"/>
      <c r="AI68" s="575"/>
      <c r="AJ68" s="575"/>
      <c r="AK68" s="575"/>
      <c r="AL68" s="575"/>
      <c r="AM68" s="575"/>
      <c r="AN68" s="575"/>
      <c r="AO68" s="575"/>
      <c r="AP68" s="575"/>
      <c r="AQ68" s="575"/>
      <c r="AW68" s="50">
        <v>20</v>
      </c>
    </row>
    <row r="69" ht="14.65" customHeight="1">
      <c r="P69" s="50"/>
      <c r="AW69" s="50">
        <v>14</v>
      </c>
    </row>
    <row r="70" ht="28.5" customHeight="1">
      <c r="P70" s="50"/>
      <c r="V70" s="575"/>
      <c r="W70" s="575"/>
      <c r="X70" s="575"/>
      <c r="Y70" s="575"/>
      <c r="Z70" s="575"/>
      <c r="AA70" s="575"/>
      <c r="AB70" s="575"/>
      <c r="AC70" s="575"/>
      <c r="AD70" s="575"/>
      <c r="AE70" s="575"/>
      <c r="AF70" s="575"/>
      <c r="AG70" s="575"/>
      <c r="AH70" s="575"/>
      <c r="AI70" s="575"/>
      <c r="AJ70" s="575"/>
      <c r="AK70" s="575"/>
      <c r="AL70" s="575"/>
      <c r="AM70" s="575"/>
      <c r="AN70" s="575"/>
      <c r="AO70" s="575"/>
      <c r="AP70" s="575"/>
      <c r="AQ70" s="575"/>
      <c r="AW70" s="50">
        <v>27</v>
      </c>
    </row>
    <row r="71" ht="18.75" customHeight="1">
      <c r="P71" s="50"/>
      <c r="V71" s="575"/>
      <c r="W71" s="575"/>
      <c r="X71" s="575"/>
      <c r="Y71" s="575"/>
      <c r="Z71" s="575"/>
      <c r="AA71" s="575"/>
      <c r="AB71" s="575"/>
      <c r="AC71" s="575"/>
      <c r="AD71" s="575"/>
      <c r="AE71" s="575"/>
      <c r="AF71" s="575"/>
      <c r="AG71" s="575"/>
      <c r="AH71" s="575"/>
      <c r="AI71" s="575"/>
      <c r="AJ71" s="575"/>
      <c r="AK71" s="575"/>
      <c r="AL71" s="575"/>
      <c r="AM71" s="575"/>
      <c r="AN71" s="575"/>
      <c r="AO71" s="575"/>
      <c r="AP71" s="575"/>
      <c r="AQ71" s="575"/>
      <c r="AW71" s="50">
        <v>18</v>
      </c>
    </row>
    <row r="72" ht="22.5" hidden="1" customHeight="1">
      <c r="A72" s="50" t="s">
        <v>81</v>
      </c>
      <c r="B72" s="50">
        <v>0</v>
      </c>
      <c r="C72" s="50">
        <v>0</v>
      </c>
      <c r="D72" s="50">
        <v>0</v>
      </c>
      <c r="E72" s="50">
        <v>0</v>
      </c>
      <c r="F72" s="50">
        <v>0</v>
      </c>
      <c r="G72" s="50">
        <v>0</v>
      </c>
      <c r="H72" s="50">
        <v>0</v>
      </c>
      <c r="I72" s="50">
        <v>0</v>
      </c>
      <c r="J72" s="50">
        <v>0</v>
      </c>
      <c r="K72" s="50">
        <v>0</v>
      </c>
      <c r="L72" s="50">
        <v>0</v>
      </c>
      <c r="M72" s="51">
        <v>0</v>
      </c>
      <c r="N72" s="60">
        <v>0</v>
      </c>
      <c r="O72" s="60">
        <v>0</v>
      </c>
      <c r="P72" s="60">
        <v>0</v>
      </c>
      <c r="Q72" s="60">
        <v>0</v>
      </c>
      <c r="R72" s="479">
        <v>3</v>
      </c>
      <c r="S72" s="479">
        <v>3</v>
      </c>
      <c r="T72" s="479">
        <v>3</v>
      </c>
      <c r="U72" s="86">
        <v>12</v>
      </c>
      <c r="V72" s="50">
        <v>31</v>
      </c>
      <c r="W72" s="50">
        <v>0</v>
      </c>
      <c r="X72" s="50">
        <v>0</v>
      </c>
      <c r="Y72" s="50">
        <v>0</v>
      </c>
      <c r="Z72" s="50">
        <v>0</v>
      </c>
      <c r="AA72" s="50">
        <v>0</v>
      </c>
      <c r="AB72" s="50">
        <v>0</v>
      </c>
      <c r="AC72" s="50">
        <v>0</v>
      </c>
      <c r="AD72" s="50">
        <v>0</v>
      </c>
      <c r="AE72" s="50">
        <v>0</v>
      </c>
      <c r="AF72" s="50">
        <v>0</v>
      </c>
      <c r="AG72" s="50">
        <v>21</v>
      </c>
      <c r="AH72" s="50">
        <v>21</v>
      </c>
      <c r="AI72" s="50">
        <v>21</v>
      </c>
      <c r="AJ72" s="50">
        <v>21</v>
      </c>
      <c r="AK72" s="50">
        <v>21</v>
      </c>
      <c r="AL72" s="50">
        <v>11</v>
      </c>
      <c r="AM72" s="50">
        <v>3</v>
      </c>
      <c r="AN72" s="50">
        <v>11</v>
      </c>
      <c r="AO72" s="50">
        <v>8</v>
      </c>
      <c r="AP72" s="50">
        <v>4</v>
      </c>
      <c r="AQ72" s="50">
        <v>115</v>
      </c>
      <c r="AR72" s="57">
        <v>10</v>
      </c>
      <c r="AS72" s="57">
        <v>10</v>
      </c>
      <c r="AT72" s="57">
        <v>10</v>
      </c>
      <c r="AU72" s="57">
        <v>10</v>
      </c>
      <c r="AV72" s="57">
        <v>10</v>
      </c>
      <c r="AW72" s="50">
        <v>23</v>
      </c>
    </row>
  </sheetData>
  <sheetProtection autoFilter="0" deleteColumns="1" deleteRows="1" formatCells="1" formatColumns="0" formatRows="0" insertColumns="1" insertHyperlinks="1" insertRows="1" objects="0" pivotTables="1" scenarios="0" selectLockedCells="0" selectUnlockedCells="0" sheet="1" sort="1"/>
  <mergeCells count="1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J7:J12"/>
    <mergeCell ref="R7:R12"/>
    <mergeCell ref="X7:AF7"/>
    <mergeCell ref="AG7:AP7"/>
    <mergeCell ref="K8:K11"/>
    <mergeCell ref="S8:S11"/>
    <mergeCell ref="AC8:AC11"/>
    <mergeCell ref="AD8:AD11"/>
    <mergeCell ref="AE8:AE11"/>
    <mergeCell ref="AF8:AF11"/>
    <mergeCell ref="AL8:AL11"/>
    <mergeCell ref="AM8:AM11"/>
    <mergeCell ref="AN8:AN11"/>
    <mergeCell ref="AO8:AO11"/>
    <mergeCell ref="L9:L10"/>
    <mergeCell ref="AQ9:AQ12"/>
    <mergeCell ref="AL19:AL22"/>
    <mergeCell ref="AM19:AM22"/>
    <mergeCell ref="AN19:AN22"/>
    <mergeCell ref="AO19:AO22"/>
    <mergeCell ref="U30:AN30"/>
    <mergeCell ref="U31:AN31"/>
    <mergeCell ref="U33:V33"/>
    <mergeCell ref="X33:AE33"/>
    <mergeCell ref="AG33:AN33"/>
    <mergeCell ref="U34:V34"/>
    <mergeCell ref="X34:AE34"/>
    <mergeCell ref="AG34:AN34"/>
    <mergeCell ref="U35:V35"/>
    <mergeCell ref="X35:AE35"/>
    <mergeCell ref="AG35:AN35"/>
    <mergeCell ref="U36:V36"/>
    <mergeCell ref="X36:AE36"/>
    <mergeCell ref="AG36:AN36"/>
    <mergeCell ref="U38:V38"/>
    <mergeCell ref="X38:AE38"/>
    <mergeCell ref="AG38:AN38"/>
    <mergeCell ref="U39:V39"/>
    <mergeCell ref="X39:AE39"/>
    <mergeCell ref="AG39:AN39"/>
    <mergeCell ref="X41:AF41"/>
    <mergeCell ref="AG41:AO41"/>
    <mergeCell ref="U42:AP42"/>
    <mergeCell ref="AQ42:AQ47"/>
    <mergeCell ref="U43:U47"/>
    <mergeCell ref="V43:V47"/>
    <mergeCell ref="X43:AE43"/>
    <mergeCell ref="AF43:AF47"/>
    <mergeCell ref="AG43:AN43"/>
    <mergeCell ref="AO43:AO47"/>
    <mergeCell ref="AP43:AP47"/>
    <mergeCell ref="X44:X47"/>
    <mergeCell ref="Y44:AB44"/>
    <mergeCell ref="AC44:AE45"/>
    <mergeCell ref="AG44:AG47"/>
    <mergeCell ref="AH44:AK44"/>
    <mergeCell ref="AL44:AN45"/>
    <mergeCell ref="Y45:Y47"/>
    <mergeCell ref="Z45:AB45"/>
    <mergeCell ref="AH45:AH47"/>
    <mergeCell ref="AI45:AK45"/>
    <mergeCell ref="Z46:Z47"/>
    <mergeCell ref="AA46:AB46"/>
    <mergeCell ref="AC46:AC47"/>
    <mergeCell ref="AD46:AE47"/>
    <mergeCell ref="AI46:AI47"/>
    <mergeCell ref="AJ46:AK46"/>
    <mergeCell ref="AL46:AL47"/>
    <mergeCell ref="AM46:AN47"/>
    <mergeCell ref="AD48:AE48"/>
    <mergeCell ref="AM48:AN4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X53:AF53"/>
    <mergeCell ref="AG53:AP53"/>
    <mergeCell ref="J54:J59"/>
    <mergeCell ref="R54:R59"/>
    <mergeCell ref="X54:AF54"/>
    <mergeCell ref="AG54:AP54"/>
    <mergeCell ref="K55:K58"/>
    <mergeCell ref="AC55:AC58"/>
    <mergeCell ref="AD55:AD58"/>
    <mergeCell ref="AE55:AE58"/>
    <mergeCell ref="AF55:AF58"/>
    <mergeCell ref="AL55:AL58"/>
    <mergeCell ref="AM55:AM58"/>
    <mergeCell ref="AN55:AN58"/>
    <mergeCell ref="AO55:AO58"/>
    <mergeCell ref="L56:L57"/>
    <mergeCell ref="AQ56:AQ59"/>
    <mergeCell ref="V67:AQ67"/>
    <mergeCell ref="V68:AQ68"/>
    <mergeCell ref="V70:AQ70"/>
    <mergeCell ref="V71:AQ71"/>
  </mergeCells>
  <dataValidations count="4" disablePrompts="0">
    <dataValidation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type="none" allowBlank="1" errorStyle="stop" imeMode="noControl" operator="between" promptTitle="checkPeriodRange" showDropDown="0" showErrorMessage="0" showInputMessage="0"/>
    <dataValidation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U131130:AQ131136 U196666:AQ196672 U262202:AQ262208 U327738:AQ327744 U393274:AQ393280 U458810:AQ458816 U524346:AQ524352 U589882:AQ589888 U655418:AQ655424 U720954:AQ720960 U786490:AQ786496 U852026:AQ852032 U917562:AQ917568 U983098:AQ983104 U65594:AQ65600"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CA003E-00CF-4524-8E4E-00E1000C0088}" type="textLength" allowBlank="1" error="Допускается ввод не более 900 символов!" errorStyle="stop" errorTitle="Ошибка" imeMode="noControl" operator="lessThanOrEqual" showDropDown="0" showErrorMessage="1" showInputMessage="1">
          <x14:formula1>
            <xm:f>900</xm:f>
          </x14:formula1>
          <xm:sqref>AQ65586:AQ65593 AQ131122:AQ131129 AQ196658:AQ196665 AQ262194:AQ262201 AQ327730:AQ327737 AQ393266:AQ393273 AQ458802:AQ458809 AQ524338:AQ524345 AQ589874:AQ589881 AQ655410:AQ655417 AQ720946:AQ720953 AQ786482:AQ786489 AQ852018:AQ852025 AQ917554:AQ917561 AQ983090:AQ983097</xm:sqref>
        </x14:dataValidation>
        <x14:dataValidation xr:uid="{00680094-0059-4286-B6EC-009E00190092}"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X983095:AP983095 X65591:AP65591 X131127:AP131127 X196663:AP196663 X262199:AP262199 X327735:AP327735 X393271:AP393271 X458807:AP458807 X524343:AP524343 X589879:AP589879 X655415:AP655415 X720951:AP720951 X786487:AP786487 X852023:AP852023 X917559:AP917559</xm:sqref>
        </x14:dataValidation>
        <x14:dataValidation xr:uid="{00EF003E-00D5-4732-93B1-007200FD0014}" type="list" allowBlank="1" error="Выберите значение из списка" errorStyle="stop" errorTitle="Ошибка" imeMode="noControl" operator="between" showDropDown="0" showErrorMessage="1" showInputMessage="1">
          <x14:formula1>
            <xm:f>kind_of_scheme_in</xm:f>
          </x14:formula1>
          <xm: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xm:sqref>
        </x14:dataValidation>
        <x14:dataValidation xr:uid="{00EB000D-00C7-4B63-9E37-0078005000EC}" type="list" allowBlank="1" error="Выберите значение из списка" errorStyle="stop" errorTitle="Ошибка" imeMode="noControl" operator="between" showDropDown="0" showErrorMessage="1" showInputMessage="1">
          <x14:formula1>
            <xm:f>kind_of_heat_transfer</xm:f>
          </x14:formula1>
          <xm:sqref>V65592 V131128 V196664 V262200 V327736 V393272 V458808 V524344 V589880 V655416 V720952 V786488 V852024 V917560 V983096</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outlinePr applyStyles="0" summaryBelow="1" summaryRight="1" showOutlineSymbols="1"/>
    <pageSetUpPr autoPageBreaks="1" fitToPage="0"/>
  </sheetPr>
  <sheetViews>
    <sheetView showGridLines="0" topLeftCell="C1" zoomScale="90" workbookViewId="0">
      <selection activeCell="I78" activeCellId="0" sqref="I78"/>
    </sheetView>
  </sheetViews>
  <sheetFormatPr defaultColWidth="9.140625" defaultRowHeight="11.25" customHeight="1"/>
  <cols>
    <col customWidth="1" hidden="1" min="1" max="1" style="47" width="10.7109375"/>
    <col customWidth="1" hidden="1" min="2" max="2" style="48" width="10.7109375"/>
    <col customWidth="1" min="3" max="3" style="49" width="3.00390625"/>
    <col customWidth="1" min="4" max="4" style="50" width="1.00390625"/>
    <col customWidth="1" min="5" max="6" style="50" width="55.00390625"/>
    <col customWidth="1" min="7" max="7" style="51" width="1.00390625"/>
    <col customWidth="1" hidden="1" min="8" max="8" style="50" width="18.00390625"/>
    <col customWidth="1" min="9" max="9" style="52" width="59.00390625"/>
    <col customWidth="1" hidden="1" min="10" max="10" style="53" width="52.140625"/>
    <col customWidth="1" min="11" max="11" style="50" width="8.00390625"/>
    <col customWidth="1" min="12" max="12" style="50" width="77.00390625"/>
    <col customWidth="1" min="13" max="16" style="50" width="8.00390625"/>
    <col customWidth="1" hidden="1" min="17" max="17" style="50" width="12.00390625"/>
  </cols>
  <sheetData>
    <row r="1" s="54" customFormat="1" ht="3" customHeight="1">
      <c r="A1" s="47"/>
      <c r="B1" s="55"/>
      <c r="F1" s="54" t="s">
        <v>13</v>
      </c>
      <c r="G1" s="52"/>
      <c r="H1" s="56"/>
      <c r="I1" s="52"/>
      <c r="J1" s="57"/>
      <c r="Q1" s="54" t="s">
        <v>14</v>
      </c>
    </row>
    <row r="2" s="56" customFormat="1" ht="14.25" customHeight="1">
      <c r="A2" s="47"/>
      <c r="B2" s="48"/>
      <c r="E2" s="58" t="str">
        <f>code</f>
        <v xml:space="preserve">Код отчёта: PP108.OPEN.INFO.INVEST.HOTVSNA.EIAS</v>
      </c>
      <c r="F2" s="59"/>
      <c r="G2" s="60"/>
      <c r="H2" s="60"/>
      <c r="I2" s="60"/>
      <c r="J2" s="61"/>
      <c r="K2" s="60"/>
      <c r="Q2" s="56">
        <v>14</v>
      </c>
    </row>
    <row r="3" ht="14.65" customHeight="1">
      <c r="E3" s="62" t="str">
        <f>version</f>
        <v xml:space="preserve">Версия отчёта: 1.1.1</v>
      </c>
      <c r="F3" s="59"/>
      <c r="G3" s="63"/>
      <c r="H3" s="63"/>
      <c r="I3" s="63"/>
      <c r="J3" s="64"/>
      <c r="K3" s="63"/>
      <c r="Q3" s="50">
        <v>14</v>
      </c>
    </row>
    <row r="4" s="65" customFormat="1" ht="6.2999999999999998" customHeight="1">
      <c r="A4" s="47"/>
      <c r="B4" s="66"/>
      <c r="C4" s="67"/>
      <c r="D4" s="68"/>
      <c r="E4" s="65"/>
      <c r="F4" s="69"/>
      <c r="G4" s="51"/>
      <c r="H4" s="50"/>
      <c r="I4" s="52"/>
      <c r="J4" s="70"/>
      <c r="Q4" s="65">
        <v>6</v>
      </c>
    </row>
    <row r="5" ht="39.75" customHeight="1">
      <c r="D5" s="71"/>
      <c r="E5" s="72" t="str">
        <f>NameTemplatesInTitle</f>
        <v xml:space="preserve">Информация об инвестиционных программах регулируемой организации в области горячего водоснабжения</v>
      </c>
      <c r="F5" s="73"/>
      <c r="G5" s="74"/>
      <c r="J5" s="75"/>
      <c r="Q5" s="50">
        <v>38</v>
      </c>
    </row>
    <row r="6" s="65" customFormat="1" ht="6.2999999999999998" customHeight="1">
      <c r="A6" s="47"/>
      <c r="B6" s="66"/>
      <c r="C6" s="67"/>
      <c r="D6" s="68"/>
      <c r="E6" s="76"/>
      <c r="F6" s="77"/>
      <c r="G6" s="74"/>
      <c r="H6" s="50"/>
      <c r="I6" s="52"/>
      <c r="J6" s="70"/>
      <c r="Q6" s="65">
        <v>6</v>
      </c>
    </row>
    <row r="7" ht="21" customHeight="1">
      <c r="D7" s="71"/>
      <c r="E7" s="78" t="s">
        <v>15</v>
      </c>
      <c r="F7" s="79" t="s">
        <v>16</v>
      </c>
      <c r="G7" s="74"/>
      <c r="Q7" s="50">
        <v>20</v>
      </c>
    </row>
    <row r="8" s="65" customFormat="1" ht="6.2999999999999998" customHeight="1">
      <c r="A8" s="80"/>
      <c r="B8" s="66"/>
      <c r="C8" s="67"/>
      <c r="D8" s="81"/>
      <c r="E8" s="76"/>
      <c r="F8" s="82"/>
      <c r="G8" s="83"/>
      <c r="H8" s="50"/>
      <c r="I8" s="52"/>
      <c r="J8" s="84"/>
      <c r="Q8" s="65">
        <v>6</v>
      </c>
    </row>
    <row r="9" s="50" customFormat="1" ht="19.5" hidden="1" customHeight="1">
      <c r="A9" s="47"/>
      <c r="B9" s="48"/>
      <c r="C9" s="49"/>
      <c r="D9" s="71"/>
      <c r="E9" s="78" t="s">
        <v>17</v>
      </c>
      <c r="F9" s="85"/>
      <c r="G9" s="74"/>
      <c r="I9" s="86" t="str">
        <f>IF(TITLE_STRUCTURE_INFO_ROIV="","","раскрывается "&amp;INDEX(ROIV_INFO_COMMENT,MATCH(TITLE_STRUCTURE_INFO_ROIV,ROIV_INFO_LIST,0)))</f>
        <v/>
      </c>
      <c r="J9" s="53"/>
      <c r="Q9" s="50">
        <v>0</v>
      </c>
    </row>
    <row r="10" s="65" customFormat="1" ht="24" hidden="1" customHeight="1">
      <c r="A10" s="80"/>
      <c r="B10" s="66"/>
      <c r="C10" s="67"/>
      <c r="D10" s="81"/>
      <c r="E10" s="78" t="s">
        <v>18</v>
      </c>
      <c r="F10" s="87" t="s">
        <v>19</v>
      </c>
      <c r="G10" s="83"/>
      <c r="H10" s="50"/>
      <c r="I10" s="52"/>
      <c r="J10" s="84"/>
      <c r="Q10" s="65">
        <v>24</v>
      </c>
    </row>
    <row r="11" ht="22.5" hidden="1" customHeight="1">
      <c r="A11" s="88" t="s">
        <v>20</v>
      </c>
      <c r="D11" s="71"/>
      <c r="E11" s="78" t="s">
        <v>21</v>
      </c>
      <c r="F11" s="89" t="s">
        <v>22</v>
      </c>
      <c r="G11" s="83"/>
      <c r="H11" s="90" t="s">
        <v>23</v>
      </c>
      <c r="J11" s="53" t="s">
        <v>24</v>
      </c>
      <c r="Q11" s="50">
        <v>0</v>
      </c>
    </row>
    <row r="12" ht="22.5" hidden="1" customHeight="1">
      <c r="A12" s="88"/>
      <c r="D12" s="71"/>
      <c r="E12" s="78" t="s">
        <v>25</v>
      </c>
      <c r="F12" s="89"/>
      <c r="G12" s="91"/>
      <c r="J12" s="53" t="s">
        <v>26</v>
      </c>
      <c r="Q12" s="50">
        <v>0</v>
      </c>
    </row>
    <row r="13" s="50" customFormat="1" ht="22.5" hidden="1" customHeight="1">
      <c r="A13" s="92" t="s">
        <v>27</v>
      </c>
      <c r="B13" s="48"/>
      <c r="C13" s="49"/>
      <c r="D13" s="71"/>
      <c r="E13" s="93" t="s">
        <v>28</v>
      </c>
      <c r="F13" s="89" t="s">
        <v>22</v>
      </c>
      <c r="G13" s="83"/>
      <c r="H13" s="63"/>
      <c r="I13" s="52"/>
      <c r="J13" s="61" t="s">
        <v>29</v>
      </c>
      <c r="Q13" s="50">
        <v>0</v>
      </c>
    </row>
    <row r="14" s="50" customFormat="1" ht="27" customHeight="1">
      <c r="A14" s="92" t="s">
        <v>30</v>
      </c>
      <c r="B14" s="48"/>
      <c r="C14" s="49"/>
      <c r="D14" s="71"/>
      <c r="E14" s="78" t="s">
        <v>31</v>
      </c>
      <c r="F14" s="94">
        <v>2025</v>
      </c>
      <c r="G14" s="83"/>
      <c r="H14" s="63"/>
      <c r="I14" s="52"/>
      <c r="J14" s="53" t="s">
        <v>32</v>
      </c>
      <c r="Q14" s="50">
        <v>0</v>
      </c>
    </row>
    <row r="15" s="50" customFormat="1" ht="19.5" hidden="1" customHeight="1">
      <c r="A15" s="92" t="s">
        <v>33</v>
      </c>
      <c r="B15" s="48"/>
      <c r="C15" s="49"/>
      <c r="D15" s="71"/>
      <c r="E15" s="78" t="s">
        <v>34</v>
      </c>
      <c r="F15" s="94"/>
      <c r="G15" s="83"/>
      <c r="H15" s="63"/>
      <c r="I15" s="52"/>
      <c r="J15" s="53" t="s">
        <v>35</v>
      </c>
      <c r="Q15" s="50">
        <v>0</v>
      </c>
    </row>
    <row r="16" s="65" customFormat="1" ht="6.2999999999999998" customHeight="1">
      <c r="A16" s="80"/>
      <c r="B16" s="66"/>
      <c r="C16" s="67"/>
      <c r="D16" s="81"/>
      <c r="E16" s="76"/>
      <c r="F16" s="82"/>
      <c r="G16" s="83"/>
      <c r="H16" s="50"/>
      <c r="I16" s="52"/>
      <c r="J16" s="70"/>
      <c r="Q16" s="65">
        <v>6</v>
      </c>
    </row>
    <row r="17" ht="21" customHeight="1">
      <c r="D17" s="71"/>
      <c r="E17" s="78" t="s">
        <v>36</v>
      </c>
      <c r="F17" s="95" t="s">
        <v>37</v>
      </c>
      <c r="G17" s="91"/>
      <c r="H17" s="90" t="s">
        <v>23</v>
      </c>
      <c r="Q17" s="50">
        <v>20</v>
      </c>
    </row>
    <row r="18" ht="25.5" hidden="1" customHeight="1">
      <c r="D18" s="71"/>
      <c r="E18" s="93" t="s">
        <v>38</v>
      </c>
      <c r="F18" s="96"/>
      <c r="G18" s="91"/>
      <c r="I18" s="97"/>
      <c r="J18" s="98" t="s">
        <v>39</v>
      </c>
      <c r="Q18" s="50">
        <v>0</v>
      </c>
    </row>
    <row r="19" ht="25.5" hidden="1" customHeight="1">
      <c r="D19" s="71"/>
      <c r="E19" s="78" t="str">
        <f>"Дата периода регулирования, с которой "&amp;IF(TEMPLATE_GROUP="P","вводятся","предлагаются")&amp;" изменения в тарифы"</f>
        <v xml:space="preserve">Дата периода регулирования, с которой предлагаются изменения в тарифы</v>
      </c>
      <c r="F19" s="96"/>
      <c r="G19" s="91"/>
      <c r="I19" s="97"/>
      <c r="J19" s="98"/>
      <c r="Q19" s="50">
        <v>0</v>
      </c>
    </row>
    <row r="20" ht="22.5" hidden="1" customHeight="1">
      <c r="D20" s="71"/>
      <c r="E20" s="99"/>
      <c r="F20" s="51" t="str">
        <f>"Первичное "&amp;IF(TEMPLATE_GROUP="P","установление тарифов","предложение по тарифам")</f>
        <v xml:space="preserve">Первичное предложение по тарифам</v>
      </c>
      <c r="G20" s="91"/>
      <c r="I20" s="83"/>
      <c r="J20" s="75" t="s">
        <v>40</v>
      </c>
      <c r="Q20" s="50">
        <v>0</v>
      </c>
    </row>
    <row r="21" ht="19.5" hidden="1" customHeight="1">
      <c r="D21" s="71"/>
      <c r="E21" s="78" t="str">
        <f>"Дата "&amp;IF(TEMPLATE_GROUP="P","документа","подачи заявления")&amp;" об утверждении тарифов"</f>
        <v xml:space="preserve">Дата подачи заявления об утверждении тарифов</v>
      </c>
      <c r="F21" s="89"/>
      <c r="G21" s="91"/>
      <c r="I21" s="100"/>
      <c r="Q21" s="50">
        <v>0</v>
      </c>
    </row>
    <row r="22" ht="19.5" hidden="1" customHeight="1">
      <c r="D22" s="71"/>
      <c r="E22" s="78" t="str">
        <f>"Номер "&amp;IF(TEMPLATE_GROUP="P","документа","подачи заявления")&amp;" об утверждении тарифов"</f>
        <v xml:space="preserve">Номер подачи заявления об утверждении тарифов</v>
      </c>
      <c r="F22" s="95"/>
      <c r="G22" s="91"/>
      <c r="I22" s="100"/>
      <c r="Q22" s="50">
        <v>0</v>
      </c>
    </row>
    <row r="23" ht="22.5" hidden="1" customHeight="1">
      <c r="D23" s="71"/>
      <c r="E23" s="78" t="s">
        <v>41</v>
      </c>
      <c r="F23" s="95"/>
      <c r="G23" s="91"/>
      <c r="Q23" s="50">
        <v>0</v>
      </c>
    </row>
    <row r="24" ht="19.5" hidden="1" customHeight="1">
      <c r="D24" s="71"/>
      <c r="E24" s="78" t="s">
        <v>42</v>
      </c>
      <c r="F24" s="95"/>
      <c r="G24" s="91"/>
      <c r="Q24" s="50">
        <v>0</v>
      </c>
    </row>
    <row r="25" ht="22.5" hidden="1" customHeight="1">
      <c r="D25" s="71"/>
      <c r="E25" s="99"/>
      <c r="F25" s="51" t="str">
        <f>"Изменение "&amp;IF(TEMPLATE_GROUP="P","тарифов","предложения по тарифам")</f>
        <v xml:space="preserve">Изменение предложения по тарифам</v>
      </c>
      <c r="G25" s="91"/>
      <c r="J25" s="75" t="s">
        <v>43</v>
      </c>
      <c r="Q25" s="50">
        <v>0</v>
      </c>
    </row>
    <row r="26" ht="19.5" hidden="1" customHeight="1">
      <c r="D26" s="71"/>
      <c r="E26" s="78" t="str">
        <f>"Дата "&amp;IF(TEMPLATE_GROUP="P","принятия решения","подачи заявления")&amp;" об изменении тарифов"</f>
        <v xml:space="preserve">Дата подачи заявления об изменении тарифов</v>
      </c>
      <c r="F26" s="96"/>
      <c r="G26" s="91"/>
      <c r="Q26" s="50">
        <v>0</v>
      </c>
    </row>
    <row r="27" ht="19.5" hidden="1" customHeight="1">
      <c r="D27" s="71"/>
      <c r="E27" s="78" t="str">
        <f>"Номер "&amp;IF(TEMPLATE_GROUP="P","принятия решения","заявления")&amp;" об изменении тарифов"</f>
        <v xml:space="preserve">Номер заявления об изменении тарифов</v>
      </c>
      <c r="F27" s="101"/>
      <c r="G27" s="91"/>
      <c r="Q27" s="50">
        <v>0</v>
      </c>
    </row>
    <row r="28" ht="24.75" hidden="1" customHeight="1">
      <c r="D28" s="71"/>
      <c r="E28" s="78" t="s">
        <v>44</v>
      </c>
      <c r="F28" s="101"/>
      <c r="G28" s="91"/>
      <c r="Q28" s="50">
        <v>0</v>
      </c>
    </row>
    <row r="29" ht="19.5" hidden="1" customHeight="1">
      <c r="D29" s="71"/>
      <c r="E29" s="78" t="s">
        <v>42</v>
      </c>
      <c r="F29" s="101"/>
      <c r="G29" s="91"/>
      <c r="Q29" s="50">
        <v>0</v>
      </c>
    </row>
    <row r="30" s="65" customFormat="1" ht="6.2999999999999998" customHeight="1">
      <c r="A30" s="80"/>
      <c r="B30" s="66"/>
      <c r="C30" s="67"/>
      <c r="D30" s="81"/>
      <c r="E30" s="76"/>
      <c r="F30" s="82"/>
      <c r="G30" s="83"/>
      <c r="H30" s="50"/>
      <c r="I30" s="52"/>
      <c r="J30" s="70"/>
      <c r="Q30" s="65">
        <v>6</v>
      </c>
    </row>
    <row r="31" ht="21" customHeight="1">
      <c r="C31" s="102"/>
      <c r="D31" s="103"/>
      <c r="E31" s="78" t="str">
        <f>"Наименование "&amp;IF(TEMPLATE_GROUP="ROIV","органа тарифного регулирования","ЮЛ / ИП")</f>
        <v xml:space="preserve">Наименование ЮЛ / ИП</v>
      </c>
      <c r="F31" s="104" t="s">
        <v>45</v>
      </c>
      <c r="G31" s="105"/>
      <c r="Q31" s="50">
        <v>20</v>
      </c>
    </row>
    <row r="32" ht="21" hidden="1" customHeight="1">
      <c r="C32" s="102"/>
      <c r="D32" s="103"/>
      <c r="E32" s="106" t="s">
        <v>46</v>
      </c>
      <c r="F32" s="104"/>
      <c r="G32" s="105"/>
      <c r="Q32" s="50">
        <v>20</v>
      </c>
    </row>
    <row r="33" ht="21" customHeight="1">
      <c r="C33" s="102"/>
      <c r="D33" s="103"/>
      <c r="E33" s="78" t="s">
        <v>47</v>
      </c>
      <c r="F33" s="104" t="s">
        <v>48</v>
      </c>
      <c r="G33" s="105"/>
      <c r="Q33" s="50">
        <v>20</v>
      </c>
    </row>
    <row r="34" ht="21" customHeight="1">
      <c r="C34" s="102"/>
      <c r="D34" s="103"/>
      <c r="E34" s="78" t="s">
        <v>49</v>
      </c>
      <c r="F34" s="104" t="s">
        <v>50</v>
      </c>
      <c r="G34" s="105"/>
      <c r="H34" s="107"/>
      <c r="Q34" s="50">
        <v>20</v>
      </c>
    </row>
    <row r="35" s="65" customFormat="1" ht="11.5" customHeight="1">
      <c r="A35" s="80"/>
      <c r="B35" s="66"/>
      <c r="C35" s="67"/>
      <c r="D35" s="81"/>
      <c r="E35" s="76"/>
      <c r="F35" s="82"/>
      <c r="G35" s="83"/>
      <c r="H35" s="50"/>
      <c r="I35" s="52"/>
      <c r="J35" s="70"/>
      <c r="Q35" s="65">
        <v>11</v>
      </c>
    </row>
    <row r="36" ht="19.5" hidden="1" customHeight="1">
      <c r="A36" s="108"/>
      <c r="D36" s="103"/>
      <c r="E36" s="78" t="s">
        <v>51</v>
      </c>
      <c r="F36" s="109"/>
      <c r="G36" s="83"/>
      <c r="Q36" s="50">
        <v>0</v>
      </c>
    </row>
    <row r="37" ht="21" customHeight="1">
      <c r="A37" s="108"/>
      <c r="D37" s="103"/>
      <c r="E37" s="78" t="s">
        <v>52</v>
      </c>
      <c r="F37" s="109" t="s">
        <v>53</v>
      </c>
      <c r="G37" s="83"/>
      <c r="Q37" s="50">
        <v>20</v>
      </c>
    </row>
    <row r="38" s="65" customFormat="1" ht="6.2999999999999998" customHeight="1">
      <c r="A38" s="80"/>
      <c r="B38" s="66"/>
      <c r="C38" s="67"/>
      <c r="D38" s="68"/>
      <c r="E38" s="110"/>
      <c r="F38" s="111"/>
      <c r="G38" s="91"/>
      <c r="H38" s="50"/>
      <c r="I38" s="52"/>
      <c r="J38" s="53"/>
      <c r="Q38" s="65">
        <v>6</v>
      </c>
    </row>
    <row r="39" ht="36.75" customHeight="1">
      <c r="A39" s="80"/>
      <c r="D39" s="71"/>
      <c r="E39" s="78" t="s">
        <v>54</v>
      </c>
      <c r="F39" s="87" t="s">
        <v>19</v>
      </c>
      <c r="G39" s="91"/>
      <c r="H39" s="90" t="s">
        <v>23</v>
      </c>
      <c r="Q39" s="50">
        <v>35</v>
      </c>
    </row>
    <row r="40" s="65" customFormat="1" ht="6" hidden="1" customHeight="1">
      <c r="A40" s="47"/>
      <c r="B40" s="66"/>
      <c r="C40" s="67"/>
      <c r="D40" s="68"/>
      <c r="E40" s="110"/>
      <c r="F40" s="111"/>
      <c r="G40" s="91"/>
      <c r="H40" s="50"/>
      <c r="I40" s="52"/>
      <c r="J40" s="53"/>
      <c r="Q40" s="65">
        <v>6</v>
      </c>
    </row>
    <row r="41" s="50" customFormat="1" ht="26.25" hidden="1" customHeight="1">
      <c r="A41" s="92" t="s">
        <v>27</v>
      </c>
      <c r="B41" s="48"/>
      <c r="C41" s="49"/>
      <c r="D41" s="71"/>
      <c r="E41" s="78" t="str">
        <f>"Дифференциация информации по централизованным системам  "&amp;TEMPLATE_SPHERE_RUS</f>
        <v xml:space="preserve">Дифференциация информации по централизованным системам  горячего водоснабжения</v>
      </c>
      <c r="F41" s="87" t="s">
        <v>19</v>
      </c>
      <c r="G41" s="91"/>
      <c r="I41" s="52"/>
      <c r="J41" s="53"/>
      <c r="Q41" s="50">
        <v>0</v>
      </c>
    </row>
    <row r="42" s="65" customFormat="1" ht="6" hidden="1" customHeight="1">
      <c r="A42" s="47"/>
      <c r="B42" s="66"/>
      <c r="C42" s="67"/>
      <c r="D42" s="68"/>
      <c r="E42" s="110"/>
      <c r="F42" s="111"/>
      <c r="G42" s="91"/>
      <c r="H42" s="50"/>
      <c r="I42" s="52"/>
      <c r="J42" s="70"/>
      <c r="Q42" s="65">
        <v>0</v>
      </c>
    </row>
    <row r="43" s="50" customFormat="1" ht="27" hidden="1" customHeight="1">
      <c r="A43" s="47"/>
      <c r="B43" s="48"/>
      <c r="C43" s="49"/>
      <c r="D43" s="71"/>
      <c r="E43" s="78" t="s">
        <v>55</v>
      </c>
      <c r="F43" s="87" t="s">
        <v>19</v>
      </c>
      <c r="G43" s="91"/>
      <c r="I43" s="52"/>
      <c r="J43" s="53"/>
      <c r="Q43" s="50">
        <v>0</v>
      </c>
    </row>
    <row r="44" s="50" customFormat="1" ht="27" hidden="1" customHeight="1">
      <c r="A44" s="47"/>
      <c r="B44" s="48"/>
      <c r="C44" s="49"/>
      <c r="D44" s="71"/>
      <c r="E44" s="78" t="s">
        <v>56</v>
      </c>
      <c r="F44" s="112"/>
      <c r="G44" s="91"/>
      <c r="I44" s="52"/>
      <c r="J44" s="53"/>
      <c r="Q44" s="50">
        <v>0</v>
      </c>
    </row>
    <row r="45" s="65" customFormat="1" ht="6" hidden="1" customHeight="1">
      <c r="A45" s="47"/>
      <c r="B45" s="66"/>
      <c r="C45" s="67"/>
      <c r="D45" s="68"/>
      <c r="E45" s="110"/>
      <c r="F45" s="111"/>
      <c r="G45" s="91"/>
      <c r="H45" s="50"/>
      <c r="I45" s="52"/>
      <c r="J45" s="53"/>
      <c r="Q45" s="65">
        <v>0</v>
      </c>
    </row>
    <row r="46" s="65" customFormat="1" ht="24.75" hidden="1" customHeight="1">
      <c r="A46" s="47"/>
      <c r="B46" s="66"/>
      <c r="C46" s="67"/>
      <c r="D46" s="68"/>
      <c r="E46" s="78" t="s">
        <v>57</v>
      </c>
      <c r="F46" s="87" t="s">
        <v>19</v>
      </c>
      <c r="G46" s="91"/>
      <c r="H46" s="50"/>
      <c r="I46" s="52"/>
      <c r="J46" s="53"/>
      <c r="Q46" s="65">
        <v>0</v>
      </c>
    </row>
    <row r="47" s="50" customFormat="1" ht="24.75" hidden="1" customHeight="1">
      <c r="A47" s="47"/>
      <c r="B47" s="48"/>
      <c r="C47" s="49"/>
      <c r="D47" s="71"/>
      <c r="E47" s="78" t="s">
        <v>58</v>
      </c>
      <c r="F47" s="87" t="s">
        <v>19</v>
      </c>
      <c r="G47" s="91"/>
      <c r="I47" s="52"/>
      <c r="J47" s="53"/>
      <c r="Q47" s="50">
        <v>0</v>
      </c>
    </row>
    <row r="48" s="65" customFormat="1" ht="6" hidden="1" customHeight="1">
      <c r="A48" s="47"/>
      <c r="B48" s="66"/>
      <c r="C48" s="67"/>
      <c r="D48" s="68"/>
      <c r="E48" s="110"/>
      <c r="F48" s="111"/>
      <c r="G48" s="91"/>
      <c r="H48" s="50"/>
      <c r="I48" s="52"/>
      <c r="J48" s="53"/>
      <c r="Q48" s="65">
        <v>0</v>
      </c>
    </row>
    <row r="49" ht="29.25" hidden="1" customHeight="1">
      <c r="B49" s="48"/>
      <c r="D49" s="71"/>
      <c r="E49" s="78" t="str">
        <f>"Организация осуществляет подключение (технологическое присоединение) к системе "&amp;TEMPLATE_SPHERE_RUS</f>
        <v xml:space="preserve">Организация осуществляет подключение (технологическое присоединение) к системе горячего водоснабжения</v>
      </c>
      <c r="F49" s="87"/>
      <c r="G49" s="91"/>
      <c r="Q49" s="50">
        <v>0</v>
      </c>
    </row>
    <row r="50" s="65" customFormat="1" ht="6" hidden="1" customHeight="1">
      <c r="A50" s="80"/>
      <c r="B50" s="66"/>
      <c r="C50" s="67"/>
      <c r="D50" s="81"/>
      <c r="E50" s="76"/>
      <c r="F50" s="82"/>
      <c r="G50" s="83"/>
      <c r="H50" s="50"/>
      <c r="I50" s="52"/>
      <c r="J50" s="53"/>
      <c r="Q50" s="65">
        <v>0</v>
      </c>
    </row>
    <row r="51" s="50" customFormat="1" ht="28.5" hidden="1" customHeight="1">
      <c r="A51" s="113"/>
      <c r="B51" s="48"/>
      <c r="C51" s="49"/>
      <c r="D51" s="52"/>
      <c r="E51" s="78" t="s">
        <v>59</v>
      </c>
      <c r="F51" s="87" t="s">
        <v>19</v>
      </c>
      <c r="G51" s="51"/>
      <c r="I51" s="114"/>
      <c r="J51" s="53"/>
      <c r="P51" s="115"/>
      <c r="Q51" s="50">
        <v>0</v>
      </c>
    </row>
    <row r="52" s="65" customFormat="1" ht="6" hidden="1" customHeight="1">
      <c r="A52" s="80"/>
      <c r="B52" s="66"/>
      <c r="C52" s="67"/>
      <c r="D52" s="81"/>
      <c r="E52" s="76"/>
      <c r="F52" s="82"/>
      <c r="G52" s="83"/>
      <c r="H52" s="50"/>
      <c r="I52" s="52"/>
      <c r="J52" s="70"/>
      <c r="Q52" s="65">
        <v>0</v>
      </c>
    </row>
    <row r="53" s="50" customFormat="1" ht="27" hidden="1" customHeight="1">
      <c r="A53" s="113"/>
      <c r="B53" s="48"/>
      <c r="C53" s="49"/>
      <c r="D53" s="52"/>
      <c r="E53" s="78" t="s">
        <v>60</v>
      </c>
      <c r="F53" s="116" t="s">
        <v>19</v>
      </c>
      <c r="G53" s="51"/>
      <c r="I53" s="114"/>
      <c r="J53" s="53"/>
      <c r="P53" s="115"/>
      <c r="Q53" s="50">
        <v>0</v>
      </c>
    </row>
    <row r="54" s="50" customFormat="1" ht="27" hidden="1" customHeight="1">
      <c r="A54" s="113"/>
      <c r="B54" s="48"/>
      <c r="C54" s="49"/>
      <c r="D54" s="52"/>
      <c r="E54" s="78" t="s">
        <v>61</v>
      </c>
      <c r="F54" s="117"/>
      <c r="G54" s="51"/>
      <c r="I54" s="114"/>
      <c r="J54" s="53"/>
      <c r="P54" s="115"/>
      <c r="Q54" s="50">
        <v>0</v>
      </c>
    </row>
    <row r="55" s="65" customFormat="1" ht="6" hidden="1" customHeight="1">
      <c r="A55" s="80"/>
      <c r="B55" s="66"/>
      <c r="C55" s="67"/>
      <c r="D55" s="81"/>
      <c r="E55" s="76"/>
      <c r="F55" s="82"/>
      <c r="G55" s="83"/>
      <c r="H55" s="50"/>
      <c r="I55" s="52"/>
      <c r="J55" s="70"/>
      <c r="Q55" s="65">
        <v>0</v>
      </c>
    </row>
    <row r="56" s="50" customFormat="1" ht="25.5" hidden="1" customHeight="1">
      <c r="A56" s="113"/>
      <c r="B56" s="48"/>
      <c r="C56" s="49"/>
      <c r="D56" s="52"/>
      <c r="E56" s="78" t="s">
        <v>62</v>
      </c>
      <c r="F56" s="116" t="s">
        <v>19</v>
      </c>
      <c r="G56" s="51"/>
      <c r="I56" s="114"/>
      <c r="J56" s="53"/>
      <c r="P56" s="115"/>
      <c r="Q56" s="50">
        <v>0</v>
      </c>
    </row>
    <row r="57" s="65" customFormat="1" ht="6" hidden="1" customHeight="1">
      <c r="A57" s="80"/>
      <c r="B57" s="66"/>
      <c r="C57" s="67"/>
      <c r="D57" s="81"/>
      <c r="E57" s="76"/>
      <c r="F57" s="82"/>
      <c r="G57" s="83"/>
      <c r="H57" s="50"/>
      <c r="I57" s="52"/>
      <c r="J57" s="70"/>
      <c r="Q57" s="65">
        <v>0</v>
      </c>
    </row>
    <row r="58" s="50" customFormat="1" ht="15" hidden="1" customHeight="1">
      <c r="A58" s="113"/>
      <c r="B58" s="48"/>
      <c r="C58" s="49"/>
      <c r="D58" s="52"/>
      <c r="E58" s="78" t="s">
        <v>63</v>
      </c>
      <c r="F58" s="116" t="s">
        <v>64</v>
      </c>
      <c r="G58" s="51"/>
      <c r="I58" s="114"/>
      <c r="J58" s="53"/>
      <c r="P58" s="115"/>
      <c r="Q58" s="50">
        <v>0</v>
      </c>
    </row>
    <row r="59" s="50" customFormat="1" ht="75" customHeight="1">
      <c r="A59" s="113"/>
      <c r="B59" s="48"/>
      <c r="C59" s="49"/>
      <c r="D59" s="52"/>
      <c r="E59" s="7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 xml:space="preserve">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6" t="s">
        <v>64</v>
      </c>
      <c r="G59" s="51"/>
      <c r="I59" s="114"/>
      <c r="J59" s="53"/>
      <c r="P59" s="115"/>
      <c r="Q59" s="50">
        <v>0</v>
      </c>
    </row>
    <row r="60" s="50" customFormat="1" ht="15" customHeight="1">
      <c r="A60" s="113"/>
      <c r="B60" s="48"/>
      <c r="C60" s="49"/>
      <c r="D60" s="52"/>
      <c r="E60" s="78" t="s">
        <v>65</v>
      </c>
      <c r="F60" s="109" t="s">
        <v>66</v>
      </c>
      <c r="G60" s="51"/>
      <c r="I60" s="114"/>
      <c r="J60" s="53"/>
      <c r="P60" s="115"/>
      <c r="Q60" s="50">
        <v>0</v>
      </c>
    </row>
    <row r="61" s="65" customFormat="1" ht="6" hidden="1" customHeight="1">
      <c r="A61" s="80"/>
      <c r="B61" s="66"/>
      <c r="C61" s="67"/>
      <c r="D61" s="68"/>
      <c r="E61" s="110"/>
      <c r="F61" s="111"/>
      <c r="G61" s="91"/>
      <c r="H61" s="50"/>
      <c r="I61" s="52"/>
      <c r="J61" s="53"/>
      <c r="Q61" s="65">
        <v>0</v>
      </c>
    </row>
    <row r="62" s="50" customFormat="1" ht="33.75" hidden="1" customHeight="1">
      <c r="A62" s="80"/>
      <c r="B62" s="48"/>
      <c r="C62" s="49"/>
      <c r="D62" s="71"/>
      <c r="E62" s="78" t="s">
        <v>67</v>
      </c>
      <c r="F62" s="87" t="s">
        <v>64</v>
      </c>
      <c r="G62" s="91"/>
      <c r="H62" s="90" t="s">
        <v>23</v>
      </c>
      <c r="I62" s="52"/>
      <c r="J62" s="53"/>
      <c r="Q62" s="50">
        <v>0</v>
      </c>
    </row>
    <row r="63" s="65" customFormat="1" ht="6.2999999999999998" customHeight="1">
      <c r="A63" s="80"/>
      <c r="B63" s="66"/>
      <c r="C63" s="67"/>
      <c r="D63" s="81"/>
      <c r="E63" s="76"/>
      <c r="F63" s="82"/>
      <c r="G63" s="83"/>
      <c r="H63" s="50"/>
      <c r="I63" s="52"/>
      <c r="J63" s="70"/>
      <c r="Q63" s="65">
        <v>6</v>
      </c>
    </row>
    <row r="64" ht="21" customHeight="1">
      <c r="A64" s="47"/>
      <c r="B64" s="118"/>
      <c r="D64" s="119"/>
      <c r="E64" s="78" t="s">
        <v>68</v>
      </c>
      <c r="F64" s="95" t="s">
        <v>69</v>
      </c>
      <c r="G64" s="83"/>
      <c r="Q64" s="50">
        <v>20</v>
      </c>
    </row>
    <row r="65" ht="21" customHeight="1">
      <c r="A65" s="47"/>
      <c r="B65" s="118"/>
      <c r="D65" s="119"/>
      <c r="E65" s="78" t="s">
        <v>70</v>
      </c>
      <c r="F65" s="95" t="s">
        <v>71</v>
      </c>
      <c r="G65" s="83"/>
      <c r="Q65" s="50">
        <v>20</v>
      </c>
    </row>
    <row r="66" ht="36.75" customHeight="1">
      <c r="D66" s="71"/>
      <c r="E66" s="120" t="s">
        <v>72</v>
      </c>
      <c r="F66" s="121"/>
      <c r="G66" s="91"/>
      <c r="Q66" s="50">
        <v>35</v>
      </c>
    </row>
    <row r="67" ht="21" customHeight="1">
      <c r="A67" s="47"/>
      <c r="D67" s="71"/>
      <c r="E67" s="78" t="s">
        <v>73</v>
      </c>
      <c r="F67" s="95" t="s">
        <v>74</v>
      </c>
      <c r="G67" s="83"/>
      <c r="Q67" s="50">
        <v>20</v>
      </c>
    </row>
    <row r="68" ht="21" customHeight="1">
      <c r="A68" s="47"/>
      <c r="B68" s="118"/>
      <c r="D68" s="119"/>
      <c r="E68" s="78" t="s">
        <v>75</v>
      </c>
      <c r="F68" s="95" t="s">
        <v>76</v>
      </c>
      <c r="G68" s="83"/>
      <c r="Q68" s="50">
        <v>20</v>
      </c>
    </row>
    <row r="69" ht="21" customHeight="1">
      <c r="A69" s="47"/>
      <c r="B69" s="118"/>
      <c r="D69" s="119"/>
      <c r="E69" s="78" t="s">
        <v>77</v>
      </c>
      <c r="F69" s="95" t="s">
        <v>78</v>
      </c>
      <c r="G69" s="83"/>
      <c r="Q69" s="50">
        <v>20</v>
      </c>
    </row>
    <row r="70" ht="21" customHeight="1">
      <c r="D70" s="71"/>
      <c r="E70" s="78" t="s">
        <v>79</v>
      </c>
      <c r="F70" s="122" t="s">
        <v>80</v>
      </c>
      <c r="G70" s="91"/>
      <c r="Q70" s="50">
        <v>20</v>
      </c>
    </row>
    <row r="71" ht="21" customHeight="1">
      <c r="A71" s="47"/>
      <c r="D71" s="91"/>
      <c r="F71" s="123"/>
      <c r="G71" s="83"/>
      <c r="Q71" s="50">
        <v>20</v>
      </c>
    </row>
    <row r="72" ht="21" customHeight="1">
      <c r="A72" s="47"/>
      <c r="B72" s="118"/>
      <c r="D72" s="119"/>
      <c r="E72" s="124"/>
      <c r="F72" s="125" t="s">
        <v>13</v>
      </c>
      <c r="G72" s="83"/>
      <c r="Q72" s="50">
        <v>20</v>
      </c>
    </row>
    <row r="73" ht="21" customHeight="1">
      <c r="A73" s="47"/>
      <c r="B73" s="118"/>
      <c r="D73" s="119"/>
      <c r="E73" s="124"/>
      <c r="F73" s="126"/>
      <c r="G73" s="83"/>
      <c r="Q73" s="50">
        <v>20</v>
      </c>
    </row>
    <row r="74" ht="21" customHeight="1">
      <c r="A74" s="47"/>
      <c r="B74" s="118"/>
      <c r="D74" s="119"/>
      <c r="E74" s="127"/>
      <c r="F74" s="126"/>
      <c r="G74" s="83"/>
      <c r="Q74" s="50">
        <v>20</v>
      </c>
    </row>
    <row r="75" ht="21" customHeight="1">
      <c r="A75" s="47"/>
      <c r="B75" s="118"/>
      <c r="D75" s="119"/>
      <c r="E75" s="124"/>
      <c r="F75" s="126"/>
      <c r="G75" s="83"/>
      <c r="Q75" s="50">
        <v>20</v>
      </c>
    </row>
    <row r="76" ht="11.5" customHeight="1">
      <c r="Q76" s="50">
        <v>11</v>
      </c>
    </row>
    <row r="77" ht="11.5" customHeight="1">
      <c r="Q77" s="50">
        <v>11</v>
      </c>
    </row>
    <row r="78" ht="11.5" customHeight="1">
      <c r="E78" s="128"/>
      <c r="F78" s="128"/>
      <c r="G78" s="128"/>
      <c r="H78" s="128"/>
      <c r="I78" s="128"/>
      <c r="Q78" s="50">
        <v>11</v>
      </c>
    </row>
    <row r="79" ht="11.25" hidden="1" customHeight="1">
      <c r="A79" s="47" t="s">
        <v>81</v>
      </c>
      <c r="B79" s="48">
        <v>0</v>
      </c>
      <c r="C79" s="49">
        <v>3</v>
      </c>
      <c r="D79" s="50">
        <v>1</v>
      </c>
      <c r="E79" s="50">
        <v>55</v>
      </c>
      <c r="F79" s="50">
        <v>54</v>
      </c>
      <c r="G79" s="51">
        <v>1</v>
      </c>
      <c r="H79" s="50">
        <v>0</v>
      </c>
      <c r="I79" s="52">
        <v>59</v>
      </c>
      <c r="J79" s="53">
        <v>0</v>
      </c>
      <c r="K79" s="50">
        <v>8</v>
      </c>
      <c r="L79" s="50">
        <v>77</v>
      </c>
      <c r="M79" s="50">
        <v>8</v>
      </c>
      <c r="N79" s="50">
        <v>8</v>
      </c>
      <c r="O79" s="50">
        <v>8</v>
      </c>
      <c r="P79" s="50">
        <v>8</v>
      </c>
      <c r="Q79" s="50">
        <v>11</v>
      </c>
    </row>
  </sheetData>
  <sheetProtection autoFilter="0" deleteColumns="1" deleteRows="1" formatCells="1" formatColumns="0" formatRows="0" insertColumns="1" insertHyperlinks="1" insertRows="1" objects="0" pivotTables="1" scenarios="0" selectLockedCells="0" selectUnlockedCells="0" sheet="1" sort="1"/>
  <mergeCells count="3">
    <mergeCell ref="E5:F5"/>
    <mergeCell ref="A11:A12"/>
    <mergeCell ref="J18:J19"/>
  </mergeCells>
  <dataValidations count="4" disablePrompts="0">
    <dataValidation sqref="F26 F21 F18:F19 F11:F13"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F49 F53 F56 F58 F51 F39:F41 F43 F45:F47 F62 F10"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F54" type="none" allowBlank="1" errorStyle="stop" imeMode="noControl" operator="between" prompt="Выберите значение из календаря (иконка справа от выбранной ячейки), либо введите дату непосредственно в ячейку в формате - 'ДД.ММ.ГГГГ'" showDropDown="0" showErrorMessage="1" showInputMessage="1"/>
    <dataValidation sqref="F31" type="none" allowBlank="1" errorStyle="stop" imeMode="noControl" operator="between" prompt="Выбор организации двойным щелчком левой клавиши мыши" showDropDown="0" showErrorMessage="1" showInputMessage="1"/>
  </dataValidations>
  <hyperlinks>
    <hyperlink location="Титульный!H9" ref="H11" tooltip="Помощь по работе с полями отчётной формы"/>
    <hyperlink location="Титульный!H9" ref="H17" tooltip="Помощь по работе с полями отчётной формы"/>
    <hyperlink location="Титульный!H9" ref="H39" tooltip="Помощь по работе с полями отчётной формы"/>
    <hyperlink location="Титульный!H9" ref="H62" tooltip="Помощь по работе с полями отчётной формы"/>
    <hyperlink r:id="rId1" ref="F70"/>
  </hyperlinks>
  <printOptions headings="0" gridLines="0"/>
  <pageMargins left="0.75" right="0.75" top="1" bottom="1" header="0.5" footer="0.5"/>
  <pageSetup paperSize="8"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legacyDrawing r:id="rId4"/>
  <extLst>
    <ext xmlns:x14="http://schemas.microsoft.com/office/spreadsheetml/2009/9/main" uri="{CCE6A557-97BC-4b89-ADB6-D9C93CAAB3DF}">
      <x14:dataValidations xmlns:xm="http://schemas.microsoft.com/office/excel/2006/main" count="9" disablePrompts="0">
        <x14:dataValidation xr:uid="{009E00BE-0059-4022-974F-0053009100DC}" type="textLength" allowBlank="1" error="Допускается ввод не более 900 символов!" errorStyle="stop" errorTitle="Ошибка" imeMode="noControl" operator="lessThanOrEqual" showDropDown="0" showErrorMessage="1" showInputMessage="1">
          <x14:formula1>
            <xm:f>900</xm:f>
          </x14:formula1>
          <xm:sqref>F72:F75 F64:F65 F67:F70 F22:F24 F27:F29 F32</xm:sqref>
        </x14:dataValidation>
        <x14:dataValidation xr:uid="{00D5008C-0075-468D-83CE-0063001300AF}"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kind_of_NDS</xm:f>
          </x14:formula1>
          <xm:sqref>F61 F38</xm:sqref>
        </x14:dataValidation>
        <x14:dataValidation xr:uid="{009A00FC-005D-466E-BA11-003E00E900F5}"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kind_of_data_type</xm:f>
          </x14:formula1>
          <xm:sqref>F17</xm:sqref>
        </x14:dataValidation>
        <x14:dataValidation xr:uid="{00BC00EC-00AE-4BDF-B4AB-0088002600B5}"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kind_of_org_type</xm:f>
          </x14:formula1>
          <xm:sqref>F36</xm:sqref>
        </x14:dataValidation>
        <x14:dataValidation xr:uid="{004700FF-00BD-4898-8E92-00FE003F003F}" type="list" allowBlank="1" error="Выберите значение из списка" errorStyle="stop" errorTitle="Ошибка" imeMode="noControl" operator="between" prompt="Выберите значение из списка" showDropDown="0" showErrorMessage="1" showInputMessage="1">
          <x14:formula1>
            <xm:f>year_list</xm:f>
          </x14:formula1>
          <xm:sqref>F14</xm:sqref>
        </x14:dataValidation>
        <x14:dataValidation xr:uid="{00CD0032-0078-42D8-8B5E-00EC006200D0}" type="list" allowBlank="1" error="Выберите значение из списка" errorStyle="stop" errorTitle="Ошибка" imeMode="noControl" operator="between" prompt="Выберите значение из списка" showDropDown="0" showErrorMessage="1" showInputMessage="1">
          <x14:formula1>
            <xm:f>QUARTER</xm:f>
          </x14:formula1>
          <xm:sqref>F15</xm:sqref>
        </x14:dataValidation>
        <x14:dataValidation xr:uid="{0083006A-0022-4ACE-AD12-002500700061}" type="list" allowBlank="1" error="Выберите значение из списка" errorStyle="stop" errorTitle="Ошибка" imeMode="noControl" operator="between" prompt="Выберите значение из списка" showDropDown="0" showErrorMessage="1" showInputMessage="1">
          <x14:formula1>
            <xm:f>TITLE_IP_DETAILED_METHOD_LIST</xm:f>
          </x14:formula1>
          <xm:sqref>F60</xm:sqref>
        </x14:dataValidation>
        <x14:dataValidation xr:uid="{00E000E4-00D2-4BA0-B6AC-00E600F20048}" type="list" allowBlank="1" error="Выберите значение из списка" errorStyle="stop" errorTitle="Ошибка" imeMode="noControl" operator="between" prompt="Выберите значение из списка" showDropDown="0" showErrorMessage="1" showInputMessage="1">
          <x14:formula1>
            <xm:f>ROIV_INFO_LIST</xm:f>
          </x14:formula1>
          <xm:sqref>F9</xm:sqref>
        </x14:dataValidation>
        <x14:dataValidation xr:uid="{006F00F0-0041-4A9F-AB69-004100E20011}" type="list" allowBlank="1" error="Выберите значение из списка" errorStyle="stop" errorTitle="Ошибка" imeMode="noControl" operator="between" prompt="Выберите значение из списка:&#10;ОСН - Общая система налогообложения&#10;УСН - Упрощённая система налогообложения&#10;ЕСХН - Единый сельскохозяйственный налог&#10;ПСН - Патентная система налогообложения&#10;НПД - Налог на профессиональный доход" showDropDown="0" showErrorMessage="1" showInputMessage="1">
          <x14:formula1>
            <xm:f>kind_of_NDS</xm:f>
          </x14:formula1>
          <xm:sqref>F37</xm:sqref>
        </x14:dataValidation>
      </x14:dataValidations>
    </ext>
  </extLst>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7" ySplit="44" topLeftCell="AB45"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4" width="19.140625"/>
    <col customWidth="1" hidden="1" min="13" max="14" style="61" width="12.28125"/>
    <col customWidth="1" hidden="1" min="15" max="15" style="61" width="23.421875"/>
    <col customWidth="1" min="16" max="16" style="61" width="3.00390625"/>
    <col customWidth="1" min="17" max="17" style="539" width="3.00390625"/>
    <col customWidth="1" min="18" max="18" style="479" width="3.00390625"/>
    <col customWidth="1" min="19" max="19" style="86" width="12.00390625"/>
    <col customWidth="1" min="20" max="20" style="50" width="31.00390625"/>
    <col customWidth="1" min="21" max="21" style="50" width="0.140625"/>
    <col customWidth="1" hidden="1" min="22" max="23" style="50" width="21.7109375"/>
    <col customWidth="1" hidden="1" min="24" max="24" style="50" width="11.7109375"/>
    <col customWidth="1" hidden="1" min="25" max="25" style="50" width="3.7109375"/>
    <col customWidth="1" hidden="1" min="26" max="26" style="50" width="11.7109375"/>
    <col customWidth="1" hidden="1" min="27" max="27" style="50" width="8.57421875"/>
    <col customWidth="1" min="28" max="28" style="50" width="5.421875"/>
    <col customWidth="1" min="29" max="30" style="50" width="3.00390625"/>
    <col customWidth="1" min="31" max="31" style="50" width="24.00390625"/>
    <col customWidth="1" min="32" max="32" style="50" width="3.7109375"/>
    <col customWidth="1" min="33" max="34" style="50" width="3.00390625"/>
    <col customWidth="1" min="35" max="35" style="50" width="24.00390625"/>
    <col customWidth="1" min="36" max="36" style="50" width="3.7109375"/>
    <col customWidth="1" min="37" max="38" style="50" width="3.00390625"/>
    <col customWidth="1" min="39" max="39" style="50" width="18.00390625"/>
    <col customWidth="1" min="40" max="41" style="50" width="21.00390625"/>
    <col customWidth="1" min="42" max="42" style="50" width="11.00390625"/>
    <col customWidth="1" min="43" max="43" style="50" width="3.7109375"/>
    <col customWidth="1" min="44" max="44" style="50" width="11.00390625"/>
    <col customWidth="1" hidden="1" min="45" max="45" style="50" width="8.57421875"/>
    <col customWidth="1" min="46" max="46" style="50" width="4.00390625"/>
    <col customWidth="1" min="47" max="47" style="50" width="115.00390625"/>
    <col customWidth="1" min="48" max="52" style="57" width="10.00390625"/>
    <col hidden="1" min="53" max="53" style="50" width="10.57421875"/>
  </cols>
  <sheetData>
    <row r="1" ht="22.5" hidden="1" customHeight="1">
      <c r="W1" s="50"/>
      <c r="X1" s="50"/>
      <c r="AO1" s="50"/>
      <c r="AP1" s="50"/>
      <c r="BA1" s="50" t="s">
        <v>14</v>
      </c>
    </row>
    <row r="2" ht="21" hidden="1" customHeight="1">
      <c r="A2" s="480"/>
      <c r="B2" s="480"/>
      <c r="C2" s="480"/>
      <c r="D2" s="480"/>
      <c r="E2" s="481">
        <v>1</v>
      </c>
      <c r="F2" s="480"/>
      <c r="G2" s="480"/>
      <c r="H2" s="480"/>
      <c r="I2" s="480"/>
      <c r="J2" s="480"/>
      <c r="K2" s="480"/>
      <c r="L2" s="482"/>
      <c r="M2" s="483"/>
      <c r="N2" s="483"/>
      <c r="O2" s="483"/>
      <c r="P2" s="61"/>
      <c r="Q2" s="64"/>
      <c r="R2" s="484"/>
      <c r="S2" s="485" t="e">
        <f>INDEX(PT_DIFFERENTIATION_NUM_NTAR,MATCH(A2,PT_DIFFERENTIATION_NTAR_ID,0))</f>
        <v>#VALUE!</v>
      </c>
      <c r="T2" s="486" t="s">
        <v>119</v>
      </c>
      <c r="U2" s="487"/>
      <c r="V2" s="489"/>
      <c r="W2" s="489"/>
      <c r="X2" s="489"/>
      <c r="Y2" s="489"/>
      <c r="Z2" s="489"/>
      <c r="AA2" s="490"/>
      <c r="AB2" s="488" t="e">
        <f>INDEX(PT_DIFFERENTIATION_NTAR,MATCH(A2,PT_DIFFERENTIATION_NTAR_ID,0))</f>
        <v>#VALUE!</v>
      </c>
      <c r="AC2" s="489"/>
      <c r="AD2" s="489"/>
      <c r="AE2" s="489"/>
      <c r="AF2" s="489"/>
      <c r="AG2" s="489"/>
      <c r="AH2" s="489"/>
      <c r="AI2" s="489"/>
      <c r="AJ2" s="489"/>
      <c r="AK2" s="489"/>
      <c r="AL2" s="489"/>
      <c r="AM2" s="489"/>
      <c r="AN2" s="489"/>
      <c r="AO2" s="489"/>
      <c r="AP2" s="489"/>
      <c r="AQ2" s="489"/>
      <c r="AR2" s="489"/>
      <c r="AS2" s="489"/>
      <c r="AT2" s="490"/>
      <c r="AU2" s="491" t="s">
        <v>390</v>
      </c>
      <c r="AW2" s="130"/>
      <c r="AX2" s="130" t="str">
        <f t="shared" ref="AX2:AX8" si="21">IF(T2="","",T2)</f>
        <v xml:space="preserve">Наименование тарифа</v>
      </c>
      <c r="AY2" s="130"/>
      <c r="AZ2" s="130"/>
      <c r="BA2" s="50">
        <v>0</v>
      </c>
    </row>
    <row r="3" ht="21" hidden="1" customHeight="1">
      <c r="A3" s="480"/>
      <c r="B3" s="480"/>
      <c r="C3" s="480"/>
      <c r="D3" s="480"/>
      <c r="E3" s="492"/>
      <c r="F3" s="481">
        <v>1</v>
      </c>
      <c r="G3" s="480"/>
      <c r="H3" s="480"/>
      <c r="I3" s="480"/>
      <c r="J3" s="480"/>
      <c r="K3" s="480"/>
      <c r="L3" s="482"/>
      <c r="M3" s="483"/>
      <c r="N3" s="483"/>
      <c r="O3" s="483"/>
      <c r="P3" s="114"/>
      <c r="Q3" s="630"/>
      <c r="R3" s="494"/>
      <c r="S3" s="485" t="e">
        <f>INDEX(PT_DIFFERENTIATION_NUM_TER,MATCH(B3,PT_DIFFERENTIATION_TER_ID,0))</f>
        <v>#VALUE!</v>
      </c>
      <c r="T3" s="495" t="s">
        <v>391</v>
      </c>
      <c r="U3" s="487"/>
      <c r="V3" s="489"/>
      <c r="W3" s="489"/>
      <c r="X3" s="489"/>
      <c r="Y3" s="489"/>
      <c r="Z3" s="489"/>
      <c r="AA3" s="490"/>
      <c r="AB3" s="488" t="e">
        <f>INDEX(PT_DIFFERENTIATION_TER,MATCH(B3,PT_DIFFERENTIATION_TER_ID,0))</f>
        <v>#VALUE!</v>
      </c>
      <c r="AC3" s="489"/>
      <c r="AD3" s="489"/>
      <c r="AE3" s="489"/>
      <c r="AF3" s="489"/>
      <c r="AG3" s="489"/>
      <c r="AH3" s="489"/>
      <c r="AI3" s="489"/>
      <c r="AJ3" s="489"/>
      <c r="AK3" s="489"/>
      <c r="AL3" s="489"/>
      <c r="AM3" s="489"/>
      <c r="AN3" s="489"/>
      <c r="AO3" s="489"/>
      <c r="AP3" s="489"/>
      <c r="AQ3" s="489"/>
      <c r="AR3" s="489"/>
      <c r="AS3" s="489"/>
      <c r="AT3" s="490"/>
      <c r="AU3" s="491" t="s">
        <v>392</v>
      </c>
      <c r="AW3" s="130"/>
      <c r="AX3" s="130" t="str">
        <f t="shared" si="21"/>
        <v xml:space="preserve">Территория действия тарифа</v>
      </c>
      <c r="AY3" s="130"/>
      <c r="AZ3" s="130"/>
      <c r="BA3" s="50">
        <v>0</v>
      </c>
    </row>
    <row r="4" ht="22.5" hidden="1" customHeight="1">
      <c r="A4" s="480"/>
      <c r="B4" s="480"/>
      <c r="C4" s="480"/>
      <c r="D4" s="480"/>
      <c r="E4" s="492"/>
      <c r="F4" s="492"/>
      <c r="G4" s="481">
        <v>1</v>
      </c>
      <c r="H4" s="480"/>
      <c r="I4" s="480"/>
      <c r="J4" s="480"/>
      <c r="K4" s="480"/>
      <c r="L4" s="482"/>
      <c r="M4" s="483"/>
      <c r="N4" s="483"/>
      <c r="O4" s="483"/>
      <c r="P4" s="136"/>
      <c r="Q4" s="630"/>
      <c r="R4" s="494"/>
      <c r="S4" s="485" t="e">
        <f>INDEX(PT_DIFFERENTIATION_NUM_CS,MATCH(C4,PT_DIFFERENTIATION_CS_ID,0))</f>
        <v>#VALUE!</v>
      </c>
      <c r="T4" s="497" t="s">
        <v>393</v>
      </c>
      <c r="U4" s="487"/>
      <c r="V4" s="489"/>
      <c r="W4" s="489"/>
      <c r="X4" s="489"/>
      <c r="Y4" s="489"/>
      <c r="Z4" s="489"/>
      <c r="AA4" s="490"/>
      <c r="AB4" s="488" t="e">
        <f>INDEX(PT_DIFFERENTIATION_CS,MATCH(C4,PT_DIFFERENTIATION_CS_ID,0))</f>
        <v>#VALUE!</v>
      </c>
      <c r="AC4" s="489"/>
      <c r="AD4" s="489"/>
      <c r="AE4" s="489"/>
      <c r="AF4" s="489"/>
      <c r="AG4" s="489"/>
      <c r="AH4" s="489"/>
      <c r="AI4" s="489"/>
      <c r="AJ4" s="489"/>
      <c r="AK4" s="489"/>
      <c r="AL4" s="489"/>
      <c r="AM4" s="489"/>
      <c r="AN4" s="489"/>
      <c r="AO4" s="489"/>
      <c r="AP4" s="489"/>
      <c r="AQ4" s="489"/>
      <c r="AR4" s="489"/>
      <c r="AS4" s="489"/>
      <c r="AT4" s="490"/>
      <c r="AU4" s="491" t="s">
        <v>394</v>
      </c>
      <c r="AW4" s="130"/>
      <c r="AX4" s="130" t="str">
        <f t="shared" si="21"/>
        <v xml:space="preserve">Наименование системы теплоснабжения </v>
      </c>
      <c r="AY4" s="130"/>
      <c r="AZ4" s="130"/>
      <c r="BA4" s="50">
        <v>0</v>
      </c>
    </row>
    <row r="5" ht="21" hidden="1" customHeight="1">
      <c r="A5" s="480"/>
      <c r="B5" s="480"/>
      <c r="C5" s="480"/>
      <c r="D5" s="480"/>
      <c r="E5" s="492"/>
      <c r="F5" s="492"/>
      <c r="G5" s="492"/>
      <c r="H5" s="481">
        <v>1</v>
      </c>
      <c r="I5" s="480"/>
      <c r="J5" s="480"/>
      <c r="K5" s="480"/>
      <c r="L5" s="482"/>
      <c r="M5" s="483"/>
      <c r="N5" s="483"/>
      <c r="O5" s="483"/>
      <c r="P5" s="136"/>
      <c r="Q5" s="630"/>
      <c r="R5" s="494"/>
      <c r="S5" s="485" t="e">
        <f>INDEX(PT_DIFFERENTIATION_NUM_IST_TE,MATCH(D5,PT_DIFFERENTIATION_IST_TE_ID,0))</f>
        <v>#VALUE!</v>
      </c>
      <c r="T5" s="498" t="s">
        <v>395</v>
      </c>
      <c r="U5" s="487"/>
      <c r="V5" s="489"/>
      <c r="W5" s="489"/>
      <c r="X5" s="489"/>
      <c r="Y5" s="489"/>
      <c r="Z5" s="489"/>
      <c r="AA5" s="490"/>
      <c r="AB5" s="488" t="e">
        <f>INDEX(PT_DIFFERENTIATION_IST_TE,MATCH(D5,PT_DIFFERENTIATION_IST_TE_ID,0))</f>
        <v>#VALUE!</v>
      </c>
      <c r="AC5" s="489"/>
      <c r="AD5" s="489"/>
      <c r="AE5" s="489"/>
      <c r="AF5" s="489"/>
      <c r="AG5" s="489"/>
      <c r="AH5" s="489"/>
      <c r="AI5" s="489"/>
      <c r="AJ5" s="489"/>
      <c r="AK5" s="489"/>
      <c r="AL5" s="489"/>
      <c r="AM5" s="489"/>
      <c r="AN5" s="489"/>
      <c r="AO5" s="489"/>
      <c r="AP5" s="489"/>
      <c r="AQ5" s="489"/>
      <c r="AR5" s="489"/>
      <c r="AS5" s="489"/>
      <c r="AT5" s="490"/>
      <c r="AU5" s="491" t="s">
        <v>396</v>
      </c>
      <c r="AW5" s="130"/>
      <c r="AX5" s="130" t="str">
        <f t="shared" si="21"/>
        <v xml:space="preserve">Источник тепловой энергии  </v>
      </c>
      <c r="AY5" s="130"/>
      <c r="AZ5" s="130"/>
      <c r="BA5" s="50">
        <v>0</v>
      </c>
    </row>
    <row r="6" s="57" customFormat="1" ht="0.75" hidden="1" customHeight="1">
      <c r="A6" s="134"/>
      <c r="B6" s="134"/>
      <c r="C6" s="134"/>
      <c r="D6" s="134"/>
      <c r="E6" s="492"/>
      <c r="F6" s="492"/>
      <c r="G6" s="492"/>
      <c r="H6" s="492"/>
      <c r="I6" s="499" t="e">
        <f>S5&amp;".1"</f>
        <v>#VALUE!</v>
      </c>
      <c r="J6" s="134"/>
      <c r="K6" s="134"/>
      <c r="L6" s="213" t="s">
        <v>397</v>
      </c>
      <c r="M6" s="597"/>
      <c r="N6" s="597"/>
      <c r="O6" s="597"/>
      <c r="P6" s="133">
        <v>1</v>
      </c>
      <c r="Q6" s="133"/>
      <c r="R6" s="500"/>
      <c r="S6" s="352"/>
      <c r="T6" s="587"/>
      <c r="U6" s="588"/>
      <c r="V6" s="590"/>
      <c r="W6" s="590"/>
      <c r="X6" s="590"/>
      <c r="Y6" s="590"/>
      <c r="Z6" s="590"/>
      <c r="AA6" s="591"/>
      <c r="AB6" s="589"/>
      <c r="AC6" s="590"/>
      <c r="AD6" s="590"/>
      <c r="AE6" s="590"/>
      <c r="AF6" s="590"/>
      <c r="AG6" s="590"/>
      <c r="AH6" s="590"/>
      <c r="AI6" s="590"/>
      <c r="AJ6" s="590"/>
      <c r="AK6" s="590"/>
      <c r="AL6" s="590"/>
      <c r="AM6" s="590"/>
      <c r="AN6" s="590"/>
      <c r="AO6" s="590"/>
      <c r="AP6" s="590"/>
      <c r="AQ6" s="590"/>
      <c r="AR6" s="590"/>
      <c r="AS6" s="590"/>
      <c r="AT6" s="591"/>
      <c r="AU6" s="592"/>
      <c r="AW6" s="130"/>
      <c r="AX6" s="130" t="str">
        <f t="shared" si="21"/>
        <v/>
      </c>
      <c r="AY6" s="130"/>
      <c r="AZ6" s="130"/>
      <c r="BA6" s="57">
        <v>0</v>
      </c>
    </row>
    <row r="7" s="57" customFormat="1" ht="0.75" hidden="1" customHeight="1">
      <c r="A7" s="134"/>
      <c r="B7" s="134"/>
      <c r="C7" s="134"/>
      <c r="D7" s="134"/>
      <c r="E7" s="492"/>
      <c r="F7" s="492"/>
      <c r="G7" s="492"/>
      <c r="H7" s="492"/>
      <c r="I7" s="504"/>
      <c r="J7" s="499" t="e">
        <f>S5&amp;".1"</f>
        <v>#VALUE!</v>
      </c>
      <c r="K7" s="134"/>
      <c r="L7" s="213"/>
      <c r="M7" s="597"/>
      <c r="N7" s="597"/>
      <c r="O7" s="597"/>
      <c r="P7" s="133"/>
      <c r="Q7" s="133">
        <v>1</v>
      </c>
      <c r="R7" s="505"/>
      <c r="S7" s="352"/>
      <c r="T7" s="631"/>
      <c r="U7" s="588"/>
      <c r="V7" s="590"/>
      <c r="W7" s="590"/>
      <c r="X7" s="590"/>
      <c r="Y7" s="590"/>
      <c r="Z7" s="590"/>
      <c r="AA7" s="591"/>
      <c r="AB7" s="589"/>
      <c r="AC7" s="590"/>
      <c r="AD7" s="590"/>
      <c r="AE7" s="590"/>
      <c r="AF7" s="590"/>
      <c r="AG7" s="590"/>
      <c r="AH7" s="590"/>
      <c r="AI7" s="590"/>
      <c r="AJ7" s="590"/>
      <c r="AK7" s="590"/>
      <c r="AL7" s="590"/>
      <c r="AM7" s="590"/>
      <c r="AN7" s="590"/>
      <c r="AO7" s="590"/>
      <c r="AP7" s="590"/>
      <c r="AQ7" s="590"/>
      <c r="AR7" s="590"/>
      <c r="AS7" s="590"/>
      <c r="AT7" s="591"/>
      <c r="AU7" s="592"/>
      <c r="AW7" s="130"/>
      <c r="AX7" s="130" t="str">
        <f t="shared" si="21"/>
        <v/>
      </c>
      <c r="AY7" s="130"/>
      <c r="AZ7" s="130"/>
      <c r="BA7" s="57">
        <v>0</v>
      </c>
    </row>
    <row r="8" ht="21" hidden="1" customHeight="1">
      <c r="A8" s="480"/>
      <c r="B8" s="480"/>
      <c r="C8" s="480"/>
      <c r="D8" s="480"/>
      <c r="E8" s="492"/>
      <c r="F8" s="492"/>
      <c r="G8" s="492"/>
      <c r="H8" s="492"/>
      <c r="I8" s="504"/>
      <c r="J8" s="504"/>
      <c r="K8" s="499" t="e">
        <f>S5&amp;".1"</f>
        <v>#VALUE!</v>
      </c>
      <c r="L8" s="482"/>
      <c r="P8" s="133"/>
      <c r="Q8" s="133"/>
      <c r="R8" s="632">
        <v>1</v>
      </c>
      <c r="S8" s="599" t="e">
        <f>$K8</f>
        <v>#VALUE!</v>
      </c>
      <c r="T8" s="633"/>
      <c r="U8" s="487"/>
      <c r="V8" s="508"/>
      <c r="W8" s="510"/>
      <c r="X8" s="511"/>
      <c r="Y8" s="225" t="s">
        <v>64</v>
      </c>
      <c r="Z8" s="511"/>
      <c r="AA8" s="225" t="s">
        <v>64</v>
      </c>
      <c r="AB8" s="225" t="s">
        <v>19</v>
      </c>
      <c r="AC8" s="634"/>
      <c r="AD8" s="346">
        <v>1</v>
      </c>
      <c r="AE8" s="87"/>
      <c r="AF8" s="225" t="s">
        <v>19</v>
      </c>
      <c r="AG8" s="634"/>
      <c r="AH8" s="346">
        <v>1</v>
      </c>
      <c r="AI8" s="87"/>
      <c r="AJ8" s="225" t="s">
        <v>19</v>
      </c>
      <c r="AK8" s="635"/>
      <c r="AL8" s="346">
        <v>1</v>
      </c>
      <c r="AM8" s="116"/>
      <c r="AN8" s="508"/>
      <c r="AO8" s="510"/>
      <c r="AP8" s="511"/>
      <c r="AQ8" s="225" t="s">
        <v>64</v>
      </c>
      <c r="AR8" s="511"/>
      <c r="AS8" s="225" t="s">
        <v>64</v>
      </c>
      <c r="AT8" s="572"/>
      <c r="AU8" s="512" t="s">
        <v>458</v>
      </c>
      <c r="AV8" s="57" t="e">
        <f>STRCHECKDATE(V11:AT11)</f>
        <v>#NAME?</v>
      </c>
      <c r="AW8" s="130"/>
      <c r="AX8" s="130" t="str">
        <f t="shared" si="21"/>
        <v/>
      </c>
      <c r="AY8" s="130"/>
      <c r="AZ8" s="130"/>
      <c r="BA8" s="50">
        <v>0</v>
      </c>
    </row>
    <row r="9" ht="11.25" hidden="1" customHeight="1">
      <c r="A9" s="480"/>
      <c r="B9" s="480"/>
      <c r="C9" s="480"/>
      <c r="D9" s="480"/>
      <c r="E9" s="492"/>
      <c r="F9" s="492"/>
      <c r="G9" s="492"/>
      <c r="H9" s="492"/>
      <c r="I9" s="504"/>
      <c r="J9" s="504"/>
      <c r="K9" s="499"/>
      <c r="L9" s="482"/>
      <c r="P9" s="133"/>
      <c r="Q9" s="133"/>
      <c r="R9" s="632"/>
      <c r="S9" s="636"/>
      <c r="T9" s="637"/>
      <c r="U9" s="487"/>
      <c r="V9" s="623"/>
      <c r="W9" s="638"/>
      <c r="X9" s="511"/>
      <c r="Y9" s="225"/>
      <c r="Z9" s="511"/>
      <c r="AA9" s="225"/>
      <c r="AB9" s="225"/>
      <c r="AC9" s="634"/>
      <c r="AD9" s="346"/>
      <c r="AE9" s="87"/>
      <c r="AF9" s="225"/>
      <c r="AG9" s="634"/>
      <c r="AH9" s="346"/>
      <c r="AI9" s="87"/>
      <c r="AJ9" s="225"/>
      <c r="AK9" s="639"/>
      <c r="AL9" s="178"/>
      <c r="AM9" s="173" t="s">
        <v>459</v>
      </c>
      <c r="AN9" s="623"/>
      <c r="AO9" s="640"/>
      <c r="AP9" s="623"/>
      <c r="AQ9" s="623"/>
      <c r="AR9" s="623"/>
      <c r="AS9" s="623"/>
      <c r="AT9" s="641"/>
      <c r="AU9" s="515"/>
      <c r="AW9" s="130"/>
      <c r="AX9" s="130"/>
      <c r="AY9" s="130"/>
      <c r="AZ9" s="130"/>
      <c r="BA9" s="50">
        <v>0</v>
      </c>
    </row>
    <row r="10" ht="11.25" hidden="1" customHeight="1">
      <c r="A10" s="480"/>
      <c r="B10" s="480"/>
      <c r="C10" s="480"/>
      <c r="D10" s="480"/>
      <c r="E10" s="492"/>
      <c r="F10" s="492"/>
      <c r="G10" s="492"/>
      <c r="H10" s="492"/>
      <c r="I10" s="504"/>
      <c r="J10" s="504"/>
      <c r="K10" s="499"/>
      <c r="L10" s="482"/>
      <c r="P10" s="133"/>
      <c r="Q10" s="133"/>
      <c r="R10" s="632"/>
      <c r="S10" s="636"/>
      <c r="T10" s="637"/>
      <c r="U10" s="487"/>
      <c r="V10" s="623"/>
      <c r="W10" s="638"/>
      <c r="X10" s="511"/>
      <c r="Y10" s="225"/>
      <c r="Z10" s="511"/>
      <c r="AA10" s="225"/>
      <c r="AB10" s="225"/>
      <c r="AC10" s="634"/>
      <c r="AD10" s="346"/>
      <c r="AE10" s="87"/>
      <c r="AF10" s="225"/>
      <c r="AG10" s="642"/>
      <c r="AH10" s="173"/>
      <c r="AI10" s="173" t="s">
        <v>460</v>
      </c>
      <c r="AJ10" s="623"/>
      <c r="AK10" s="623"/>
      <c r="AL10" s="623"/>
      <c r="AM10" s="623"/>
      <c r="AN10" s="623"/>
      <c r="AO10" s="640"/>
      <c r="AP10" s="623"/>
      <c r="AQ10" s="623"/>
      <c r="AR10" s="623"/>
      <c r="AS10" s="623"/>
      <c r="AT10" s="641"/>
      <c r="AU10" s="515"/>
      <c r="AW10" s="130"/>
      <c r="AX10" s="130"/>
      <c r="AY10" s="130"/>
      <c r="AZ10" s="130"/>
      <c r="BA10" s="50">
        <v>0</v>
      </c>
    </row>
    <row r="11" ht="11.25" hidden="1" customHeight="1">
      <c r="A11" s="480"/>
      <c r="B11" s="480"/>
      <c r="C11" s="480"/>
      <c r="D11" s="480"/>
      <c r="E11" s="492"/>
      <c r="F11" s="492"/>
      <c r="G11" s="492"/>
      <c r="H11" s="492"/>
      <c r="I11" s="504"/>
      <c r="J11" s="504"/>
      <c r="K11" s="499"/>
      <c r="L11" s="482"/>
      <c r="P11" s="133"/>
      <c r="Q11" s="133"/>
      <c r="R11" s="632"/>
      <c r="S11" s="609"/>
      <c r="T11" s="643"/>
      <c r="U11" s="487"/>
      <c r="V11" s="623"/>
      <c r="W11" s="644" t="str">
        <f>X8&amp;"-"&amp;Z8</f>
        <v>-</v>
      </c>
      <c r="X11" s="514"/>
      <c r="Y11" s="225"/>
      <c r="Z11" s="514"/>
      <c r="AA11" s="225"/>
      <c r="AB11" s="225"/>
      <c r="AC11" s="645"/>
      <c r="AD11" s="646"/>
      <c r="AE11" s="173" t="s">
        <v>461</v>
      </c>
      <c r="AF11" s="623"/>
      <c r="AG11" s="623"/>
      <c r="AH11" s="623"/>
      <c r="AI11" s="623"/>
      <c r="AJ11" s="623"/>
      <c r="AK11" s="623"/>
      <c r="AL11" s="623"/>
      <c r="AM11" s="623"/>
      <c r="AN11" s="623"/>
      <c r="AO11" s="624" t="str">
        <f>AP8&amp;"-"&amp;AR8</f>
        <v>-</v>
      </c>
      <c r="AP11" s="623"/>
      <c r="AQ11" s="623"/>
      <c r="AR11" s="623"/>
      <c r="AS11" s="623"/>
      <c r="AT11" s="574"/>
      <c r="AU11" s="515"/>
      <c r="AW11" s="130"/>
      <c r="AX11" s="130" t="str">
        <f t="shared" ref="AX11:AX62" si="22">IF(T11="","",T11)</f>
        <v/>
      </c>
      <c r="AY11" s="130"/>
      <c r="AZ11" s="130"/>
      <c r="BA11" s="50">
        <v>0</v>
      </c>
    </row>
    <row r="12" ht="11.25" hidden="1" customHeight="1">
      <c r="A12" s="480"/>
      <c r="B12" s="480"/>
      <c r="C12" s="480"/>
      <c r="D12" s="480"/>
      <c r="E12" s="492"/>
      <c r="F12" s="492"/>
      <c r="G12" s="492"/>
      <c r="H12" s="492"/>
      <c r="I12" s="504"/>
      <c r="J12" s="499"/>
      <c r="K12" s="480"/>
      <c r="L12" s="482"/>
      <c r="P12" s="133"/>
      <c r="Q12" s="133"/>
      <c r="R12" s="500"/>
      <c r="S12" s="516"/>
      <c r="T12" s="520" t="s">
        <v>462</v>
      </c>
      <c r="U12" s="215"/>
      <c r="V12" s="215"/>
      <c r="W12" s="215"/>
      <c r="X12" s="215"/>
      <c r="Y12" s="215"/>
      <c r="Z12" s="215"/>
      <c r="AA12" s="215"/>
      <c r="AB12" s="215"/>
      <c r="AC12" s="215"/>
      <c r="AD12" s="215"/>
      <c r="AE12" s="215"/>
      <c r="AF12" s="215"/>
      <c r="AG12" s="215"/>
      <c r="AH12" s="215"/>
      <c r="AI12" s="215"/>
      <c r="AJ12" s="215"/>
      <c r="AK12" s="215"/>
      <c r="AL12" s="215"/>
      <c r="AM12" s="215"/>
      <c r="AN12" s="215"/>
      <c r="AO12" s="215"/>
      <c r="AP12" s="215"/>
      <c r="AQ12" s="215"/>
      <c r="AR12" s="215"/>
      <c r="AS12" s="215"/>
      <c r="AT12" s="518"/>
      <c r="AU12" s="519"/>
      <c r="AW12" s="130"/>
      <c r="AX12" s="130" t="str">
        <f t="shared" si="22"/>
        <v xml:space="preserve">Добавить строку</v>
      </c>
      <c r="AY12" s="130"/>
      <c r="AZ12" s="130"/>
      <c r="BA12" s="50">
        <v>0</v>
      </c>
    </row>
    <row r="13" s="57" customFormat="1" ht="0.75" hidden="1" customHeight="1">
      <c r="A13" s="134"/>
      <c r="B13" s="134"/>
      <c r="C13" s="134"/>
      <c r="D13" s="134"/>
      <c r="E13" s="492"/>
      <c r="F13" s="492"/>
      <c r="G13" s="492"/>
      <c r="H13" s="492"/>
      <c r="I13" s="499"/>
      <c r="J13" s="134"/>
      <c r="K13" s="134"/>
      <c r="L13" s="213"/>
      <c r="M13" s="597"/>
      <c r="N13" s="597"/>
      <c r="O13" s="597"/>
      <c r="P13" s="133"/>
      <c r="Q13" s="133"/>
      <c r="R13" s="500"/>
      <c r="S13" s="593"/>
      <c r="T13" s="594"/>
      <c r="U13" s="595"/>
      <c r="V13" s="595"/>
      <c r="W13" s="595"/>
      <c r="X13" s="595"/>
      <c r="Y13" s="595"/>
      <c r="Z13" s="595"/>
      <c r="AA13" s="595"/>
      <c r="AB13" s="595"/>
      <c r="AC13" s="595"/>
      <c r="AD13" s="595"/>
      <c r="AE13" s="595"/>
      <c r="AF13" s="595"/>
      <c r="AG13" s="595"/>
      <c r="AH13" s="595"/>
      <c r="AI13" s="595"/>
      <c r="AJ13" s="595"/>
      <c r="AK13" s="595"/>
      <c r="AL13" s="595"/>
      <c r="AM13" s="595"/>
      <c r="AN13" s="595"/>
      <c r="AO13" s="595"/>
      <c r="AP13" s="595"/>
      <c r="AQ13" s="595"/>
      <c r="AR13" s="595"/>
      <c r="AS13" s="595"/>
      <c r="AT13" s="595"/>
      <c r="AU13" s="596"/>
      <c r="AW13" s="130"/>
      <c r="AX13" s="130" t="str">
        <f t="shared" si="22"/>
        <v/>
      </c>
      <c r="AY13" s="130"/>
      <c r="AZ13" s="130"/>
      <c r="BA13" s="57">
        <v>0</v>
      </c>
    </row>
    <row r="14" s="57" customFormat="1" ht="0.75" hidden="1" customHeight="1">
      <c r="A14" s="134"/>
      <c r="B14" s="134"/>
      <c r="C14" s="134"/>
      <c r="D14" s="134"/>
      <c r="E14" s="492"/>
      <c r="F14" s="492"/>
      <c r="G14" s="492"/>
      <c r="H14" s="481"/>
      <c r="I14" s="134"/>
      <c r="J14" s="134"/>
      <c r="K14" s="134"/>
      <c r="L14" s="213"/>
      <c r="M14" s="465"/>
      <c r="N14" s="465"/>
      <c r="O14" s="57"/>
      <c r="P14" s="168"/>
      <c r="Q14" s="525"/>
      <c r="R14" s="647"/>
      <c r="S14" s="593"/>
      <c r="T14" s="594"/>
      <c r="U14" s="595"/>
      <c r="V14" s="595"/>
      <c r="W14" s="595"/>
      <c r="X14" s="595"/>
      <c r="Y14" s="595"/>
      <c r="Z14" s="595"/>
      <c r="AA14" s="595"/>
      <c r="AB14" s="595"/>
      <c r="AC14" s="595"/>
      <c r="AD14" s="595"/>
      <c r="AE14" s="595"/>
      <c r="AF14" s="595"/>
      <c r="AG14" s="595"/>
      <c r="AH14" s="595"/>
      <c r="AI14" s="595"/>
      <c r="AJ14" s="595"/>
      <c r="AK14" s="595"/>
      <c r="AL14" s="595"/>
      <c r="AM14" s="595"/>
      <c r="AN14" s="595"/>
      <c r="AO14" s="595"/>
      <c r="AP14" s="595"/>
      <c r="AQ14" s="595"/>
      <c r="AR14" s="595"/>
      <c r="AS14" s="595"/>
      <c r="AT14" s="595"/>
      <c r="AU14" s="596"/>
      <c r="AW14" s="130"/>
      <c r="AX14" s="130" t="str">
        <f t="shared" si="22"/>
        <v/>
      </c>
      <c r="AY14" s="130"/>
      <c r="AZ14" s="130"/>
      <c r="BA14" s="57">
        <v>0</v>
      </c>
    </row>
    <row r="15" s="57" customFormat="1" ht="0.75" hidden="1" customHeight="1">
      <c r="A15" s="134"/>
      <c r="B15" s="134"/>
      <c r="C15" s="134"/>
      <c r="D15" s="134"/>
      <c r="E15" s="492"/>
      <c r="F15" s="492"/>
      <c r="G15" s="481"/>
      <c r="H15" s="134"/>
      <c r="I15" s="134"/>
      <c r="J15" s="134"/>
      <c r="K15" s="134"/>
      <c r="L15" s="213"/>
      <c r="M15" s="465"/>
      <c r="N15" s="465"/>
      <c r="P15" s="168"/>
      <c r="Q15" s="525"/>
      <c r="R15" s="168"/>
      <c r="S15" s="530"/>
      <c r="T15" s="533" t="s">
        <v>408</v>
      </c>
      <c r="U15" s="532"/>
      <c r="V15" s="532"/>
      <c r="W15" s="532"/>
      <c r="X15" s="532"/>
      <c r="Y15" s="532"/>
      <c r="Z15" s="532"/>
      <c r="AA15" s="532"/>
      <c r="AB15" s="532"/>
      <c r="AC15" s="532"/>
      <c r="AD15" s="532"/>
      <c r="AE15" s="532"/>
      <c r="AF15" s="532"/>
      <c r="AG15" s="532"/>
      <c r="AH15" s="532"/>
      <c r="AI15" s="532"/>
      <c r="AJ15" s="532"/>
      <c r="AK15" s="532"/>
      <c r="AL15" s="532"/>
      <c r="AM15" s="532"/>
      <c r="AN15" s="532"/>
      <c r="AO15" s="532"/>
      <c r="AP15" s="532"/>
      <c r="AQ15" s="532"/>
      <c r="AR15" s="532"/>
      <c r="AS15" s="532"/>
      <c r="AT15" s="532"/>
      <c r="AU15" s="532"/>
      <c r="AW15" s="130"/>
      <c r="AX15" s="130" t="str">
        <f t="shared" si="22"/>
        <v xml:space="preserve">Добавить источник для дифференциации</v>
      </c>
      <c r="AY15" s="130"/>
      <c r="AZ15" s="130"/>
      <c r="BA15" s="57">
        <v>0</v>
      </c>
    </row>
    <row r="16" s="57" customFormat="1" ht="0.75" hidden="1" customHeight="1">
      <c r="A16" s="134"/>
      <c r="B16" s="134"/>
      <c r="C16" s="134"/>
      <c r="D16" s="134"/>
      <c r="E16" s="492"/>
      <c r="F16" s="481"/>
      <c r="G16" s="134"/>
      <c r="H16" s="134"/>
      <c r="I16" s="134"/>
      <c r="J16" s="134"/>
      <c r="K16" s="134"/>
      <c r="L16" s="213"/>
      <c r="M16" s="529"/>
      <c r="N16" s="529"/>
      <c r="P16" s="168"/>
      <c r="Q16" s="525"/>
      <c r="R16" s="168"/>
      <c r="S16" s="530"/>
      <c r="T16" s="533" t="s">
        <v>409</v>
      </c>
      <c r="U16" s="532"/>
      <c r="V16" s="532"/>
      <c r="W16" s="532"/>
      <c r="X16" s="532"/>
      <c r="Y16" s="532"/>
      <c r="Z16" s="532"/>
      <c r="AA16" s="532"/>
      <c r="AB16" s="532"/>
      <c r="AC16" s="532"/>
      <c r="AD16" s="532"/>
      <c r="AE16" s="532"/>
      <c r="AF16" s="532"/>
      <c r="AG16" s="532"/>
      <c r="AH16" s="532"/>
      <c r="AI16" s="532"/>
      <c r="AJ16" s="532"/>
      <c r="AK16" s="532"/>
      <c r="AL16" s="532"/>
      <c r="AM16" s="532"/>
      <c r="AN16" s="532"/>
      <c r="AO16" s="532"/>
      <c r="AP16" s="532"/>
      <c r="AQ16" s="532"/>
      <c r="AR16" s="532"/>
      <c r="AS16" s="532"/>
      <c r="AT16" s="532"/>
      <c r="AU16" s="532"/>
      <c r="AW16" s="130"/>
      <c r="AX16" s="130" t="str">
        <f t="shared" si="22"/>
        <v xml:space="preserve">Добавить централизованную систему для дифференциации</v>
      </c>
      <c r="AY16" s="130"/>
      <c r="AZ16" s="130"/>
      <c r="BA16" s="57">
        <v>0</v>
      </c>
    </row>
    <row r="17" s="57" customFormat="1" ht="0.75" hidden="1" customHeight="1">
      <c r="A17" s="134"/>
      <c r="B17" s="134"/>
      <c r="C17" s="134"/>
      <c r="D17" s="134"/>
      <c r="E17" s="481"/>
      <c r="F17" s="134"/>
      <c r="G17" s="134"/>
      <c r="H17" s="134"/>
      <c r="I17" s="134"/>
      <c r="J17" s="134"/>
      <c r="K17" s="134"/>
      <c r="L17" s="213"/>
      <c r="M17" s="529"/>
      <c r="N17" s="529"/>
      <c r="O17" s="57"/>
      <c r="P17" s="168"/>
      <c r="Q17" s="525"/>
      <c r="R17" s="168"/>
      <c r="S17" s="530"/>
      <c r="T17" s="533" t="s">
        <v>410</v>
      </c>
      <c r="U17" s="532"/>
      <c r="V17" s="532"/>
      <c r="W17" s="532"/>
      <c r="X17" s="532"/>
      <c r="Y17" s="532"/>
      <c r="Z17" s="532"/>
      <c r="AA17" s="532"/>
      <c r="AB17" s="532"/>
      <c r="AC17" s="532"/>
      <c r="AD17" s="532"/>
      <c r="AE17" s="532"/>
      <c r="AF17" s="532"/>
      <c r="AG17" s="532"/>
      <c r="AH17" s="532"/>
      <c r="AI17" s="532"/>
      <c r="AJ17" s="532"/>
      <c r="AK17" s="532"/>
      <c r="AL17" s="532"/>
      <c r="AM17" s="532"/>
      <c r="AN17" s="532"/>
      <c r="AO17" s="532"/>
      <c r="AP17" s="532"/>
      <c r="AQ17" s="532"/>
      <c r="AR17" s="532"/>
      <c r="AS17" s="532"/>
      <c r="AT17" s="532"/>
      <c r="AU17" s="532"/>
      <c r="AW17" s="130"/>
      <c r="AX17" s="130" t="str">
        <f t="shared" si="22"/>
        <v xml:space="preserve">Добавить территорию для дифференциации</v>
      </c>
      <c r="AY17" s="130"/>
      <c r="AZ17" s="130"/>
      <c r="BA17" s="57">
        <v>0</v>
      </c>
    </row>
    <row r="18" ht="14.25" hidden="1" customHeight="1">
      <c r="AA18" s="50"/>
      <c r="AS18" s="50"/>
      <c r="BA18" s="50">
        <v>0</v>
      </c>
    </row>
    <row r="19" ht="14.25" hidden="1" customHeight="1">
      <c r="AB19" s="532" t="s">
        <v>19</v>
      </c>
      <c r="AC19" s="648"/>
      <c r="AD19" s="532">
        <v>1</v>
      </c>
      <c r="AE19" s="649"/>
      <c r="AF19" s="532" t="s">
        <v>19</v>
      </c>
      <c r="AG19" s="648"/>
      <c r="AH19" s="532">
        <v>1</v>
      </c>
      <c r="AI19" s="649"/>
      <c r="AJ19" s="532" t="s">
        <v>19</v>
      </c>
      <c r="AK19" s="650"/>
      <c r="AL19" s="532">
        <v>1</v>
      </c>
      <c r="AM19" s="651"/>
      <c r="AN19" s="652"/>
      <c r="AO19" s="653"/>
      <c r="AP19" s="654"/>
      <c r="AQ19" s="655" t="s">
        <v>64</v>
      </c>
      <c r="AR19" s="654"/>
      <c r="AS19" s="655" t="s">
        <v>64</v>
      </c>
      <c r="BA19" s="50">
        <v>0</v>
      </c>
    </row>
    <row r="20" ht="14.25" hidden="1" customHeight="1">
      <c r="AV20" s="132"/>
      <c r="AW20" s="132"/>
      <c r="AX20" s="132"/>
      <c r="AY20" s="132"/>
      <c r="AZ20" s="132"/>
      <c r="BA20" s="50">
        <v>0</v>
      </c>
    </row>
    <row r="21" ht="14.25" hidden="1" customHeight="1">
      <c r="O21" s="538" t="s">
        <v>411</v>
      </c>
      <c r="X21" s="582"/>
      <c r="Z21" s="582"/>
      <c r="AA21" s="50"/>
      <c r="AP21" s="582"/>
      <c r="AR21" s="582"/>
      <c r="AS21" s="50"/>
      <c r="AV21" s="132"/>
      <c r="AW21" s="132"/>
      <c r="AX21" s="132"/>
      <c r="AY21" s="132"/>
      <c r="AZ21" s="132"/>
      <c r="BA21" s="50">
        <v>0</v>
      </c>
    </row>
    <row r="22" ht="14.25" hidden="1" customHeight="1">
      <c r="AA22" s="50"/>
      <c r="AS22" s="50"/>
      <c r="AV22" s="132"/>
      <c r="AW22" s="132"/>
      <c r="AX22" s="132"/>
      <c r="AY22" s="132"/>
      <c r="AZ22" s="132"/>
      <c r="BA22" s="50">
        <v>0</v>
      </c>
    </row>
    <row r="23" s="656" customFormat="1" ht="14.25" hidden="1" customHeight="1">
      <c r="M23" s="657"/>
      <c r="N23" s="657"/>
      <c r="O23" s="656" t="s">
        <v>412</v>
      </c>
      <c r="P23" s="657"/>
      <c r="Q23" s="658"/>
      <c r="R23" s="658"/>
      <c r="Y23" s="656" t="s">
        <v>414</v>
      </c>
      <c r="AA23" s="656" t="s">
        <v>415</v>
      </c>
      <c r="AB23" s="656" t="s">
        <v>463</v>
      </c>
      <c r="AE23" s="656" t="s">
        <v>464</v>
      </c>
      <c r="AF23" s="656" t="s">
        <v>463</v>
      </c>
      <c r="AI23" s="656" t="s">
        <v>465</v>
      </c>
      <c r="AJ23" s="656" t="s">
        <v>463</v>
      </c>
      <c r="AM23" s="656" t="s">
        <v>466</v>
      </c>
      <c r="AQ23" s="656" t="s">
        <v>414</v>
      </c>
      <c r="AS23" s="656" t="s">
        <v>415</v>
      </c>
      <c r="AV23" s="659"/>
      <c r="AW23" s="659"/>
      <c r="AX23" s="659"/>
      <c r="AY23" s="659"/>
      <c r="AZ23" s="659"/>
      <c r="BA23" s="656">
        <v>0</v>
      </c>
    </row>
    <row r="24" ht="14.25" hidden="1" customHeight="1">
      <c r="O24" s="482"/>
      <c r="AV24" s="132"/>
      <c r="AW24" s="132"/>
      <c r="AX24" s="132"/>
      <c r="AY24" s="132"/>
      <c r="AZ24" s="132"/>
      <c r="BA24" s="50">
        <v>0</v>
      </c>
    </row>
    <row r="25" ht="14.25" hidden="1" customHeight="1">
      <c r="O25" s="482"/>
      <c r="AV25" s="132"/>
      <c r="AW25" s="132"/>
      <c r="AX25" s="132"/>
      <c r="AY25" s="132"/>
      <c r="AZ25" s="132"/>
      <c r="BA25" s="50">
        <v>0</v>
      </c>
    </row>
    <row r="26" ht="14.65" customHeight="1">
      <c r="Q26" s="660"/>
      <c r="R26" s="540"/>
      <c r="S26" s="541"/>
      <c r="T26" s="91"/>
      <c r="U26" s="91"/>
      <c r="V26" s="50"/>
      <c r="W26" s="50"/>
      <c r="X26" s="50"/>
      <c r="Y26" s="50"/>
      <c r="Z26" s="50"/>
      <c r="AA26" s="50"/>
      <c r="AB26" s="50"/>
      <c r="AC26" s="50"/>
      <c r="AD26" s="50"/>
      <c r="AE26" s="50"/>
      <c r="AF26" s="50"/>
      <c r="AG26" s="50"/>
      <c r="AH26" s="50"/>
      <c r="AI26" s="50"/>
      <c r="AJ26" s="50"/>
      <c r="AK26" s="50"/>
      <c r="AL26" s="50"/>
      <c r="AM26" s="50"/>
      <c r="AN26" s="50"/>
      <c r="AO26" s="50"/>
      <c r="AP26" s="50"/>
      <c r="AQ26" s="50"/>
      <c r="AR26" s="50"/>
      <c r="AS26" s="50"/>
      <c r="BA26" s="50">
        <v>14</v>
      </c>
    </row>
    <row r="27" ht="27.300000000000001" customHeight="1">
      <c r="Q27" s="660"/>
      <c r="R27" s="540"/>
      <c r="S27" s="453" t="str">
        <f>IF(TEMPLATE_GROUP="P",PT_P_FORM_HEAT_7_NAME_FORM,PT_R_FORM_HEAT_24_NAME_FORM)</f>
        <v xml:space="preserve">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453"/>
      <c r="U27" s="453"/>
      <c r="V27" s="453"/>
      <c r="W27" s="453"/>
      <c r="X27" s="453"/>
      <c r="Y27" s="453"/>
      <c r="Z27" s="453"/>
      <c r="AA27" s="453"/>
      <c r="AB27" s="453"/>
      <c r="AC27" s="453"/>
      <c r="AD27" s="453"/>
      <c r="AE27" s="453"/>
      <c r="AF27" s="453"/>
      <c r="AG27" s="453"/>
      <c r="AH27" s="453"/>
      <c r="AI27" s="453"/>
      <c r="AJ27" s="453"/>
      <c r="AK27" s="453"/>
      <c r="AL27" s="453"/>
      <c r="AM27" s="453"/>
      <c r="AN27" s="453"/>
      <c r="AO27" s="453"/>
      <c r="AP27" s="453"/>
      <c r="AQ27" s="453"/>
      <c r="AR27" s="453"/>
      <c r="AS27" s="241"/>
      <c r="BA27" s="50">
        <v>26</v>
      </c>
    </row>
    <row r="28" ht="14.65" customHeight="1">
      <c r="Q28" s="660"/>
      <c r="R28" s="540"/>
      <c r="S28" s="304" t="str">
        <f>IF(org=0,"Не определено",org)</f>
        <v xml:space="preserve">АО "ДГК" СП "Биробиджанская ТЭЦ"</v>
      </c>
      <c r="T28" s="304"/>
      <c r="U28" s="304"/>
      <c r="V28" s="304"/>
      <c r="W28" s="304"/>
      <c r="X28" s="304"/>
      <c r="Y28" s="304"/>
      <c r="Z28" s="304"/>
      <c r="AA28" s="304"/>
      <c r="AB28" s="304"/>
      <c r="AC28" s="304"/>
      <c r="AD28" s="304"/>
      <c r="AE28" s="304"/>
      <c r="AF28" s="304"/>
      <c r="AG28" s="304"/>
      <c r="AH28" s="304"/>
      <c r="AI28" s="304"/>
      <c r="AJ28" s="304"/>
      <c r="AK28" s="304"/>
      <c r="AL28" s="304"/>
      <c r="AM28" s="304"/>
      <c r="AN28" s="304"/>
      <c r="AO28" s="304"/>
      <c r="AP28" s="304"/>
      <c r="AQ28" s="304"/>
      <c r="AR28" s="304"/>
      <c r="AS28" s="241"/>
      <c r="BA28" s="50">
        <v>14</v>
      </c>
    </row>
    <row r="29" ht="14.25" hidden="1" customHeight="1">
      <c r="Q29" s="660"/>
      <c r="R29" s="540"/>
      <c r="S29" s="541"/>
      <c r="T29" s="91"/>
      <c r="U29" s="91"/>
      <c r="V29" s="542"/>
      <c r="W29" s="542"/>
      <c r="X29" s="542"/>
      <c r="Y29" s="542"/>
      <c r="Z29" s="542"/>
      <c r="AA29" s="542"/>
      <c r="AB29" s="542"/>
      <c r="AC29" s="542"/>
      <c r="AD29" s="542"/>
      <c r="AE29" s="542"/>
      <c r="AF29" s="542"/>
      <c r="AG29" s="542"/>
      <c r="AH29" s="542"/>
      <c r="AI29" s="542"/>
      <c r="AJ29" s="542"/>
      <c r="AK29" s="542"/>
      <c r="AL29" s="542"/>
      <c r="AM29" s="542"/>
      <c r="AN29" s="542"/>
      <c r="AO29" s="542"/>
      <c r="AP29" s="542"/>
      <c r="AQ29" s="542"/>
      <c r="AR29" s="542"/>
      <c r="AS29" s="542"/>
      <c r="AT29" s="50"/>
      <c r="BA29" s="50">
        <v>0</v>
      </c>
    </row>
    <row r="30" s="185" customFormat="1" ht="25.5" hidden="1" customHeight="1">
      <c r="A30" s="152"/>
      <c r="B30" s="152"/>
      <c r="C30" s="152"/>
      <c r="D30" s="152"/>
      <c r="E30" s="152"/>
      <c r="F30" s="152"/>
      <c r="G30" s="152"/>
      <c r="H30" s="152"/>
      <c r="I30" s="152"/>
      <c r="J30" s="152"/>
      <c r="K30" s="152"/>
      <c r="L30" s="482"/>
      <c r="M30" s="152"/>
      <c r="N30" s="152"/>
      <c r="O30" s="152"/>
      <c r="P30" s="152"/>
      <c r="Q30" s="152"/>
      <c r="S30" s="543" t="s">
        <v>41</v>
      </c>
      <c r="T30" s="543"/>
      <c r="U30" s="544"/>
      <c r="V30" s="545" t="str">
        <f>IF(TITLE_NAME_OR_PR_CHANGE="",IF(TITLE_NAME_OR_PR="","",TITLE_NAME_OR_PR),TITLE_NAME_OR_PR_CHANGE)</f>
        <v/>
      </c>
      <c r="W30" s="545"/>
      <c r="X30" s="545"/>
      <c r="Y30" s="545"/>
      <c r="Z30" s="545"/>
      <c r="AA30" s="50"/>
      <c r="AB30" s="545" t="str">
        <f>IF(TITLE_NAME_OR_PR_CHANGE="",IF(TITLE_NAME_OR_PR="","",TITLE_NAME_OR_PR),TITLE_NAME_OR_PR_CHANGE)</f>
        <v/>
      </c>
      <c r="AC30" s="545"/>
      <c r="AD30" s="545"/>
      <c r="AE30" s="545"/>
      <c r="AF30" s="545"/>
      <c r="AG30" s="545"/>
      <c r="AH30" s="545"/>
      <c r="AI30" s="545"/>
      <c r="AJ30" s="545"/>
      <c r="AK30" s="545"/>
      <c r="AL30" s="545"/>
      <c r="AM30" s="545"/>
      <c r="AN30" s="545"/>
      <c r="AO30" s="545"/>
      <c r="AP30" s="545"/>
      <c r="AQ30" s="545"/>
      <c r="AR30" s="545"/>
      <c r="AS30" s="50"/>
      <c r="AT30" s="50"/>
      <c r="AU30" s="546"/>
      <c r="AV30" s="130"/>
      <c r="AW30" s="130"/>
      <c r="AX30" s="130"/>
      <c r="AY30" s="130"/>
      <c r="AZ30" s="130"/>
      <c r="BA30" s="185">
        <v>0</v>
      </c>
    </row>
    <row r="31" s="185" customFormat="1" ht="18.75" hidden="1" customHeight="1">
      <c r="A31" s="152"/>
      <c r="B31" s="152"/>
      <c r="C31" s="152"/>
      <c r="D31" s="152"/>
      <c r="E31" s="152"/>
      <c r="F31" s="152"/>
      <c r="G31" s="152"/>
      <c r="H31" s="152"/>
      <c r="I31" s="152"/>
      <c r="J31" s="152"/>
      <c r="K31" s="152"/>
      <c r="L31" s="482"/>
      <c r="M31" s="152"/>
      <c r="N31" s="152"/>
      <c r="O31" s="152"/>
      <c r="P31" s="152"/>
      <c r="Q31" s="152"/>
      <c r="S31" s="543" t="s">
        <v>417</v>
      </c>
      <c r="T31" s="543"/>
      <c r="U31" s="544"/>
      <c r="V31" s="547" t="str">
        <f>IF(TITLE_DATE_PR_CHANGE="",IF(TITLE_DATE_PR="","",TITLE_DATE_PR),TITLE_DATE_PR_CHANGE)</f>
        <v/>
      </c>
      <c r="W31" s="547"/>
      <c r="X31" s="547"/>
      <c r="Y31" s="547"/>
      <c r="Z31" s="547"/>
      <c r="AA31" s="50"/>
      <c r="AB31" s="547" t="str">
        <f>IF(TITLE_DATE_PR_CHANGE="",IF(TITLE_DATE_PR="","",TITLE_DATE_PR),TITLE_DATE_PR_CHANGE)</f>
        <v/>
      </c>
      <c r="AC31" s="547"/>
      <c r="AD31" s="547"/>
      <c r="AE31" s="547"/>
      <c r="AF31" s="547"/>
      <c r="AG31" s="547"/>
      <c r="AH31" s="547"/>
      <c r="AI31" s="547"/>
      <c r="AJ31" s="547"/>
      <c r="AK31" s="547"/>
      <c r="AL31" s="547"/>
      <c r="AM31" s="547"/>
      <c r="AN31" s="547"/>
      <c r="AO31" s="547"/>
      <c r="AP31" s="547"/>
      <c r="AQ31" s="547"/>
      <c r="AR31" s="547"/>
      <c r="AS31" s="50"/>
      <c r="AT31" s="50"/>
      <c r="AU31" s="546"/>
      <c r="AV31" s="130"/>
      <c r="AW31" s="130"/>
      <c r="AX31" s="130"/>
      <c r="AY31" s="130"/>
      <c r="AZ31" s="130"/>
      <c r="BA31" s="185">
        <v>0</v>
      </c>
    </row>
    <row r="32" s="185" customFormat="1" ht="18.75" hidden="1" customHeight="1">
      <c r="A32" s="152"/>
      <c r="B32" s="152"/>
      <c r="C32" s="152"/>
      <c r="D32" s="152"/>
      <c r="E32" s="152"/>
      <c r="F32" s="152"/>
      <c r="G32" s="152"/>
      <c r="H32" s="152"/>
      <c r="I32" s="152"/>
      <c r="J32" s="152"/>
      <c r="K32" s="152"/>
      <c r="L32" s="482"/>
      <c r="M32" s="152"/>
      <c r="N32" s="152"/>
      <c r="O32" s="152"/>
      <c r="P32" s="152"/>
      <c r="Q32" s="152"/>
      <c r="S32" s="543" t="s">
        <v>418</v>
      </c>
      <c r="T32" s="543"/>
      <c r="U32" s="544"/>
      <c r="V32" s="545" t="str">
        <f>IF(TITLE_NUMBER_PR_CHANGE="",IF(TITLE_NUMBER_PR="","",TITLE_NUMBER_PR),TITLE_NUMBER_PR_CHANGE)</f>
        <v/>
      </c>
      <c r="W32" s="545"/>
      <c r="X32" s="545"/>
      <c r="Y32" s="545"/>
      <c r="Z32" s="545"/>
      <c r="AA32" s="50"/>
      <c r="AB32" s="545" t="str">
        <f>IF(TITLE_NUMBER_PR_CHANGE="",IF(TITLE_NUMBER_PR="","",TITLE_NUMBER_PR),TITLE_NUMBER_PR_CHANGE)</f>
        <v/>
      </c>
      <c r="AC32" s="545"/>
      <c r="AD32" s="545"/>
      <c r="AE32" s="545"/>
      <c r="AF32" s="545"/>
      <c r="AG32" s="545"/>
      <c r="AH32" s="545"/>
      <c r="AI32" s="545"/>
      <c r="AJ32" s="545"/>
      <c r="AK32" s="545"/>
      <c r="AL32" s="545"/>
      <c r="AM32" s="545"/>
      <c r="AN32" s="545"/>
      <c r="AO32" s="545"/>
      <c r="AP32" s="545"/>
      <c r="AQ32" s="545"/>
      <c r="AR32" s="545"/>
      <c r="AS32" s="50"/>
      <c r="AT32" s="50"/>
      <c r="AU32" s="546"/>
      <c r="AV32" s="130"/>
      <c r="AW32" s="130"/>
      <c r="AX32" s="130"/>
      <c r="AY32" s="130"/>
      <c r="AZ32" s="130"/>
      <c r="BA32" s="185">
        <v>0</v>
      </c>
    </row>
    <row r="33" s="185" customFormat="1" ht="18.75" hidden="1" customHeight="1">
      <c r="A33" s="152"/>
      <c r="B33" s="152"/>
      <c r="C33" s="152"/>
      <c r="D33" s="152"/>
      <c r="E33" s="152"/>
      <c r="F33" s="152"/>
      <c r="G33" s="152"/>
      <c r="H33" s="152"/>
      <c r="I33" s="152"/>
      <c r="J33" s="152"/>
      <c r="K33" s="152"/>
      <c r="L33" s="482"/>
      <c r="M33" s="152"/>
      <c r="N33" s="152"/>
      <c r="O33" s="152"/>
      <c r="P33" s="152"/>
      <c r="Q33" s="152"/>
      <c r="S33" s="543" t="s">
        <v>42</v>
      </c>
      <c r="T33" s="543"/>
      <c r="U33" s="544"/>
      <c r="V33" s="545" t="str">
        <f>IF(TITLE_IST_PUB_CHANGE="",IF(TITLE_IST_PUB="","",TITLE_IST_PUB),TITLE_IST_PUB_CHANGE)</f>
        <v/>
      </c>
      <c r="W33" s="545"/>
      <c r="X33" s="545"/>
      <c r="Y33" s="545"/>
      <c r="Z33" s="545"/>
      <c r="AA33" s="50"/>
      <c r="AB33" s="545" t="str">
        <f>IF(TITLE_IST_PUB_CHANGE="",IF(TITLE_IST_PUB="","",TITLE_IST_PUB),TITLE_IST_PUB_CHANGE)</f>
        <v/>
      </c>
      <c r="AC33" s="545"/>
      <c r="AD33" s="545"/>
      <c r="AE33" s="545"/>
      <c r="AF33" s="545"/>
      <c r="AG33" s="545"/>
      <c r="AH33" s="545"/>
      <c r="AI33" s="545"/>
      <c r="AJ33" s="545"/>
      <c r="AK33" s="545"/>
      <c r="AL33" s="545"/>
      <c r="AM33" s="545"/>
      <c r="AN33" s="545"/>
      <c r="AO33" s="545"/>
      <c r="AP33" s="545"/>
      <c r="AQ33" s="545"/>
      <c r="AR33" s="545"/>
      <c r="AS33" s="50"/>
      <c r="AT33" s="50"/>
      <c r="AU33" s="546"/>
      <c r="AV33" s="130"/>
      <c r="AW33" s="130"/>
      <c r="AX33" s="130"/>
      <c r="AY33" s="130"/>
      <c r="AZ33" s="130"/>
      <c r="BA33" s="185">
        <v>0</v>
      </c>
    </row>
    <row r="34" ht="14.25" hidden="1" customHeight="1">
      <c r="Q34" s="660"/>
      <c r="R34" s="540"/>
      <c r="S34" s="541"/>
      <c r="T34" s="91"/>
      <c r="U34" s="91"/>
      <c r="V34" s="542"/>
      <c r="W34" s="542"/>
      <c r="X34" s="542"/>
      <c r="Y34" s="542"/>
      <c r="Z34" s="542"/>
      <c r="AA34" s="542"/>
      <c r="AB34" s="542"/>
      <c r="AC34" s="542"/>
      <c r="AD34" s="542"/>
      <c r="AE34" s="542"/>
      <c r="AF34" s="542"/>
      <c r="AG34" s="542"/>
      <c r="AH34" s="542"/>
      <c r="AI34" s="542"/>
      <c r="AJ34" s="542"/>
      <c r="AK34" s="542"/>
      <c r="AL34" s="542"/>
      <c r="AM34" s="542"/>
      <c r="AN34" s="542"/>
      <c r="AO34" s="542"/>
      <c r="AP34" s="542"/>
      <c r="AQ34" s="542"/>
      <c r="AR34" s="542"/>
      <c r="AS34" s="542"/>
      <c r="AT34" s="50"/>
      <c r="BA34" s="50">
        <v>0</v>
      </c>
    </row>
    <row r="35" s="185" customFormat="1" ht="18.75" hidden="1" customHeight="1">
      <c r="A35" s="152"/>
      <c r="B35" s="152"/>
      <c r="C35" s="152"/>
      <c r="D35" s="152"/>
      <c r="E35" s="152"/>
      <c r="F35" s="152"/>
      <c r="G35" s="152"/>
      <c r="H35" s="152"/>
      <c r="I35" s="152"/>
      <c r="J35" s="152"/>
      <c r="K35" s="152"/>
      <c r="L35" s="482"/>
      <c r="M35" s="152"/>
      <c r="N35" s="152"/>
      <c r="O35" s="152"/>
      <c r="P35" s="152"/>
      <c r="Q35" s="152"/>
      <c r="S35" s="543" t="s">
        <v>417</v>
      </c>
      <c r="T35" s="543"/>
      <c r="U35" s="544"/>
      <c r="V35" s="547" t="str">
        <f>IF(TITLE_DATE_PR_CHANGE="",IF(TITLE_DATE_PR="","",TITLE_DATE_PR),TITLE_DATE_PR_CHANGE)</f>
        <v/>
      </c>
      <c r="W35" s="547"/>
      <c r="X35" s="547"/>
      <c r="Y35" s="547"/>
      <c r="Z35" s="547"/>
      <c r="AA35" s="50"/>
      <c r="AB35" s="547" t="str">
        <f>IF(TITLE_DATE_PR_CHANGE="",IF(TITLE_DATE_PR="","",TITLE_DATE_PR),TITLE_DATE_PR_CHANGE)</f>
        <v/>
      </c>
      <c r="AC35" s="547"/>
      <c r="AD35" s="547"/>
      <c r="AE35" s="547"/>
      <c r="AF35" s="547"/>
      <c r="AG35" s="547"/>
      <c r="AH35" s="547"/>
      <c r="AI35" s="547"/>
      <c r="AJ35" s="547"/>
      <c r="AK35" s="547"/>
      <c r="AL35" s="547"/>
      <c r="AM35" s="547"/>
      <c r="AN35" s="547"/>
      <c r="AO35" s="547"/>
      <c r="AP35" s="547"/>
      <c r="AQ35" s="547"/>
      <c r="AR35" s="547"/>
      <c r="AS35" s="50"/>
      <c r="AT35" s="50"/>
      <c r="AU35" s="546"/>
      <c r="AV35" s="130"/>
      <c r="AW35" s="130"/>
      <c r="AX35" s="130"/>
      <c r="AY35" s="130"/>
      <c r="AZ35" s="130"/>
      <c r="BA35" s="185">
        <v>0</v>
      </c>
    </row>
    <row r="36" s="185" customFormat="1" ht="18" hidden="1" customHeight="1">
      <c r="A36" s="152"/>
      <c r="B36" s="152"/>
      <c r="C36" s="152"/>
      <c r="D36" s="152"/>
      <c r="E36" s="152"/>
      <c r="F36" s="152"/>
      <c r="G36" s="152"/>
      <c r="H36" s="152"/>
      <c r="I36" s="152"/>
      <c r="J36" s="152"/>
      <c r="K36" s="152"/>
      <c r="L36" s="482"/>
      <c r="M36" s="152"/>
      <c r="N36" s="152"/>
      <c r="O36" s="152"/>
      <c r="P36" s="152"/>
      <c r="Q36" s="152"/>
      <c r="S36" s="543" t="s">
        <v>418</v>
      </c>
      <c r="T36" s="543"/>
      <c r="U36" s="544"/>
      <c r="V36" s="545" t="str">
        <f>IF(TITLE_NUMBER_PR_CHANGE="",IF(TITLE_NUMBER_PR="","",TITLE_NUMBER_PR),TITLE_NUMBER_PR_CHANGE)</f>
        <v/>
      </c>
      <c r="W36" s="545"/>
      <c r="X36" s="545"/>
      <c r="Y36" s="545"/>
      <c r="Z36" s="545"/>
      <c r="AA36" s="50"/>
      <c r="AB36" s="545" t="str">
        <f>IF(TITLE_NUMBER_PR_CHANGE="",IF(TITLE_NUMBER_PR="","",TITLE_NUMBER_PR),TITLE_NUMBER_PR_CHANGE)</f>
        <v/>
      </c>
      <c r="AC36" s="545"/>
      <c r="AD36" s="545"/>
      <c r="AE36" s="545"/>
      <c r="AF36" s="545"/>
      <c r="AG36" s="545"/>
      <c r="AH36" s="545"/>
      <c r="AI36" s="545"/>
      <c r="AJ36" s="545"/>
      <c r="AK36" s="545"/>
      <c r="AL36" s="545"/>
      <c r="AM36" s="545"/>
      <c r="AN36" s="545"/>
      <c r="AO36" s="545"/>
      <c r="AP36" s="545"/>
      <c r="AQ36" s="545"/>
      <c r="AR36" s="545"/>
      <c r="AS36" s="50"/>
      <c r="AT36" s="50"/>
      <c r="AU36" s="546"/>
      <c r="AV36" s="130"/>
      <c r="AW36" s="130"/>
      <c r="AX36" s="130"/>
      <c r="AY36" s="130"/>
      <c r="AZ36" s="130"/>
      <c r="BA36" s="185">
        <v>0</v>
      </c>
    </row>
    <row r="37" s="185" customFormat="1" ht="1.05" customHeight="1">
      <c r="A37" s="152"/>
      <c r="B37" s="152"/>
      <c r="C37" s="152"/>
      <c r="D37" s="152"/>
      <c r="E37" s="152"/>
      <c r="F37" s="152"/>
      <c r="G37" s="152"/>
      <c r="H37" s="152"/>
      <c r="I37" s="152"/>
      <c r="J37" s="152"/>
      <c r="K37" s="152"/>
      <c r="L37" s="482"/>
      <c r="M37" s="152"/>
      <c r="N37" s="152"/>
      <c r="O37" s="152"/>
      <c r="P37" s="152"/>
      <c r="Q37" s="152"/>
      <c r="S37" s="50"/>
      <c r="T37" s="50"/>
      <c r="U37" s="141"/>
      <c r="V37" s="50"/>
      <c r="W37" s="50"/>
      <c r="X37" s="50"/>
      <c r="Y37" s="50"/>
      <c r="Z37" s="50"/>
      <c r="AA37" s="57" t="s">
        <v>421</v>
      </c>
      <c r="AB37" s="50"/>
      <c r="AC37" s="50"/>
      <c r="AD37" s="50"/>
      <c r="AE37" s="50"/>
      <c r="AF37" s="50"/>
      <c r="AG37" s="50"/>
      <c r="AH37" s="50"/>
      <c r="AI37" s="50"/>
      <c r="AJ37" s="50"/>
      <c r="AK37" s="50"/>
      <c r="AL37" s="50"/>
      <c r="AM37" s="50"/>
      <c r="AN37" s="50"/>
      <c r="AO37" s="50"/>
      <c r="AP37" s="50"/>
      <c r="AQ37" s="50"/>
      <c r="AR37" s="50"/>
      <c r="AS37" s="57" t="s">
        <v>421</v>
      </c>
      <c r="AV37" s="130"/>
      <c r="AW37" s="130"/>
      <c r="AX37" s="130"/>
      <c r="AY37" s="130"/>
      <c r="AZ37" s="130"/>
      <c r="BA37" s="185">
        <v>1</v>
      </c>
    </row>
    <row r="38" ht="14.65" customHeight="1">
      <c r="Q38" s="660"/>
      <c r="R38" s="540"/>
      <c r="S38" s="541"/>
      <c r="T38" s="91"/>
      <c r="U38" s="548"/>
      <c r="V38" s="549"/>
      <c r="W38" s="549"/>
      <c r="X38" s="549"/>
      <c r="Y38" s="549"/>
      <c r="Z38" s="549"/>
      <c r="AA38" s="549"/>
      <c r="AB38" s="549"/>
      <c r="AC38" s="549"/>
      <c r="AD38" s="549"/>
      <c r="AE38" s="549"/>
      <c r="AF38" s="549"/>
      <c r="AG38" s="549"/>
      <c r="AH38" s="549"/>
      <c r="AI38" s="549"/>
      <c r="AJ38" s="549"/>
      <c r="AK38" s="549"/>
      <c r="AL38" s="549"/>
      <c r="AM38" s="549"/>
      <c r="AN38" s="549"/>
      <c r="AO38" s="549"/>
      <c r="AP38" s="549"/>
      <c r="AQ38" s="549"/>
      <c r="AR38" s="549"/>
      <c r="AS38" s="549"/>
      <c r="BA38" s="50">
        <v>14</v>
      </c>
    </row>
    <row r="39" ht="14.65" customHeight="1">
      <c r="Q39" s="660"/>
      <c r="R39" s="540"/>
      <c r="S39" s="158" t="s">
        <v>294</v>
      </c>
      <c r="T39" s="158"/>
      <c r="U39" s="158"/>
      <c r="V39" s="158"/>
      <c r="W39" s="158"/>
      <c r="X39" s="158"/>
      <c r="Y39" s="158"/>
      <c r="Z39" s="158"/>
      <c r="AA39" s="158"/>
      <c r="AB39" s="308"/>
      <c r="AC39" s="308"/>
      <c r="AD39" s="308"/>
      <c r="AE39" s="308"/>
      <c r="AF39" s="158"/>
      <c r="AG39" s="158"/>
      <c r="AH39" s="158"/>
      <c r="AI39" s="158"/>
      <c r="AJ39" s="158"/>
      <c r="AK39" s="158"/>
      <c r="AL39" s="158"/>
      <c r="AM39" s="158"/>
      <c r="AN39" s="158"/>
      <c r="AO39" s="158"/>
      <c r="AP39" s="158"/>
      <c r="AQ39" s="158"/>
      <c r="AR39" s="158"/>
      <c r="AS39" s="158"/>
      <c r="AT39" s="158"/>
      <c r="AU39" s="158" t="s">
        <v>295</v>
      </c>
      <c r="BA39" s="50">
        <v>14</v>
      </c>
    </row>
    <row r="40" ht="14.65" customHeight="1">
      <c r="Q40" s="660"/>
      <c r="R40" s="540"/>
      <c r="S40" s="485" t="s">
        <v>87</v>
      </c>
      <c r="T40" s="348" t="s">
        <v>467</v>
      </c>
      <c r="U40" s="550"/>
      <c r="V40" s="552"/>
      <c r="W40" s="552"/>
      <c r="X40" s="552"/>
      <c r="Y40" s="552"/>
      <c r="Z40" s="553"/>
      <c r="AA40" s="661" t="s">
        <v>424</v>
      </c>
      <c r="AB40" s="662" t="s">
        <v>468</v>
      </c>
      <c r="AC40" s="585"/>
      <c r="AD40" s="585"/>
      <c r="AE40" s="663"/>
      <c r="AF40" s="585" t="s">
        <v>469</v>
      </c>
      <c r="AG40" s="585"/>
      <c r="AH40" s="585"/>
      <c r="AI40" s="663"/>
      <c r="AJ40" s="662" t="s">
        <v>470</v>
      </c>
      <c r="AK40" s="585"/>
      <c r="AL40" s="585"/>
      <c r="AM40" s="663"/>
      <c r="AN40" s="662" t="s">
        <v>423</v>
      </c>
      <c r="AO40" s="585"/>
      <c r="AP40" s="552"/>
      <c r="AQ40" s="552"/>
      <c r="AR40" s="553"/>
      <c r="AS40" s="554" t="s">
        <v>424</v>
      </c>
      <c r="AT40" s="555" t="s">
        <v>426</v>
      </c>
      <c r="AU40" s="158"/>
      <c r="BA40" s="50">
        <v>14</v>
      </c>
    </row>
    <row r="41" ht="35.649999999999999" customHeight="1">
      <c r="Q41" s="660"/>
      <c r="R41" s="540"/>
      <c r="S41" s="485"/>
      <c r="T41" s="348"/>
      <c r="U41" s="556"/>
      <c r="V41" s="158" t="s">
        <v>471</v>
      </c>
      <c r="W41" s="158"/>
      <c r="X41" s="305" t="s">
        <v>430</v>
      </c>
      <c r="Y41" s="627"/>
      <c r="Z41" s="306"/>
      <c r="AA41" s="664"/>
      <c r="AB41" s="665"/>
      <c r="AC41" s="666"/>
      <c r="AD41" s="666"/>
      <c r="AE41" s="667"/>
      <c r="AF41" s="666"/>
      <c r="AG41" s="666"/>
      <c r="AH41" s="666"/>
      <c r="AI41" s="667"/>
      <c r="AJ41" s="665"/>
      <c r="AK41" s="666"/>
      <c r="AL41" s="666"/>
      <c r="AM41" s="666"/>
      <c r="AN41" s="158" t="s">
        <v>471</v>
      </c>
      <c r="AO41" s="158"/>
      <c r="AP41" s="627" t="s">
        <v>430</v>
      </c>
      <c r="AQ41" s="627"/>
      <c r="AR41" s="306"/>
      <c r="AS41" s="558"/>
      <c r="AT41" s="559"/>
      <c r="AU41" s="158"/>
      <c r="BA41" s="50">
        <v>34</v>
      </c>
    </row>
    <row r="42" ht="14.65" customHeight="1">
      <c r="Q42" s="660"/>
      <c r="R42" s="540"/>
      <c r="S42" s="485"/>
      <c r="T42" s="348"/>
      <c r="U42" s="556"/>
      <c r="V42" s="668" t="str">
        <f>IF($AN$42&lt;&gt;"",$AN$42,"")</f>
        <v/>
      </c>
      <c r="W42" s="668"/>
      <c r="X42" s="311"/>
      <c r="Y42" s="628"/>
      <c r="Z42" s="312"/>
      <c r="AA42" s="664"/>
      <c r="AB42" s="665"/>
      <c r="AC42" s="666"/>
      <c r="AD42" s="666"/>
      <c r="AE42" s="667"/>
      <c r="AF42" s="666"/>
      <c r="AG42" s="666"/>
      <c r="AH42" s="666"/>
      <c r="AI42" s="667"/>
      <c r="AJ42" s="665"/>
      <c r="AK42" s="666"/>
      <c r="AL42" s="666"/>
      <c r="AM42" s="666"/>
      <c r="AN42" s="669"/>
      <c r="AO42" s="669"/>
      <c r="AP42" s="628"/>
      <c r="AQ42" s="628"/>
      <c r="AR42" s="312"/>
      <c r="AS42" s="558"/>
      <c r="AT42" s="559"/>
      <c r="AU42" s="158"/>
      <c r="BA42" s="50">
        <v>14</v>
      </c>
    </row>
    <row r="43" ht="14.65" customHeight="1">
      <c r="A43" s="152"/>
      <c r="B43" s="152" t="s">
        <v>131</v>
      </c>
      <c r="C43" s="152" t="s">
        <v>132</v>
      </c>
      <c r="D43" s="152" t="s">
        <v>133</v>
      </c>
      <c r="E43" s="482" t="s">
        <v>431</v>
      </c>
      <c r="F43" s="482" t="s">
        <v>432</v>
      </c>
      <c r="G43" s="482" t="s">
        <v>433</v>
      </c>
      <c r="H43" s="482" t="s">
        <v>434</v>
      </c>
      <c r="I43" s="482" t="s">
        <v>435</v>
      </c>
      <c r="J43" s="482" t="s">
        <v>436</v>
      </c>
      <c r="K43" s="482" t="s">
        <v>437</v>
      </c>
      <c r="L43" s="482" t="s">
        <v>412</v>
      </c>
      <c r="Q43" s="660"/>
      <c r="R43" s="540"/>
      <c r="S43" s="485"/>
      <c r="T43" s="348"/>
      <c r="U43" s="560"/>
      <c r="V43" s="348" t="s">
        <v>472</v>
      </c>
      <c r="W43" s="348" t="s">
        <v>473</v>
      </c>
      <c r="X43" s="247" t="s">
        <v>440</v>
      </c>
      <c r="Y43" s="416" t="s">
        <v>441</v>
      </c>
      <c r="Z43" s="418"/>
      <c r="AA43" s="670"/>
      <c r="AB43" s="671"/>
      <c r="AC43" s="672"/>
      <c r="AD43" s="672"/>
      <c r="AE43" s="673"/>
      <c r="AF43" s="672"/>
      <c r="AG43" s="672"/>
      <c r="AH43" s="672"/>
      <c r="AI43" s="673"/>
      <c r="AJ43" s="671"/>
      <c r="AK43" s="672"/>
      <c r="AL43" s="672"/>
      <c r="AM43" s="673"/>
      <c r="AN43" s="562" t="s">
        <v>472</v>
      </c>
      <c r="AO43" s="562" t="s">
        <v>473</v>
      </c>
      <c r="AP43" s="247" t="s">
        <v>440</v>
      </c>
      <c r="AQ43" s="416" t="s">
        <v>441</v>
      </c>
      <c r="AR43" s="418"/>
      <c r="AS43" s="562"/>
      <c r="AT43" s="563"/>
      <c r="AU43" s="158"/>
      <c r="BA43" s="50">
        <v>14</v>
      </c>
    </row>
    <row r="44" s="132" customFormat="1" ht="11.25" hidden="1" customHeight="1">
      <c r="A44" s="152"/>
      <c r="B44" s="152"/>
      <c r="C44" s="152"/>
      <c r="D44" s="152"/>
      <c r="E44" s="152"/>
      <c r="F44" s="152"/>
      <c r="G44" s="152"/>
      <c r="H44" s="152"/>
      <c r="I44" s="152"/>
      <c r="J44" s="152"/>
      <c r="K44" s="152"/>
      <c r="L44" s="482"/>
      <c r="M44" s="61"/>
      <c r="N44" s="61"/>
      <c r="O44" s="61"/>
      <c r="P44" s="597"/>
      <c r="Q44" s="566"/>
      <c r="R44" s="566">
        <v>1</v>
      </c>
      <c r="S44" s="567" t="s">
        <v>105</v>
      </c>
      <c r="T44" s="568" t="s">
        <v>106</v>
      </c>
      <c r="U44" s="569" t="str">
        <f ca="1">OFFSET(U44,0,-1)</f>
        <v>2</v>
      </c>
      <c r="V44" s="570">
        <f ca="1">OFFSET(V44,0,-1)+1</f>
        <v>3</v>
      </c>
      <c r="W44" s="570">
        <f ca="1">OFFSET(W44,0,-1)+1</f>
        <v>4</v>
      </c>
      <c r="X44" s="570">
        <f ca="1">OFFSET(X44,0,-1)+1</f>
        <v>5</v>
      </c>
      <c r="Y44" s="570">
        <f ca="1">OFFSET(Y44,0,-1)+1</f>
        <v>6</v>
      </c>
      <c r="Z44" s="570"/>
      <c r="AA44" s="570">
        <f ca="1">OFFSET(AA44,0,-2)+1</f>
        <v>7</v>
      </c>
      <c r="AB44" s="427">
        <f ca="1">OFFSET(AB44,0,-1)+1</f>
        <v>8</v>
      </c>
      <c r="AC44" s="427"/>
      <c r="AD44" s="427"/>
      <c r="AE44" s="427"/>
      <c r="AF44" s="570"/>
      <c r="AG44" s="570"/>
      <c r="AH44" s="570"/>
      <c r="AI44" s="570"/>
      <c r="AJ44" s="570"/>
      <c r="AK44" s="570"/>
      <c r="AL44" s="570"/>
      <c r="AM44" s="570"/>
      <c r="AN44" s="570">
        <f ca="1">OFFSET(AN44,0,-1)+1</f>
        <v>1</v>
      </c>
      <c r="AO44" s="570">
        <f ca="1">OFFSET(AO44,0,-1)+1</f>
        <v>2</v>
      </c>
      <c r="AP44" s="570">
        <f ca="1">OFFSET(AP44,0,-1)+1</f>
        <v>3</v>
      </c>
      <c r="AQ44" s="570">
        <f ca="1">OFFSET(AQ44,0,-1)+1</f>
        <v>4</v>
      </c>
      <c r="AR44" s="570"/>
      <c r="AS44" s="570">
        <f ca="1">OFFSET(AS44,0,-2)+1</f>
        <v>5</v>
      </c>
      <c r="AT44" s="569">
        <f ca="1">OFFSET(AT44,0,-1)</f>
        <v>5</v>
      </c>
      <c r="AU44" s="570">
        <f ca="1">OFFSET(AU44,0,-1)+1</f>
        <v>6</v>
      </c>
      <c r="AV44" s="57"/>
      <c r="AW44" s="57"/>
      <c r="AX44" s="57"/>
      <c r="AY44" s="57"/>
      <c r="AZ44" s="57"/>
      <c r="BA44" s="132">
        <v>0</v>
      </c>
    </row>
    <row r="45" ht="107.25" customHeight="1">
      <c r="A45" s="480" t="s">
        <v>194</v>
      </c>
      <c r="B45" s="480"/>
      <c r="C45" s="480"/>
      <c r="D45" s="480"/>
      <c r="E45" s="481">
        <v>1</v>
      </c>
      <c r="F45" s="480"/>
      <c r="G45" s="480"/>
      <c r="H45" s="480"/>
      <c r="I45" s="480"/>
      <c r="J45" s="480"/>
      <c r="K45" s="480"/>
      <c r="L45" s="482"/>
      <c r="M45" s="483"/>
      <c r="N45" s="483"/>
      <c r="O45" s="483"/>
      <c r="P45" s="61"/>
      <c r="Q45" s="64"/>
      <c r="R45" s="484"/>
      <c r="S45" s="485">
        <f>INDEX(PT_DIFFERENTIATION_NUM_NTAR,MATCH(A45,PT_DIFFERENTIATION_NTAR_ID,0))</f>
        <v>0</v>
      </c>
      <c r="T45" s="486" t="s">
        <v>119</v>
      </c>
      <c r="U45" s="487"/>
      <c r="V45" s="489"/>
      <c r="W45" s="489"/>
      <c r="X45" s="489"/>
      <c r="Y45" s="489"/>
      <c r="Z45" s="489"/>
      <c r="AA45" s="490"/>
      <c r="AB45" s="488" t="str">
        <f>INDEX(PT_DIFFERENTIATION_NTAR,MATCH(A45,PT_DIFFERENTIATION_NTAR_ID,0))</f>
        <v/>
      </c>
      <c r="AC45" s="489"/>
      <c r="AD45" s="489"/>
      <c r="AE45" s="489"/>
      <c r="AF45" s="489"/>
      <c r="AG45" s="489"/>
      <c r="AH45" s="489"/>
      <c r="AI45" s="489"/>
      <c r="AJ45" s="489"/>
      <c r="AK45" s="489"/>
      <c r="AL45" s="489"/>
      <c r="AM45" s="489"/>
      <c r="AN45" s="489"/>
      <c r="AO45" s="489"/>
      <c r="AP45" s="489"/>
      <c r="AQ45" s="489"/>
      <c r="AR45" s="489"/>
      <c r="AS45" s="489"/>
      <c r="AT45" s="490"/>
      <c r="AU45" s="49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 xml:space="preserve">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130"/>
      <c r="AX45" s="130" t="str">
        <f t="shared" si="22"/>
        <v xml:space="preserve">Наименование тарифа</v>
      </c>
      <c r="AY45" s="130"/>
      <c r="AZ45" s="130"/>
      <c r="BA45" s="50">
        <v>102</v>
      </c>
    </row>
    <row r="46" ht="22" customHeight="1">
      <c r="A46" s="480" t="s">
        <v>194</v>
      </c>
      <c r="B46" s="480" t="s">
        <v>195</v>
      </c>
      <c r="C46" s="480"/>
      <c r="D46" s="480"/>
      <c r="E46" s="492"/>
      <c r="F46" s="481">
        <v>1</v>
      </c>
      <c r="G46" s="480"/>
      <c r="H46" s="480"/>
      <c r="I46" s="480"/>
      <c r="J46" s="480"/>
      <c r="K46" s="480"/>
      <c r="L46" s="482"/>
      <c r="M46" s="483"/>
      <c r="N46" s="483"/>
      <c r="O46" s="483"/>
      <c r="P46" s="114"/>
      <c r="Q46" s="630"/>
      <c r="R46" s="494"/>
      <c r="S46" s="485" t="str">
        <f>INDEX(PT_DIFFERENTIATION_NUM_TER,MATCH(B46,PT_DIFFERENTIATION_TER_ID,0))</f>
        <v>.</v>
      </c>
      <c r="T46" s="495" t="s">
        <v>391</v>
      </c>
      <c r="U46" s="487"/>
      <c r="V46" s="489"/>
      <c r="W46" s="489"/>
      <c r="X46" s="489"/>
      <c r="Y46" s="489"/>
      <c r="Z46" s="489"/>
      <c r="AA46" s="490"/>
      <c r="AB46" s="488" t="str">
        <f>INDEX(PT_DIFFERENTIATION_TER,MATCH(B46,PT_DIFFERENTIATION_TER_ID,0))</f>
        <v/>
      </c>
      <c r="AC46" s="489"/>
      <c r="AD46" s="489"/>
      <c r="AE46" s="489"/>
      <c r="AF46" s="489"/>
      <c r="AG46" s="489"/>
      <c r="AH46" s="489"/>
      <c r="AI46" s="489"/>
      <c r="AJ46" s="489"/>
      <c r="AK46" s="489"/>
      <c r="AL46" s="489"/>
      <c r="AM46" s="489"/>
      <c r="AN46" s="489"/>
      <c r="AO46" s="489"/>
      <c r="AP46" s="489"/>
      <c r="AQ46" s="489"/>
      <c r="AR46" s="489"/>
      <c r="AS46" s="489"/>
      <c r="AT46" s="490"/>
      <c r="AU46" s="491" t="s">
        <v>392</v>
      </c>
      <c r="AW46" s="130"/>
      <c r="AX46" s="130" t="str">
        <f t="shared" si="22"/>
        <v xml:space="preserve">Территория действия тарифа</v>
      </c>
      <c r="AY46" s="130"/>
      <c r="AZ46" s="130"/>
      <c r="BA46" s="50">
        <v>21</v>
      </c>
    </row>
    <row r="47" ht="24" customHeight="1">
      <c r="A47" s="480" t="s">
        <v>194</v>
      </c>
      <c r="B47" s="480" t="s">
        <v>195</v>
      </c>
      <c r="C47" s="480" t="s">
        <v>196</v>
      </c>
      <c r="D47" s="480"/>
      <c r="E47" s="492"/>
      <c r="F47" s="492"/>
      <c r="G47" s="481">
        <v>1</v>
      </c>
      <c r="H47" s="480"/>
      <c r="I47" s="480"/>
      <c r="J47" s="480"/>
      <c r="K47" s="480"/>
      <c r="L47" s="482"/>
      <c r="M47" s="483"/>
      <c r="N47" s="483"/>
      <c r="O47" s="483"/>
      <c r="P47" s="136"/>
      <c r="Q47" s="630"/>
      <c r="R47" s="494"/>
      <c r="S47" s="485" t="str">
        <f>INDEX(PT_DIFFERENTIATION_NUM_CS,MATCH(C47,PT_DIFFERENTIATION_CS_ID,0))</f>
        <v>..</v>
      </c>
      <c r="T47" s="497" t="s">
        <v>393</v>
      </c>
      <c r="U47" s="487"/>
      <c r="V47" s="489"/>
      <c r="W47" s="489"/>
      <c r="X47" s="489"/>
      <c r="Y47" s="489"/>
      <c r="Z47" s="489"/>
      <c r="AA47" s="490"/>
      <c r="AB47" s="488" t="str">
        <f>INDEX(PT_DIFFERENTIATION_CS,MATCH(C47,PT_DIFFERENTIATION_CS_ID,0))</f>
        <v/>
      </c>
      <c r="AC47" s="489"/>
      <c r="AD47" s="489"/>
      <c r="AE47" s="489"/>
      <c r="AF47" s="489"/>
      <c r="AG47" s="489"/>
      <c r="AH47" s="489"/>
      <c r="AI47" s="489"/>
      <c r="AJ47" s="489"/>
      <c r="AK47" s="489"/>
      <c r="AL47" s="489"/>
      <c r="AM47" s="489"/>
      <c r="AN47" s="489"/>
      <c r="AO47" s="489"/>
      <c r="AP47" s="489"/>
      <c r="AQ47" s="489"/>
      <c r="AR47" s="489"/>
      <c r="AS47" s="489"/>
      <c r="AT47" s="490"/>
      <c r="AU47" s="491" t="s">
        <v>394</v>
      </c>
      <c r="AW47" s="130"/>
      <c r="AX47" s="130" t="str">
        <f t="shared" si="22"/>
        <v xml:space="preserve">Наименование системы теплоснабжения </v>
      </c>
      <c r="AY47" s="130"/>
      <c r="AZ47" s="130"/>
      <c r="BA47" s="50">
        <v>23</v>
      </c>
    </row>
    <row r="48" ht="21" customHeight="1">
      <c r="A48" s="480" t="s">
        <v>194</v>
      </c>
      <c r="B48" s="480" t="s">
        <v>195</v>
      </c>
      <c r="C48" s="480" t="s">
        <v>196</v>
      </c>
      <c r="D48" s="480" t="s">
        <v>197</v>
      </c>
      <c r="E48" s="492"/>
      <c r="F48" s="492"/>
      <c r="G48" s="492"/>
      <c r="H48" s="481">
        <v>1</v>
      </c>
      <c r="I48" s="480"/>
      <c r="J48" s="480"/>
      <c r="K48" s="480"/>
      <c r="L48" s="482"/>
      <c r="M48" s="483"/>
      <c r="N48" s="483"/>
      <c r="O48" s="483"/>
      <c r="P48" s="136"/>
      <c r="Q48" s="630"/>
      <c r="R48" s="494"/>
      <c r="S48" s="485" t="str">
        <f>INDEX(PT_DIFFERENTIATION_NUM_IST_TE,MATCH(D48,PT_DIFFERENTIATION_IST_TE_ID,0))</f>
        <v>...</v>
      </c>
      <c r="T48" s="498" t="s">
        <v>395</v>
      </c>
      <c r="U48" s="487"/>
      <c r="V48" s="489"/>
      <c r="W48" s="489"/>
      <c r="X48" s="489"/>
      <c r="Y48" s="489"/>
      <c r="Z48" s="489"/>
      <c r="AA48" s="490"/>
      <c r="AB48" s="488" t="str">
        <f>INDEX(PT_DIFFERENTIATION_IST_TE,MATCH(D48,PT_DIFFERENTIATION_IST_TE_ID,0))</f>
        <v/>
      </c>
      <c r="AC48" s="489"/>
      <c r="AD48" s="489"/>
      <c r="AE48" s="489"/>
      <c r="AF48" s="489"/>
      <c r="AG48" s="489"/>
      <c r="AH48" s="489"/>
      <c r="AI48" s="489"/>
      <c r="AJ48" s="489"/>
      <c r="AK48" s="489"/>
      <c r="AL48" s="489"/>
      <c r="AM48" s="489"/>
      <c r="AN48" s="489"/>
      <c r="AO48" s="489"/>
      <c r="AP48" s="489"/>
      <c r="AQ48" s="489"/>
      <c r="AR48" s="489"/>
      <c r="AS48" s="489"/>
      <c r="AT48" s="490"/>
      <c r="AU48" s="491" t="s">
        <v>396</v>
      </c>
      <c r="AW48" s="130"/>
      <c r="AX48" s="130" t="str">
        <f t="shared" si="22"/>
        <v xml:space="preserve">Источник тепловой энергии  </v>
      </c>
      <c r="AY48" s="130"/>
      <c r="AZ48" s="130"/>
      <c r="BA48" s="50">
        <v>20</v>
      </c>
    </row>
    <row r="49" s="57" customFormat="1" ht="1.05" customHeight="1">
      <c r="A49" s="134" t="s">
        <v>194</v>
      </c>
      <c r="B49" s="134" t="s">
        <v>195</v>
      </c>
      <c r="C49" s="134" t="s">
        <v>196</v>
      </c>
      <c r="D49" s="134" t="s">
        <v>197</v>
      </c>
      <c r="E49" s="492"/>
      <c r="F49" s="492"/>
      <c r="G49" s="492"/>
      <c r="H49" s="492"/>
      <c r="I49" s="499" t="str">
        <f>S48&amp;".1"</f>
        <v>....1</v>
      </c>
      <c r="J49" s="134"/>
      <c r="K49" s="134"/>
      <c r="L49" s="213" t="s">
        <v>397</v>
      </c>
      <c r="M49" s="597"/>
      <c r="N49" s="597"/>
      <c r="O49" s="597"/>
      <c r="P49" s="133">
        <v>1</v>
      </c>
      <c r="Q49" s="133"/>
      <c r="R49" s="500"/>
      <c r="S49" s="352"/>
      <c r="T49" s="587"/>
      <c r="U49" s="588"/>
      <c r="V49" s="590"/>
      <c r="W49" s="590"/>
      <c r="X49" s="590"/>
      <c r="Y49" s="590"/>
      <c r="Z49" s="590"/>
      <c r="AA49" s="591"/>
      <c r="AB49" s="589"/>
      <c r="AC49" s="590"/>
      <c r="AD49" s="590"/>
      <c r="AE49" s="590"/>
      <c r="AF49" s="590"/>
      <c r="AG49" s="590"/>
      <c r="AH49" s="590"/>
      <c r="AI49" s="590"/>
      <c r="AJ49" s="590"/>
      <c r="AK49" s="590"/>
      <c r="AL49" s="590"/>
      <c r="AM49" s="590"/>
      <c r="AN49" s="590"/>
      <c r="AO49" s="590"/>
      <c r="AP49" s="590"/>
      <c r="AQ49" s="590"/>
      <c r="AR49" s="590"/>
      <c r="AS49" s="590"/>
      <c r="AT49" s="591"/>
      <c r="AU49" s="592"/>
      <c r="AW49" s="130"/>
      <c r="AX49" s="130" t="str">
        <f t="shared" si="22"/>
        <v/>
      </c>
      <c r="AY49" s="130"/>
      <c r="AZ49" s="130"/>
      <c r="BA49" s="57">
        <v>1</v>
      </c>
    </row>
    <row r="50" s="57" customFormat="1" ht="1.05" customHeight="1">
      <c r="A50" s="134" t="s">
        <v>194</v>
      </c>
      <c r="B50" s="134" t="s">
        <v>195</v>
      </c>
      <c r="C50" s="134" t="s">
        <v>196</v>
      </c>
      <c r="D50" s="134" t="s">
        <v>197</v>
      </c>
      <c r="E50" s="492"/>
      <c r="F50" s="492"/>
      <c r="G50" s="492"/>
      <c r="H50" s="492"/>
      <c r="I50" s="504"/>
      <c r="J50" s="499" t="str">
        <f>S48&amp;".1"</f>
        <v>....1</v>
      </c>
      <c r="K50" s="134"/>
      <c r="L50" s="213"/>
      <c r="M50" s="597"/>
      <c r="N50" s="597"/>
      <c r="O50" s="597"/>
      <c r="P50" s="133"/>
      <c r="Q50" s="133">
        <v>1</v>
      </c>
      <c r="R50" s="505"/>
      <c r="S50" s="352"/>
      <c r="T50" s="631"/>
      <c r="U50" s="588"/>
      <c r="V50" s="590"/>
      <c r="W50" s="590"/>
      <c r="X50" s="590"/>
      <c r="Y50" s="590"/>
      <c r="Z50" s="590"/>
      <c r="AA50" s="591"/>
      <c r="AB50" s="589"/>
      <c r="AC50" s="590"/>
      <c r="AD50" s="590"/>
      <c r="AE50" s="590"/>
      <c r="AF50" s="590"/>
      <c r="AG50" s="590"/>
      <c r="AH50" s="590"/>
      <c r="AI50" s="590"/>
      <c r="AJ50" s="590"/>
      <c r="AK50" s="590"/>
      <c r="AL50" s="590"/>
      <c r="AM50" s="590"/>
      <c r="AN50" s="590"/>
      <c r="AO50" s="590"/>
      <c r="AP50" s="590"/>
      <c r="AQ50" s="590"/>
      <c r="AR50" s="590"/>
      <c r="AS50" s="590"/>
      <c r="AT50" s="591"/>
      <c r="AU50" s="592"/>
      <c r="AW50" s="130"/>
      <c r="AX50" s="130" t="str">
        <f t="shared" si="22"/>
        <v/>
      </c>
      <c r="AY50" s="130"/>
      <c r="AZ50" s="130"/>
      <c r="BA50" s="57">
        <v>1</v>
      </c>
    </row>
    <row r="51" ht="22" customHeight="1">
      <c r="A51" s="480" t="s">
        <v>194</v>
      </c>
      <c r="B51" s="480" t="s">
        <v>195</v>
      </c>
      <c r="C51" s="480" t="s">
        <v>196</v>
      </c>
      <c r="D51" s="480" t="s">
        <v>197</v>
      </c>
      <c r="E51" s="492"/>
      <c r="F51" s="492"/>
      <c r="G51" s="492"/>
      <c r="H51" s="492"/>
      <c r="I51" s="504"/>
      <c r="J51" s="504"/>
      <c r="K51" s="499" t="str">
        <f>S48&amp;".1"</f>
        <v>....1</v>
      </c>
      <c r="L51" s="482"/>
      <c r="P51" s="133"/>
      <c r="Q51" s="133"/>
      <c r="R51" s="505">
        <v>1</v>
      </c>
      <c r="S51" s="599" t="str">
        <f>$K51</f>
        <v>....1</v>
      </c>
      <c r="T51" s="633"/>
      <c r="U51" s="487"/>
      <c r="V51" s="508"/>
      <c r="W51" s="510"/>
      <c r="X51" s="511"/>
      <c r="Y51" s="225" t="s">
        <v>64</v>
      </c>
      <c r="Z51" s="511"/>
      <c r="AA51" s="225" t="s">
        <v>64</v>
      </c>
      <c r="AB51" s="225" t="s">
        <v>19</v>
      </c>
      <c r="AC51" s="634"/>
      <c r="AD51" s="346">
        <v>1</v>
      </c>
      <c r="AE51" s="101" t="s">
        <v>22</v>
      </c>
      <c r="AF51" s="225" t="s">
        <v>19</v>
      </c>
      <c r="AG51" s="634"/>
      <c r="AH51" s="346">
        <v>1</v>
      </c>
      <c r="AI51" s="101" t="s">
        <v>22</v>
      </c>
      <c r="AJ51" s="225" t="s">
        <v>19</v>
      </c>
      <c r="AK51" s="635"/>
      <c r="AL51" s="346">
        <v>1</v>
      </c>
      <c r="AM51" s="674"/>
      <c r="AN51" s="508"/>
      <c r="AO51" s="510"/>
      <c r="AP51" s="511"/>
      <c r="AQ51" s="225" t="s">
        <v>64</v>
      </c>
      <c r="AR51" s="511"/>
      <c r="AS51" s="225" t="s">
        <v>64</v>
      </c>
      <c r="AT51" s="572"/>
      <c r="AU51" s="512" t="s">
        <v>474</v>
      </c>
      <c r="AV51" s="57" t="e">
        <f>STRCHECKDATE(V54:AT54)</f>
        <v>#NAME?</v>
      </c>
      <c r="AW51" s="130"/>
      <c r="AX51" s="130" t="str">
        <f t="shared" si="22"/>
        <v/>
      </c>
      <c r="AY51" s="130"/>
      <c r="AZ51" s="130"/>
      <c r="BA51" s="50">
        <v>21</v>
      </c>
    </row>
    <row r="52" ht="11.5" customHeight="1">
      <c r="A52" s="480" t="s">
        <v>194</v>
      </c>
      <c r="B52" s="480"/>
      <c r="C52" s="480"/>
      <c r="D52" s="480"/>
      <c r="E52" s="492"/>
      <c r="F52" s="492"/>
      <c r="G52" s="492"/>
      <c r="H52" s="492"/>
      <c r="I52" s="504"/>
      <c r="J52" s="504"/>
      <c r="K52" s="499"/>
      <c r="L52" s="482"/>
      <c r="P52" s="133"/>
      <c r="Q52" s="133"/>
      <c r="R52" s="505"/>
      <c r="S52" s="636"/>
      <c r="T52" s="637"/>
      <c r="U52" s="487"/>
      <c r="V52" s="623"/>
      <c r="W52" s="640"/>
      <c r="X52" s="623"/>
      <c r="Y52" s="623"/>
      <c r="Z52" s="623"/>
      <c r="AA52" s="623"/>
      <c r="AB52" s="225"/>
      <c r="AC52" s="634"/>
      <c r="AD52" s="346"/>
      <c r="AE52" s="101"/>
      <c r="AF52" s="225"/>
      <c r="AG52" s="634"/>
      <c r="AH52" s="346"/>
      <c r="AI52" s="101"/>
      <c r="AJ52" s="225"/>
      <c r="AK52" s="639"/>
      <c r="AL52" s="178"/>
      <c r="AM52" s="173" t="s">
        <v>459</v>
      </c>
      <c r="AN52" s="623"/>
      <c r="AO52" s="640"/>
      <c r="AP52" s="623"/>
      <c r="AQ52" s="623"/>
      <c r="AR52" s="623"/>
      <c r="AS52" s="623"/>
      <c r="AT52" s="641"/>
      <c r="AU52" s="515"/>
      <c r="AW52" s="130"/>
      <c r="AX52" s="130"/>
      <c r="AY52" s="130"/>
      <c r="AZ52" s="130"/>
      <c r="BA52" s="50">
        <v>11</v>
      </c>
    </row>
    <row r="53" ht="11.5" customHeight="1">
      <c r="A53" s="480" t="s">
        <v>194</v>
      </c>
      <c r="B53" s="480"/>
      <c r="C53" s="480"/>
      <c r="D53" s="480"/>
      <c r="E53" s="492"/>
      <c r="F53" s="492"/>
      <c r="G53" s="492"/>
      <c r="H53" s="492"/>
      <c r="I53" s="504"/>
      <c r="J53" s="504"/>
      <c r="K53" s="499"/>
      <c r="L53" s="482"/>
      <c r="P53" s="133"/>
      <c r="Q53" s="133"/>
      <c r="R53" s="505"/>
      <c r="S53" s="636"/>
      <c r="T53" s="637"/>
      <c r="U53" s="487"/>
      <c r="V53" s="623"/>
      <c r="W53" s="640"/>
      <c r="X53" s="623"/>
      <c r="Y53" s="623"/>
      <c r="Z53" s="623"/>
      <c r="AA53" s="623"/>
      <c r="AB53" s="225"/>
      <c r="AC53" s="634"/>
      <c r="AD53" s="346"/>
      <c r="AE53" s="101"/>
      <c r="AF53" s="225"/>
      <c r="AG53" s="642"/>
      <c r="AH53" s="173"/>
      <c r="AI53" s="173" t="s">
        <v>460</v>
      </c>
      <c r="AJ53" s="623"/>
      <c r="AK53" s="623"/>
      <c r="AL53" s="623"/>
      <c r="AM53" s="623"/>
      <c r="AN53" s="623"/>
      <c r="AO53" s="640"/>
      <c r="AP53" s="623"/>
      <c r="AQ53" s="623"/>
      <c r="AR53" s="623"/>
      <c r="AS53" s="623"/>
      <c r="AT53" s="641"/>
      <c r="AU53" s="515"/>
      <c r="AW53" s="130"/>
      <c r="AX53" s="130"/>
      <c r="AY53" s="130"/>
      <c r="AZ53" s="130"/>
      <c r="BA53" s="50">
        <v>11</v>
      </c>
    </row>
    <row r="54" ht="11.5" customHeight="1">
      <c r="A54" s="480" t="s">
        <v>194</v>
      </c>
      <c r="B54" s="480" t="s">
        <v>195</v>
      </c>
      <c r="C54" s="480" t="s">
        <v>196</v>
      </c>
      <c r="D54" s="480" t="s">
        <v>197</v>
      </c>
      <c r="E54" s="492"/>
      <c r="F54" s="492"/>
      <c r="G54" s="492"/>
      <c r="H54" s="492"/>
      <c r="I54" s="504"/>
      <c r="J54" s="504"/>
      <c r="K54" s="499"/>
      <c r="L54" s="482"/>
      <c r="P54" s="133"/>
      <c r="Q54" s="133"/>
      <c r="R54" s="505"/>
      <c r="S54" s="609"/>
      <c r="T54" s="643"/>
      <c r="U54" s="487"/>
      <c r="V54" s="623"/>
      <c r="W54" s="624" t="str">
        <f>X51&amp;"-"&amp;Z51</f>
        <v>-</v>
      </c>
      <c r="X54" s="623"/>
      <c r="Y54" s="623"/>
      <c r="Z54" s="623"/>
      <c r="AA54" s="623"/>
      <c r="AB54" s="225"/>
      <c r="AC54" s="645"/>
      <c r="AD54" s="646"/>
      <c r="AE54" s="173" t="s">
        <v>461</v>
      </c>
      <c r="AF54" s="623"/>
      <c r="AG54" s="623"/>
      <c r="AH54" s="623"/>
      <c r="AI54" s="623"/>
      <c r="AJ54" s="623"/>
      <c r="AK54" s="623"/>
      <c r="AL54" s="623"/>
      <c r="AM54" s="623"/>
      <c r="AN54" s="623"/>
      <c r="AO54" s="624" t="str">
        <f>AP51&amp;"-"&amp;AR51</f>
        <v>-</v>
      </c>
      <c r="AP54" s="623"/>
      <c r="AQ54" s="623"/>
      <c r="AR54" s="623"/>
      <c r="AS54" s="623"/>
      <c r="AT54" s="574"/>
      <c r="AU54" s="515"/>
      <c r="AW54" s="130"/>
      <c r="AX54" s="130" t="str">
        <f t="shared" si="22"/>
        <v/>
      </c>
      <c r="AY54" s="130"/>
      <c r="AZ54" s="130"/>
      <c r="BA54" s="50">
        <v>11</v>
      </c>
    </row>
    <row r="55" ht="11.5" customHeight="1">
      <c r="A55" s="480" t="s">
        <v>194</v>
      </c>
      <c r="B55" s="480" t="s">
        <v>195</v>
      </c>
      <c r="C55" s="480" t="s">
        <v>196</v>
      </c>
      <c r="D55" s="480" t="s">
        <v>197</v>
      </c>
      <c r="E55" s="492"/>
      <c r="F55" s="492"/>
      <c r="G55" s="492"/>
      <c r="H55" s="492"/>
      <c r="I55" s="504"/>
      <c r="J55" s="499"/>
      <c r="K55" s="480"/>
      <c r="L55" s="482"/>
      <c r="P55" s="133"/>
      <c r="Q55" s="133"/>
      <c r="R55" s="500"/>
      <c r="S55" s="516"/>
      <c r="T55" s="520" t="s">
        <v>462</v>
      </c>
      <c r="U55" s="215"/>
      <c r="V55" s="215"/>
      <c r="W55" s="215"/>
      <c r="X55" s="215"/>
      <c r="Y55" s="215"/>
      <c r="Z55" s="215"/>
      <c r="AA55" s="518"/>
      <c r="AB55" s="675"/>
      <c r="AC55" s="215"/>
      <c r="AD55" s="215"/>
      <c r="AE55" s="215"/>
      <c r="AF55" s="215"/>
      <c r="AG55" s="215"/>
      <c r="AH55" s="215"/>
      <c r="AI55" s="215"/>
      <c r="AJ55" s="215"/>
      <c r="AK55" s="215"/>
      <c r="AL55" s="215"/>
      <c r="AM55" s="215"/>
      <c r="AN55" s="215"/>
      <c r="AO55" s="215"/>
      <c r="AP55" s="215"/>
      <c r="AQ55" s="215"/>
      <c r="AR55" s="215"/>
      <c r="AS55" s="215"/>
      <c r="AT55" s="518"/>
      <c r="AU55" s="519"/>
      <c r="AW55" s="130"/>
      <c r="AX55" s="130" t="str">
        <f t="shared" si="22"/>
        <v xml:space="preserve">Добавить строку</v>
      </c>
      <c r="AY55" s="130"/>
      <c r="AZ55" s="130"/>
      <c r="BA55" s="50">
        <v>11</v>
      </c>
    </row>
    <row r="56" s="57" customFormat="1" ht="1.05" customHeight="1">
      <c r="A56" s="134" t="s">
        <v>194</v>
      </c>
      <c r="B56" s="134" t="s">
        <v>195</v>
      </c>
      <c r="C56" s="134" t="s">
        <v>196</v>
      </c>
      <c r="D56" s="134" t="s">
        <v>197</v>
      </c>
      <c r="E56" s="492"/>
      <c r="F56" s="492"/>
      <c r="G56" s="492"/>
      <c r="H56" s="492"/>
      <c r="I56" s="499"/>
      <c r="J56" s="134"/>
      <c r="K56" s="134"/>
      <c r="L56" s="213"/>
      <c r="M56" s="597"/>
      <c r="N56" s="597"/>
      <c r="O56" s="597"/>
      <c r="P56" s="133"/>
      <c r="Q56" s="133"/>
      <c r="R56" s="500"/>
      <c r="S56" s="593"/>
      <c r="T56" s="594" t="s">
        <v>406</v>
      </c>
      <c r="U56" s="595"/>
      <c r="V56" s="595"/>
      <c r="W56" s="595"/>
      <c r="X56" s="595"/>
      <c r="Y56" s="595"/>
      <c r="Z56" s="595"/>
      <c r="AA56" s="595"/>
      <c r="AB56" s="595"/>
      <c r="AC56" s="595"/>
      <c r="AD56" s="595"/>
      <c r="AE56" s="595"/>
      <c r="AF56" s="595"/>
      <c r="AG56" s="595"/>
      <c r="AH56" s="595"/>
      <c r="AI56" s="595"/>
      <c r="AJ56" s="595"/>
      <c r="AK56" s="595"/>
      <c r="AL56" s="595"/>
      <c r="AM56" s="595"/>
      <c r="AN56" s="595"/>
      <c r="AO56" s="595"/>
      <c r="AP56" s="595"/>
      <c r="AQ56" s="595"/>
      <c r="AR56" s="595"/>
      <c r="AS56" s="595"/>
      <c r="AT56" s="595"/>
      <c r="AU56" s="596"/>
      <c r="AW56" s="130"/>
      <c r="AX56" s="130" t="str">
        <f t="shared" si="22"/>
        <v xml:space="preserve">Добавить группу потребителей</v>
      </c>
      <c r="AY56" s="130"/>
      <c r="AZ56" s="130"/>
      <c r="BA56" s="57">
        <v>1</v>
      </c>
    </row>
    <row r="57" s="132" customFormat="1" ht="1.05" customHeight="1">
      <c r="A57" s="134" t="s">
        <v>194</v>
      </c>
      <c r="B57" s="134" t="s">
        <v>195</v>
      </c>
      <c r="C57" s="134" t="s">
        <v>196</v>
      </c>
      <c r="D57" s="134" t="s">
        <v>197</v>
      </c>
      <c r="E57" s="492"/>
      <c r="F57" s="492"/>
      <c r="G57" s="492"/>
      <c r="H57" s="481"/>
      <c r="I57" s="134"/>
      <c r="J57" s="134"/>
      <c r="K57" s="134"/>
      <c r="L57" s="213"/>
      <c r="M57" s="465"/>
      <c r="N57" s="465"/>
      <c r="O57" s="57"/>
      <c r="P57" s="168"/>
      <c r="Q57" s="525"/>
      <c r="R57" s="676"/>
      <c r="S57" s="593"/>
      <c r="T57" s="594"/>
      <c r="U57" s="595"/>
      <c r="V57" s="595"/>
      <c r="W57" s="595"/>
      <c r="X57" s="595"/>
      <c r="Y57" s="595"/>
      <c r="Z57" s="595"/>
      <c r="AA57" s="595"/>
      <c r="AB57" s="595"/>
      <c r="AC57" s="595"/>
      <c r="AD57" s="595"/>
      <c r="AE57" s="595"/>
      <c r="AF57" s="595"/>
      <c r="AG57" s="595"/>
      <c r="AH57" s="595"/>
      <c r="AI57" s="595"/>
      <c r="AJ57" s="595"/>
      <c r="AK57" s="595"/>
      <c r="AL57" s="595"/>
      <c r="AM57" s="595"/>
      <c r="AN57" s="595"/>
      <c r="AO57" s="595"/>
      <c r="AP57" s="595"/>
      <c r="AQ57" s="595"/>
      <c r="AR57" s="595"/>
      <c r="AS57" s="595"/>
      <c r="AT57" s="595"/>
      <c r="AU57" s="596"/>
      <c r="AV57" s="57"/>
      <c r="AW57" s="130"/>
      <c r="AX57" s="130" t="str">
        <f t="shared" si="22"/>
        <v/>
      </c>
      <c r="AY57" s="130"/>
      <c r="AZ57" s="130"/>
      <c r="BA57" s="132">
        <v>1</v>
      </c>
    </row>
    <row r="58" s="57" customFormat="1" ht="1.05" customHeight="1">
      <c r="A58" s="134" t="s">
        <v>194</v>
      </c>
      <c r="B58" s="134" t="s">
        <v>195</v>
      </c>
      <c r="C58" s="134" t="s">
        <v>196</v>
      </c>
      <c r="D58" s="134"/>
      <c r="E58" s="492"/>
      <c r="F58" s="492"/>
      <c r="G58" s="481"/>
      <c r="H58" s="134"/>
      <c r="I58" s="134"/>
      <c r="J58" s="134"/>
      <c r="K58" s="134"/>
      <c r="L58" s="213"/>
      <c r="M58" s="465"/>
      <c r="N58" s="465"/>
      <c r="P58" s="168"/>
      <c r="Q58" s="525"/>
      <c r="R58" s="168"/>
      <c r="S58" s="530"/>
      <c r="T58" s="533" t="s">
        <v>408</v>
      </c>
      <c r="U58" s="532"/>
      <c r="V58" s="532"/>
      <c r="W58" s="532"/>
      <c r="X58" s="532"/>
      <c r="Y58" s="532"/>
      <c r="Z58" s="532"/>
      <c r="AA58" s="532"/>
      <c r="AB58" s="532"/>
      <c r="AC58" s="532"/>
      <c r="AD58" s="532"/>
      <c r="AE58" s="532"/>
      <c r="AF58" s="532"/>
      <c r="AG58" s="532"/>
      <c r="AH58" s="532"/>
      <c r="AI58" s="532"/>
      <c r="AJ58" s="532"/>
      <c r="AK58" s="532"/>
      <c r="AL58" s="532"/>
      <c r="AM58" s="532"/>
      <c r="AN58" s="532"/>
      <c r="AO58" s="532"/>
      <c r="AP58" s="532"/>
      <c r="AQ58" s="532"/>
      <c r="AR58" s="532"/>
      <c r="AS58" s="532"/>
      <c r="AT58" s="532"/>
      <c r="AU58" s="532"/>
      <c r="AW58" s="130"/>
      <c r="AX58" s="130" t="str">
        <f t="shared" si="22"/>
        <v xml:space="preserve">Добавить источник для дифференциации</v>
      </c>
      <c r="AY58" s="130"/>
      <c r="AZ58" s="130"/>
      <c r="BA58" s="57">
        <v>1</v>
      </c>
    </row>
    <row r="59" s="57" customFormat="1" ht="1.05" customHeight="1">
      <c r="A59" s="134" t="s">
        <v>194</v>
      </c>
      <c r="B59" s="134" t="s">
        <v>195</v>
      </c>
      <c r="C59" s="134"/>
      <c r="D59" s="134"/>
      <c r="E59" s="492"/>
      <c r="F59" s="481"/>
      <c r="G59" s="134"/>
      <c r="H59" s="134"/>
      <c r="I59" s="134"/>
      <c r="J59" s="134"/>
      <c r="K59" s="134"/>
      <c r="L59" s="213"/>
      <c r="M59" s="529"/>
      <c r="N59" s="529"/>
      <c r="P59" s="168"/>
      <c r="Q59" s="525"/>
      <c r="R59" s="168"/>
      <c r="S59" s="530"/>
      <c r="T59" s="533" t="s">
        <v>409</v>
      </c>
      <c r="U59" s="532"/>
      <c r="V59" s="532"/>
      <c r="W59" s="532"/>
      <c r="X59" s="532"/>
      <c r="Y59" s="532"/>
      <c r="Z59" s="532"/>
      <c r="AA59" s="532"/>
      <c r="AB59" s="532"/>
      <c r="AC59" s="532"/>
      <c r="AD59" s="532"/>
      <c r="AE59" s="532"/>
      <c r="AF59" s="532"/>
      <c r="AG59" s="532"/>
      <c r="AH59" s="532"/>
      <c r="AI59" s="532"/>
      <c r="AJ59" s="532"/>
      <c r="AK59" s="532"/>
      <c r="AL59" s="532"/>
      <c r="AM59" s="532"/>
      <c r="AN59" s="532"/>
      <c r="AO59" s="532"/>
      <c r="AP59" s="532"/>
      <c r="AQ59" s="532"/>
      <c r="AR59" s="532"/>
      <c r="AS59" s="532"/>
      <c r="AT59" s="532"/>
      <c r="AU59" s="532"/>
      <c r="AW59" s="130"/>
      <c r="AX59" s="130" t="str">
        <f t="shared" si="22"/>
        <v xml:space="preserve">Добавить централизованную систему для дифференциации</v>
      </c>
      <c r="AY59" s="130"/>
      <c r="AZ59" s="130"/>
      <c r="BA59" s="57">
        <v>1</v>
      </c>
    </row>
    <row r="60" s="57" customFormat="1" ht="1.05" customHeight="1">
      <c r="A60" s="134" t="s">
        <v>194</v>
      </c>
      <c r="B60" s="134"/>
      <c r="C60" s="134"/>
      <c r="D60" s="134"/>
      <c r="E60" s="492"/>
      <c r="F60" s="134"/>
      <c r="G60" s="134"/>
      <c r="H60" s="134"/>
      <c r="I60" s="134"/>
      <c r="J60" s="134"/>
      <c r="K60" s="134"/>
      <c r="L60" s="213"/>
      <c r="M60" s="529"/>
      <c r="N60" s="529"/>
      <c r="O60" s="57"/>
      <c r="P60" s="168"/>
      <c r="Q60" s="525"/>
      <c r="R60" s="168"/>
      <c r="S60" s="530"/>
      <c r="T60" s="533" t="s">
        <v>410</v>
      </c>
      <c r="U60" s="532"/>
      <c r="V60" s="532"/>
      <c r="W60" s="532"/>
      <c r="X60" s="532"/>
      <c r="Y60" s="532"/>
      <c r="Z60" s="532"/>
      <c r="AA60" s="532"/>
      <c r="AB60" s="532"/>
      <c r="AC60" s="532"/>
      <c r="AD60" s="532"/>
      <c r="AE60" s="532"/>
      <c r="AF60" s="532"/>
      <c r="AG60" s="532"/>
      <c r="AH60" s="532"/>
      <c r="AI60" s="532"/>
      <c r="AJ60" s="532"/>
      <c r="AK60" s="532"/>
      <c r="AL60" s="532"/>
      <c r="AM60" s="532"/>
      <c r="AN60" s="532"/>
      <c r="AO60" s="532"/>
      <c r="AP60" s="532"/>
      <c r="AQ60" s="532"/>
      <c r="AR60" s="532"/>
      <c r="AS60" s="532"/>
      <c r="AT60" s="532"/>
      <c r="AU60" s="532"/>
      <c r="AW60" s="130"/>
      <c r="AX60" s="130" t="str">
        <f t="shared" si="22"/>
        <v xml:space="preserve">Добавить территорию для дифференциации</v>
      </c>
      <c r="AY60" s="130"/>
      <c r="AZ60" s="130"/>
      <c r="BA60" s="57">
        <v>1</v>
      </c>
    </row>
    <row r="61" s="57" customFormat="1" ht="1.05" customHeight="1">
      <c r="A61" s="134" t="s">
        <v>194</v>
      </c>
      <c r="B61" s="134"/>
      <c r="C61" s="134"/>
      <c r="D61" s="134"/>
      <c r="E61" s="481"/>
      <c r="F61" s="134"/>
      <c r="G61" s="134"/>
      <c r="H61" s="134"/>
      <c r="I61" s="134"/>
      <c r="J61" s="134"/>
      <c r="K61" s="134"/>
      <c r="L61" s="213"/>
      <c r="M61" s="529"/>
      <c r="N61" s="529"/>
      <c r="O61" s="57"/>
      <c r="P61" s="168"/>
      <c r="Q61" s="525"/>
      <c r="R61" s="168"/>
      <c r="S61" s="530"/>
      <c r="T61" s="533" t="s">
        <v>410</v>
      </c>
      <c r="U61" s="532"/>
      <c r="V61" s="532"/>
      <c r="W61" s="532"/>
      <c r="X61" s="532"/>
      <c r="Y61" s="532"/>
      <c r="Z61" s="532"/>
      <c r="AA61" s="532"/>
      <c r="AB61" s="532"/>
      <c r="AC61" s="532"/>
      <c r="AD61" s="532"/>
      <c r="AE61" s="532"/>
      <c r="AF61" s="532"/>
      <c r="AG61" s="532"/>
      <c r="AH61" s="532"/>
      <c r="AI61" s="532"/>
      <c r="AJ61" s="532"/>
      <c r="AK61" s="532"/>
      <c r="AL61" s="532"/>
      <c r="AM61" s="532"/>
      <c r="AN61" s="532"/>
      <c r="AO61" s="532"/>
      <c r="AP61" s="532"/>
      <c r="AQ61" s="532"/>
      <c r="AR61" s="532"/>
      <c r="AS61" s="532"/>
      <c r="AT61" s="532"/>
      <c r="AU61" s="532"/>
      <c r="AW61" s="130"/>
      <c r="AX61" s="130" t="str">
        <f t="shared" si="22"/>
        <v xml:space="preserve">Добавить территорию для дифференциации</v>
      </c>
      <c r="AY61" s="130"/>
      <c r="AZ61" s="130"/>
      <c r="BA61" s="57">
        <v>1</v>
      </c>
    </row>
    <row r="62" s="57" customFormat="1" ht="1.05" customHeight="1">
      <c r="A62" s="134"/>
      <c r="B62" s="134"/>
      <c r="C62" s="134"/>
      <c r="D62" s="134"/>
      <c r="E62" s="134"/>
      <c r="F62" s="134"/>
      <c r="G62" s="134"/>
      <c r="H62" s="134"/>
      <c r="I62" s="134"/>
      <c r="J62" s="134"/>
      <c r="K62" s="134"/>
      <c r="L62" s="213"/>
      <c r="M62" s="529"/>
      <c r="N62" s="529"/>
      <c r="P62" s="168"/>
      <c r="Q62" s="525"/>
      <c r="R62" s="168"/>
      <c r="S62" s="530"/>
      <c r="T62" s="533" t="s">
        <v>442</v>
      </c>
      <c r="U62" s="532"/>
      <c r="V62" s="532"/>
      <c r="W62" s="532"/>
      <c r="X62" s="532"/>
      <c r="Y62" s="532"/>
      <c r="Z62" s="532"/>
      <c r="AA62" s="532"/>
      <c r="AB62" s="532"/>
      <c r="AC62" s="532"/>
      <c r="AD62" s="532"/>
      <c r="AE62" s="532"/>
      <c r="AF62" s="532"/>
      <c r="AG62" s="532"/>
      <c r="AH62" s="532"/>
      <c r="AI62" s="532"/>
      <c r="AJ62" s="532"/>
      <c r="AK62" s="532"/>
      <c r="AL62" s="532"/>
      <c r="AM62" s="532"/>
      <c r="AN62" s="532"/>
      <c r="AO62" s="532"/>
      <c r="AP62" s="532"/>
      <c r="AQ62" s="532"/>
      <c r="AR62" s="532"/>
      <c r="AS62" s="532"/>
      <c r="AT62" s="532"/>
      <c r="AU62" s="532"/>
      <c r="AW62" s="130"/>
      <c r="AX62" s="130" t="str">
        <f t="shared" si="22"/>
        <v xml:space="preserve">Добавить наименование тарифа</v>
      </c>
      <c r="AY62" s="130"/>
      <c r="AZ62" s="130"/>
      <c r="BA62" s="57">
        <v>1</v>
      </c>
    </row>
    <row r="63" ht="11.5" customHeight="1">
      <c r="M63" s="53"/>
      <c r="N63" s="53"/>
      <c r="O63" s="53"/>
      <c r="P63" s="53"/>
      <c r="Q63" s="53"/>
      <c r="R63" s="50"/>
      <c r="S63" s="50"/>
      <c r="AV63" s="50"/>
      <c r="AW63" s="50"/>
      <c r="AX63" s="50"/>
      <c r="AY63" s="50"/>
      <c r="AZ63" s="50"/>
      <c r="BA63" s="50">
        <v>11</v>
      </c>
    </row>
    <row r="64" ht="19.949999999999999" customHeight="1">
      <c r="O64" s="53"/>
      <c r="S64" s="477"/>
      <c r="T64" s="575"/>
      <c r="U64" s="575"/>
      <c r="V64" s="575"/>
      <c r="W64" s="575"/>
      <c r="X64" s="575"/>
      <c r="Y64" s="575"/>
      <c r="Z64" s="575"/>
      <c r="AA64" s="575"/>
      <c r="AB64" s="575"/>
      <c r="AC64" s="575"/>
      <c r="AD64" s="575"/>
      <c r="AE64" s="575"/>
      <c r="AF64" s="575"/>
      <c r="AG64" s="575"/>
      <c r="AH64" s="575"/>
      <c r="AI64" s="575"/>
      <c r="AJ64" s="575"/>
      <c r="AK64" s="575"/>
      <c r="AL64" s="575"/>
      <c r="AM64" s="575"/>
      <c r="AN64" s="575"/>
      <c r="AO64" s="575"/>
      <c r="AP64" s="575"/>
      <c r="AQ64" s="575"/>
      <c r="AR64" s="575"/>
      <c r="AS64" s="575"/>
      <c r="AT64" s="575"/>
      <c r="AU64" s="575"/>
      <c r="BA64" s="50">
        <v>19</v>
      </c>
    </row>
    <row r="65" ht="21" customHeight="1">
      <c r="O65" s="53"/>
      <c r="T65" s="575"/>
      <c r="U65" s="575"/>
      <c r="V65" s="575"/>
      <c r="W65" s="575"/>
      <c r="X65" s="575"/>
      <c r="Y65" s="575"/>
      <c r="Z65" s="575"/>
      <c r="AA65" s="575"/>
      <c r="AB65" s="575"/>
      <c r="AC65" s="575"/>
      <c r="AD65" s="575"/>
      <c r="AE65" s="575"/>
      <c r="AF65" s="575"/>
      <c r="AG65" s="575"/>
      <c r="AH65" s="575"/>
      <c r="AI65" s="575"/>
      <c r="AJ65" s="575"/>
      <c r="AK65" s="575"/>
      <c r="AL65" s="575"/>
      <c r="AM65" s="575"/>
      <c r="AN65" s="575"/>
      <c r="AO65" s="575"/>
      <c r="AP65" s="575"/>
      <c r="AQ65" s="575"/>
      <c r="AR65" s="575"/>
      <c r="AS65" s="575"/>
      <c r="AT65" s="575"/>
      <c r="AU65" s="575"/>
      <c r="BA65" s="50">
        <v>20</v>
      </c>
    </row>
    <row r="66" ht="14.65" customHeight="1">
      <c r="O66" s="53"/>
      <c r="T66" s="575"/>
      <c r="U66" s="575"/>
      <c r="V66" s="575"/>
      <c r="W66" s="575"/>
      <c r="X66" s="575"/>
      <c r="Y66" s="575"/>
      <c r="Z66" s="575"/>
      <c r="AA66" s="575"/>
      <c r="AB66" s="575"/>
      <c r="AC66" s="575"/>
      <c r="AD66" s="575"/>
      <c r="AE66" s="575"/>
      <c r="AF66" s="575"/>
      <c r="AG66" s="575"/>
      <c r="AH66" s="575"/>
      <c r="AI66" s="575"/>
      <c r="AJ66" s="575"/>
      <c r="AK66" s="575"/>
      <c r="AL66" s="575"/>
      <c r="AM66" s="575"/>
      <c r="AN66" s="575"/>
      <c r="AO66" s="575"/>
      <c r="AP66" s="575"/>
      <c r="AQ66" s="575"/>
      <c r="AR66" s="575"/>
      <c r="AS66" s="575"/>
      <c r="AT66" s="575"/>
      <c r="AU66" s="575"/>
      <c r="BA66" s="50">
        <v>14</v>
      </c>
    </row>
    <row r="67" ht="19.949999999999999" customHeight="1">
      <c r="O67" s="53"/>
      <c r="T67" s="575"/>
      <c r="U67" s="575"/>
      <c r="V67" s="575"/>
      <c r="W67" s="575"/>
      <c r="X67" s="575"/>
      <c r="Y67" s="575"/>
      <c r="Z67" s="575"/>
      <c r="AA67" s="575"/>
      <c r="AB67" s="575"/>
      <c r="AC67" s="575"/>
      <c r="AD67" s="575"/>
      <c r="AE67" s="575"/>
      <c r="AF67" s="575"/>
      <c r="AG67" s="575"/>
      <c r="AH67" s="575"/>
      <c r="AI67" s="575"/>
      <c r="AJ67" s="575"/>
      <c r="AK67" s="575"/>
      <c r="AL67" s="575"/>
      <c r="AM67" s="575"/>
      <c r="AN67" s="575"/>
      <c r="AO67" s="575"/>
      <c r="AP67" s="575"/>
      <c r="AQ67" s="575"/>
      <c r="AR67" s="575"/>
      <c r="AS67" s="575"/>
      <c r="AT67" s="575"/>
      <c r="AU67" s="575"/>
      <c r="BA67" s="50">
        <v>19</v>
      </c>
    </row>
    <row r="68" ht="16.800000000000001" customHeight="1">
      <c r="O68" s="53"/>
      <c r="T68" s="575"/>
      <c r="U68" s="575"/>
      <c r="V68" s="575"/>
      <c r="W68" s="575"/>
      <c r="X68" s="575"/>
      <c r="Y68" s="575"/>
      <c r="Z68" s="575"/>
      <c r="AA68" s="575"/>
      <c r="AB68" s="575"/>
      <c r="AC68" s="575"/>
      <c r="AD68" s="575"/>
      <c r="AE68" s="575"/>
      <c r="AF68" s="575"/>
      <c r="AG68" s="575"/>
      <c r="AH68" s="575"/>
      <c r="AI68" s="575"/>
      <c r="AJ68" s="575"/>
      <c r="AK68" s="575"/>
      <c r="AL68" s="575"/>
      <c r="AM68" s="575"/>
      <c r="AN68" s="575"/>
      <c r="AO68" s="575"/>
      <c r="AP68" s="575"/>
      <c r="AQ68" s="575"/>
      <c r="AR68" s="575"/>
      <c r="AS68" s="575"/>
      <c r="AT68" s="575"/>
      <c r="AU68" s="575"/>
      <c r="BA68" s="50">
        <v>16</v>
      </c>
    </row>
    <row r="69" ht="14.65" customHeight="1">
      <c r="O69" s="53"/>
      <c r="BA69" s="50">
        <v>14</v>
      </c>
    </row>
    <row r="70" ht="22.5" hidden="1" customHeight="1">
      <c r="A70" s="53" t="s">
        <v>81</v>
      </c>
      <c r="B70" s="53">
        <v>0</v>
      </c>
      <c r="C70" s="53">
        <v>0</v>
      </c>
      <c r="D70" s="53">
        <v>0</v>
      </c>
      <c r="E70" s="53">
        <v>0</v>
      </c>
      <c r="F70" s="53">
        <v>0</v>
      </c>
      <c r="G70" s="53">
        <v>0</v>
      </c>
      <c r="H70" s="53">
        <v>0</v>
      </c>
      <c r="I70" s="53">
        <v>0</v>
      </c>
      <c r="J70" s="53">
        <v>0</v>
      </c>
      <c r="K70" s="53">
        <v>0</v>
      </c>
      <c r="L70" s="114">
        <v>0</v>
      </c>
      <c r="M70" s="61">
        <v>0</v>
      </c>
      <c r="N70" s="61">
        <v>0</v>
      </c>
      <c r="O70" s="61">
        <v>0</v>
      </c>
      <c r="P70" s="61">
        <v>3</v>
      </c>
      <c r="Q70" s="539">
        <v>3</v>
      </c>
      <c r="R70" s="479">
        <v>3</v>
      </c>
      <c r="S70" s="86">
        <v>12</v>
      </c>
      <c r="T70" s="50">
        <v>31</v>
      </c>
      <c r="U70" s="50">
        <v>0</v>
      </c>
      <c r="V70" s="50">
        <v>0</v>
      </c>
      <c r="W70" s="50">
        <v>0</v>
      </c>
      <c r="X70" s="50">
        <v>0</v>
      </c>
      <c r="Y70" s="50">
        <v>0</v>
      </c>
      <c r="Z70" s="50">
        <v>0</v>
      </c>
      <c r="AA70" s="50">
        <v>0</v>
      </c>
      <c r="AB70" s="50">
        <v>5</v>
      </c>
      <c r="AC70" s="50">
        <v>3</v>
      </c>
      <c r="AD70" s="50">
        <v>3</v>
      </c>
      <c r="AE70" s="50">
        <v>24</v>
      </c>
      <c r="AF70" s="50">
        <v>3</v>
      </c>
      <c r="AG70" s="50">
        <v>3</v>
      </c>
      <c r="AH70" s="50">
        <v>3</v>
      </c>
      <c r="AI70" s="50">
        <v>24</v>
      </c>
      <c r="AJ70" s="50">
        <v>3</v>
      </c>
      <c r="AK70" s="50">
        <v>3</v>
      </c>
      <c r="AL70" s="50">
        <v>3</v>
      </c>
      <c r="AM70" s="50">
        <v>18</v>
      </c>
      <c r="AN70" s="50">
        <v>21</v>
      </c>
      <c r="AO70" s="50">
        <v>21</v>
      </c>
      <c r="AP70" s="50">
        <v>11</v>
      </c>
      <c r="AQ70" s="50">
        <v>3</v>
      </c>
      <c r="AR70" s="50">
        <v>11</v>
      </c>
      <c r="AS70" s="50">
        <v>8</v>
      </c>
      <c r="AT70" s="50">
        <v>4</v>
      </c>
      <c r="AU70" s="50">
        <v>115</v>
      </c>
      <c r="AV70" s="57">
        <v>10</v>
      </c>
      <c r="AW70" s="57">
        <v>10</v>
      </c>
      <c r="AX70" s="57">
        <v>10</v>
      </c>
      <c r="AY70" s="57">
        <v>10</v>
      </c>
      <c r="AZ70" s="57">
        <v>10</v>
      </c>
      <c r="BA70" s="50">
        <v>23</v>
      </c>
    </row>
  </sheetData>
  <sheetProtection autoFilter="0" deleteColumns="1" deleteRows="1" formatCells="1" formatColumns="0" formatRows="0" insertColumns="1" insertHyperlinks="1" insertRows="1" objects="0" pivotTables="1" scenarios="0" selectLockedCells="0" selectUnlockedCells="0" sheet="1" sort="1"/>
  <mergeCells count="119">
    <mergeCell ref="E2:E17"/>
    <mergeCell ref="V2:AA2"/>
    <mergeCell ref="AB2:AT2"/>
    <mergeCell ref="F3:F16"/>
    <mergeCell ref="V3:AA3"/>
    <mergeCell ref="AB3:AT3"/>
    <mergeCell ref="G4:G15"/>
    <mergeCell ref="V4:AA4"/>
    <mergeCell ref="AB4:AT4"/>
    <mergeCell ref="H5:H14"/>
    <mergeCell ref="V5:AA5"/>
    <mergeCell ref="AB5:AT5"/>
    <mergeCell ref="I6:I13"/>
    <mergeCell ref="P6:P13"/>
    <mergeCell ref="V6:AA6"/>
    <mergeCell ref="AB6:AT6"/>
    <mergeCell ref="J7:J12"/>
    <mergeCell ref="Q7:Q12"/>
    <mergeCell ref="V7:AA7"/>
    <mergeCell ref="AB7:AT7"/>
    <mergeCell ref="K8:K11"/>
    <mergeCell ref="R8:R11"/>
    <mergeCell ref="S8:S11"/>
    <mergeCell ref="T8:T11"/>
    <mergeCell ref="X8:X11"/>
    <mergeCell ref="Y8:Y11"/>
    <mergeCell ref="Z8:Z11"/>
    <mergeCell ref="AA8:AA11"/>
    <mergeCell ref="AB8:AB11"/>
    <mergeCell ref="AC8:AC10"/>
    <mergeCell ref="AD8:AD10"/>
    <mergeCell ref="AE8:AE10"/>
    <mergeCell ref="AF8:AF10"/>
    <mergeCell ref="AG8:AG9"/>
    <mergeCell ref="AH8:AH9"/>
    <mergeCell ref="AI8:AI9"/>
    <mergeCell ref="AJ8:AJ9"/>
    <mergeCell ref="AU8:AU12"/>
    <mergeCell ref="S27:AR27"/>
    <mergeCell ref="S28:AR28"/>
    <mergeCell ref="S30:T30"/>
    <mergeCell ref="V30:Z30"/>
    <mergeCell ref="AB30:AR30"/>
    <mergeCell ref="S31:T31"/>
    <mergeCell ref="V31:Z31"/>
    <mergeCell ref="AB31:AR31"/>
    <mergeCell ref="S32:T32"/>
    <mergeCell ref="V32:Z32"/>
    <mergeCell ref="AB32:AR32"/>
    <mergeCell ref="S33:T33"/>
    <mergeCell ref="V33:Z33"/>
    <mergeCell ref="AB33:AR33"/>
    <mergeCell ref="S35:T35"/>
    <mergeCell ref="V35:Z35"/>
    <mergeCell ref="AB35:AR35"/>
    <mergeCell ref="S36:T36"/>
    <mergeCell ref="V36:Z36"/>
    <mergeCell ref="AB36:AR36"/>
    <mergeCell ref="V38:AA38"/>
    <mergeCell ref="AB38:AS38"/>
    <mergeCell ref="S39:AT39"/>
    <mergeCell ref="AU39:AU43"/>
    <mergeCell ref="S40:S43"/>
    <mergeCell ref="T40:T43"/>
    <mergeCell ref="V40:Z40"/>
    <mergeCell ref="AA40:AA43"/>
    <mergeCell ref="AB40:AE43"/>
    <mergeCell ref="AF40:AI43"/>
    <mergeCell ref="AJ40:AM43"/>
    <mergeCell ref="AN40:AR40"/>
    <mergeCell ref="AS40:AS43"/>
    <mergeCell ref="AT40:AT43"/>
    <mergeCell ref="V41:W41"/>
    <mergeCell ref="X41:Z42"/>
    <mergeCell ref="AN41:AO41"/>
    <mergeCell ref="AP41:AR42"/>
    <mergeCell ref="V42:W42"/>
    <mergeCell ref="AN42:AO42"/>
    <mergeCell ref="Y43:Z43"/>
    <mergeCell ref="AQ43:AR43"/>
    <mergeCell ref="Y44:Z44"/>
    <mergeCell ref="AQ44:AR44"/>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T51:T54"/>
    <mergeCell ref="AB51:AB54"/>
    <mergeCell ref="AC51:AC53"/>
    <mergeCell ref="AD51:AD53"/>
    <mergeCell ref="AE51:AE53"/>
    <mergeCell ref="AF51:AF53"/>
    <mergeCell ref="AG51:AG52"/>
    <mergeCell ref="AH51:AH52"/>
    <mergeCell ref="AI51:AI52"/>
    <mergeCell ref="AJ51:AJ52"/>
    <mergeCell ref="AU51:AU55"/>
    <mergeCell ref="T64:AU64"/>
    <mergeCell ref="T65:AU65"/>
    <mergeCell ref="T67:AU67"/>
    <mergeCell ref="T68:AU68"/>
  </mergeCells>
  <dataValidations count="5" disablePrompts="0">
    <dataValidation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W65591 W131127 W196663 W262199 W327735 W393271 W458807 W524343 W589879 W655415 W720951 W786487 W852023 W917559 W983095 AO54 W11 AO65591 AO131127 AO196663 AO262199 AO327735 AO393271 AO458807 AO524343 AO589879 AO655415 AO720951 AO786487 AO852023 AO917559 AO983095 AO11 W54" type="none" allowBlank="1" errorStyle="stop" imeMode="noControl" operator="between" promptTitle="checkPeriodRange" showDropDown="0" showErrorMessage="0" showInputMessage="0"/>
    <dataValidation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S131128:AU131134 S196664:AU196670 S262200:AU262206 S327736:AU327742 S393272:AU393278 S458808:AU458814 S524344:AU524350 S589880:AU589886 S655416:AU655422 S720952:AU720958 S786488:AU786494 S852024:AU852030 S917560:AU917566 S983096:AU983102 S65592:AU65598" type="none" allowBlank="1" errorStyle="stop" imeMode="noControl" operator="between" showDropDown="0" showErrorMessage="0" showInputMessage="0"/>
    <dataValidation sqref="V42:W42" type="none" allowBlank="1" error="Выберите значение из списка" errorStyle="stop" errorTitle="Ошибка"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disablePrompts="0">
        <x14:dataValidation xr:uid="{005100C2-0059-46BE-A0F0-001B00EF00D3}" type="textLength" allowBlank="1" error="Допускается ввод не более 900 символов!" errorStyle="stop" errorTitle="Ошибка" imeMode="noControl" operator="lessThanOrEqual" showDropDown="0" showErrorMessage="1" showInputMessage="1">
          <x14:formula1>
            <xm:f>900</xm:f>
          </x14:formula1>
          <xm:sqref>AU65584:AU65591 AU131120:AU131127 AU196656:AU196663 AU262192:AU262199 AU327728:AU327735 AU393264:AU393271 AU458800:AU458807 AU524336:AU524343 AU589872:AU589879 AU655408:AU655415 AU720944:AU720951 AU786480:AU786487 AU852016:AU852023 AU917552:AU917559 AU983088:AU983095 T8:T11 T51:T54</xm:sqref>
        </x14:dataValidation>
        <x14:dataValidation xr:uid="{00CE0061-002E-45BA-922A-009A00600073}" type="list" allowBlank="1" error="Выберите значение из списка" errorStyle="stop" errorTitle="Ошибка" imeMode="noControl" operator="between" showDropDown="0" showErrorMessage="1" showInputMessage="1">
          <x14:formula1>
            <xm:f>kind_of_scheme_in</xm:f>
          </x14:formula1>
          <xm:sqref>AB983092:AM983092 AB65588:AM65588 AB131124:AM131124 AB196660:AM196660 AB262196:AM262196 AB327732:AM327732 AB393268:AM393268 AB458804:AM458804 AB524340:AM524340 AB589876:AM589876 AB655412:AM655412 AB720948:AM720948 AB786484:AM786484 AB852020:AM852020 AB917556:AM917556</xm:sqref>
        </x14:dataValidation>
        <x14:dataValidation xr:uid="{0094004D-0053-49A8-BF5D-001500D3002B}" type="list" allowBlank="1" error="Выберите значение из списка" errorStyle="stop" errorTitle="Ошибка" imeMode="noControl" operator="between" showDropDown="0" showErrorMessage="1" showInputMessage="1">
          <x14:formula1>
            <xm:f>kind_of_heat_transfer</xm:f>
          </x14:formula1>
          <xm:sqref>T65590 T131126 T196662 T262198 T327734 T393270 T458806 T524342 T589878 T655414 T720950 T786486 T852022 T917558 T983094</xm:sqref>
        </x14:dataValidation>
        <x14:dataValidation xr:uid="{006000F3-00EA-448D-B64F-00DD00C500A4}"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V917557:AT917557 V983093:AT983093 V65589:AT65589 V131125:AT131125 V196661:AT196661 V262197:AT262197 V327733:AT327733 V393269:AT393269 V458805:AT458805 V524341:AT524341 V589877:AT589877 V655413:AT655413 V720949:AT720949 V786485:AT786485 V852021:AT852021</xm:sqref>
        </x14:dataValidation>
        <x14:dataValidation xr:uid="{00DB00E9-001A-4268-8EC0-0058000E00D9}" type="list" allowBlank="1" error="Выберите значение из списка" errorStyle="stop" errorTitle="Ошибка" imeMode="noControl" operator="between" prompt="Выберите значение из списка" showDropDown="0" showErrorMessage="1" showInputMessage="1">
          <x14:formula1>
            <xm:f>UNIT_CONNECT_LIST</xm:f>
          </x14:formula1>
          <xm:sqref>AN42:AO42</xm:sqref>
        </x14:dataValidation>
      </x14:dataValidations>
    </ext>
  </extLs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8" ySplit="40" topLeftCell="AC41"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4.140625"/>
    <col customWidth="1" hidden="1" min="10" max="10" style="53" width="9.8515625"/>
    <col customWidth="1" hidden="1" min="11" max="11" style="53" width="14.7109375"/>
    <col customWidth="1" hidden="1" min="12" max="12" style="114" width="19.140625"/>
    <col customWidth="1" hidden="1" min="13" max="14" style="61" width="12.28125"/>
    <col customWidth="1" hidden="1" min="15" max="15" style="61" width="23.421875"/>
    <col customWidth="1" min="16" max="16" style="60" width="3.00390625"/>
    <col customWidth="1" min="17" max="18" style="479" width="3.00390625"/>
    <col customWidth="1" min="19" max="19" style="86" width="12.00390625"/>
    <col customWidth="1" min="20" max="20" style="50" width="35.00390625"/>
    <col customWidth="1" min="21" max="21" style="50" width="0.140625"/>
    <col customWidth="1" hidden="1" min="22" max="24" style="50" width="24.7109375"/>
    <col customWidth="1" hidden="1" min="25" max="25" style="50" width="11.7109375"/>
    <col customWidth="1" hidden="1" min="26" max="26" style="50" width="3.7109375"/>
    <col customWidth="1" hidden="1" min="27" max="27" style="50" width="11.7109375"/>
    <col customWidth="1" hidden="1" min="28" max="28" style="50" width="8.57421875"/>
    <col customWidth="1" min="29" max="29" style="50" width="24.7109375"/>
    <col customWidth="1" min="30" max="31" style="50" width="24.00390625"/>
    <col customWidth="1" min="32" max="32" style="50" width="11.00390625"/>
    <col customWidth="1" min="33" max="33" style="50" width="3.7109375"/>
    <col customWidth="1" min="34" max="34" style="50" width="11.00390625"/>
    <col customWidth="1" hidden="1" min="35" max="35" style="50" width="8.57421875"/>
    <col customWidth="1" min="36" max="36" style="50" width="4.00390625"/>
    <col customWidth="1" min="37" max="37" style="50" width="115.00390625"/>
    <col customWidth="1" min="38" max="42" style="57" width="10.00390625"/>
    <col hidden="1" min="43" max="43" style="50" width="10.57421875"/>
  </cols>
  <sheetData>
    <row r="1" ht="22.5" hidden="1" customHeight="1">
      <c r="X1" s="50"/>
      <c r="Y1" s="50"/>
      <c r="AE1" s="50"/>
      <c r="AF1" s="50"/>
      <c r="AQ1" s="50" t="s">
        <v>14</v>
      </c>
    </row>
    <row r="2" ht="23.25" hidden="1" customHeight="1">
      <c r="A2" s="480"/>
      <c r="B2" s="480"/>
      <c r="C2" s="480"/>
      <c r="D2" s="480"/>
      <c r="E2" s="481">
        <v>1</v>
      </c>
      <c r="F2" s="480"/>
      <c r="G2" s="480"/>
      <c r="H2" s="480"/>
      <c r="I2" s="480"/>
      <c r="J2" s="480"/>
      <c r="K2" s="480"/>
      <c r="L2" s="482"/>
      <c r="M2" s="483"/>
      <c r="N2" s="483"/>
      <c r="O2" s="483"/>
      <c r="P2" s="60"/>
      <c r="Q2" s="144"/>
      <c r="R2" s="484"/>
      <c r="S2" s="485" t="e">
        <f>INDEX(PT_DIFFERENTIATION_NUM_NTAR,MATCH(A2,PT_DIFFERENTIATION_NTAR_ID,0))</f>
        <v>#VALUE!</v>
      </c>
      <c r="T2" s="486" t="s">
        <v>119</v>
      </c>
      <c r="U2" s="487"/>
      <c r="V2" s="488"/>
      <c r="W2" s="489"/>
      <c r="X2" s="489"/>
      <c r="Y2" s="489"/>
      <c r="Z2" s="489"/>
      <c r="AA2" s="489"/>
      <c r="AB2" s="490"/>
      <c r="AC2" s="488" t="e">
        <f>INDEX(PT_DIFFERENTIATION_NTAR,MATCH(A2,PT_DIFFERENTIATION_NTAR_ID,0))</f>
        <v>#VALUE!</v>
      </c>
      <c r="AD2" s="489"/>
      <c r="AE2" s="489"/>
      <c r="AF2" s="489"/>
      <c r="AG2" s="489"/>
      <c r="AH2" s="489"/>
      <c r="AI2" s="489"/>
      <c r="AJ2" s="490"/>
      <c r="AK2" s="49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130"/>
      <c r="AN2" s="130" t="str">
        <f t="shared" ref="AN2:AN9" si="23">IF(T2="","",T2)</f>
        <v xml:space="preserve">Наименование тарифа</v>
      </c>
      <c r="AO2" s="130"/>
      <c r="AP2" s="130"/>
      <c r="AQ2" s="50">
        <v>0</v>
      </c>
    </row>
    <row r="3" ht="23.25" hidden="1" customHeight="1">
      <c r="A3" s="480"/>
      <c r="B3" s="480"/>
      <c r="C3" s="480"/>
      <c r="D3" s="480"/>
      <c r="E3" s="492"/>
      <c r="F3" s="481">
        <v>1</v>
      </c>
      <c r="G3" s="480"/>
      <c r="H3" s="480"/>
      <c r="I3" s="480"/>
      <c r="J3" s="480"/>
      <c r="K3" s="480"/>
      <c r="L3" s="482"/>
      <c r="M3" s="483"/>
      <c r="N3" s="483"/>
      <c r="O3" s="483"/>
      <c r="P3" s="51"/>
      <c r="Q3" s="493"/>
      <c r="R3" s="494"/>
      <c r="S3" s="485" t="e">
        <f>INDEX(PT_DIFFERENTIATION_NUM_TER,MATCH(B3,PT_DIFFERENTIATION_TER_ID,0))</f>
        <v>#VALUE!</v>
      </c>
      <c r="T3" s="495" t="s">
        <v>391</v>
      </c>
      <c r="U3" s="487"/>
      <c r="V3" s="488"/>
      <c r="W3" s="489"/>
      <c r="X3" s="489"/>
      <c r="Y3" s="489"/>
      <c r="Z3" s="489"/>
      <c r="AA3" s="489"/>
      <c r="AB3" s="490"/>
      <c r="AC3" s="488" t="e">
        <f>INDEX(PT_DIFFERENTIATION_TER,MATCH(B3,PT_DIFFERENTIATION_TER_ID,0))</f>
        <v>#VALUE!</v>
      </c>
      <c r="AD3" s="489"/>
      <c r="AE3" s="489"/>
      <c r="AF3" s="489"/>
      <c r="AG3" s="489"/>
      <c r="AH3" s="489"/>
      <c r="AI3" s="489"/>
      <c r="AJ3" s="490"/>
      <c r="AK3" s="491" t="s">
        <v>392</v>
      </c>
      <c r="AM3" s="130"/>
      <c r="AN3" s="130" t="str">
        <f t="shared" si="23"/>
        <v xml:space="preserve">Территория действия тарифа</v>
      </c>
      <c r="AO3" s="130"/>
      <c r="AP3" s="130"/>
      <c r="AQ3" s="50">
        <v>0</v>
      </c>
    </row>
    <row r="4" ht="23.25" hidden="1" customHeight="1">
      <c r="A4" s="480"/>
      <c r="B4" s="480"/>
      <c r="C4" s="480"/>
      <c r="D4" s="480"/>
      <c r="E4" s="492"/>
      <c r="F4" s="492"/>
      <c r="G4" s="481">
        <v>1</v>
      </c>
      <c r="H4" s="480"/>
      <c r="I4" s="480"/>
      <c r="J4" s="480"/>
      <c r="K4" s="480"/>
      <c r="L4" s="482"/>
      <c r="M4" s="483"/>
      <c r="N4" s="483"/>
      <c r="O4" s="483"/>
      <c r="P4" s="496"/>
      <c r="Q4" s="493"/>
      <c r="R4" s="494"/>
      <c r="S4" s="485" t="e">
        <f>INDEX(PT_DIFFERENTIATION_NUM_CS,MATCH(C4,PT_DIFFERENTIATION_CS_ID,0))</f>
        <v>#VALUE!</v>
      </c>
      <c r="T4" s="497" t="s">
        <v>475</v>
      </c>
      <c r="U4" s="487"/>
      <c r="V4" s="488"/>
      <c r="W4" s="489"/>
      <c r="X4" s="489"/>
      <c r="Y4" s="489"/>
      <c r="Z4" s="489"/>
      <c r="AA4" s="489"/>
      <c r="AB4" s="490"/>
      <c r="AC4" s="488" t="e">
        <f>INDEX(PT_DIFFERENTIATION_CS,MATCH(C4,PT_DIFFERENTIATION_CS_ID,0))</f>
        <v>#VALUE!</v>
      </c>
      <c r="AD4" s="489"/>
      <c r="AE4" s="489"/>
      <c r="AF4" s="489"/>
      <c r="AG4" s="489"/>
      <c r="AH4" s="489"/>
      <c r="AI4" s="489"/>
      <c r="AJ4" s="490"/>
      <c r="AK4" s="491" t="s">
        <v>476</v>
      </c>
      <c r="AM4" s="130"/>
      <c r="AN4" s="130" t="str">
        <f t="shared" si="23"/>
        <v xml:space="preserve">Наименование централизованной системы холодного водоснабжения</v>
      </c>
      <c r="AO4" s="130"/>
      <c r="AP4" s="130"/>
      <c r="AQ4" s="50">
        <v>0</v>
      </c>
    </row>
    <row r="5" ht="23.25" hidden="1" customHeight="1">
      <c r="A5" s="480"/>
      <c r="B5" s="480"/>
      <c r="C5" s="480"/>
      <c r="D5" s="480"/>
      <c r="E5" s="492"/>
      <c r="F5" s="492"/>
      <c r="G5" s="492"/>
      <c r="H5" s="492"/>
      <c r="I5" s="499" t="e">
        <f>S4&amp;".1"</f>
        <v>#VALUE!</v>
      </c>
      <c r="J5" s="480"/>
      <c r="K5" s="480"/>
      <c r="L5" s="482"/>
      <c r="P5" s="133">
        <v>1</v>
      </c>
      <c r="Q5" s="133"/>
      <c r="R5" s="500"/>
      <c r="S5" s="485" t="e">
        <f>$I5</f>
        <v>#VALUE!</v>
      </c>
      <c r="T5" s="501" t="s">
        <v>477</v>
      </c>
      <c r="U5" s="487"/>
      <c r="V5" s="677"/>
      <c r="W5" s="678"/>
      <c r="X5" s="678"/>
      <c r="Y5" s="678"/>
      <c r="Z5" s="678"/>
      <c r="AA5" s="678"/>
      <c r="AB5" s="679"/>
      <c r="AC5" s="680"/>
      <c r="AD5" s="681"/>
      <c r="AE5" s="681"/>
      <c r="AF5" s="681"/>
      <c r="AG5" s="681"/>
      <c r="AH5" s="681"/>
      <c r="AI5" s="681"/>
      <c r="AJ5" s="682"/>
      <c r="AK5" s="491" t="s">
        <v>478</v>
      </c>
      <c r="AM5" s="130"/>
      <c r="AN5" s="130" t="str">
        <f t="shared" si="23"/>
        <v xml:space="preserve">Наименование признака дифференциации</v>
      </c>
      <c r="AO5" s="130"/>
      <c r="AP5" s="130"/>
      <c r="AQ5" s="50">
        <v>0</v>
      </c>
    </row>
    <row r="6" ht="23.25" hidden="1" customHeight="1">
      <c r="A6" s="480"/>
      <c r="B6" s="480"/>
      <c r="C6" s="480"/>
      <c r="D6" s="480"/>
      <c r="E6" s="492"/>
      <c r="F6" s="492"/>
      <c r="G6" s="492"/>
      <c r="H6" s="492"/>
      <c r="I6" s="504"/>
      <c r="J6" s="499" t="e">
        <f>I5&amp;".1"</f>
        <v>#VALUE!</v>
      </c>
      <c r="K6" s="480"/>
      <c r="L6" s="482" t="s">
        <v>400</v>
      </c>
      <c r="P6" s="133"/>
      <c r="Q6" s="133">
        <v>1</v>
      </c>
      <c r="R6" s="505"/>
      <c r="S6" s="485" t="e">
        <f>$J6</f>
        <v>#VALUE!</v>
      </c>
      <c r="T6" s="506" t="s">
        <v>401</v>
      </c>
      <c r="U6" s="487"/>
      <c r="V6" s="432"/>
      <c r="W6" s="502"/>
      <c r="X6" s="502"/>
      <c r="Y6" s="502"/>
      <c r="Z6" s="502"/>
      <c r="AA6" s="502"/>
      <c r="AB6" s="503"/>
      <c r="AC6" s="432"/>
      <c r="AD6" s="502"/>
      <c r="AE6" s="502"/>
      <c r="AF6" s="502"/>
      <c r="AG6" s="502"/>
      <c r="AH6" s="502"/>
      <c r="AI6" s="502"/>
      <c r="AJ6" s="503"/>
      <c r="AK6" s="618" t="s">
        <v>479</v>
      </c>
      <c r="AM6" s="130"/>
      <c r="AN6" s="130" t="str">
        <f t="shared" si="23"/>
        <v xml:space="preserve">Группа потребителей</v>
      </c>
      <c r="AO6" s="130"/>
      <c r="AP6" s="130"/>
      <c r="AQ6" s="50">
        <v>0</v>
      </c>
    </row>
    <row r="7" ht="23.25" hidden="1" customHeight="1">
      <c r="A7" s="480"/>
      <c r="B7" s="480"/>
      <c r="C7" s="480"/>
      <c r="D7" s="480"/>
      <c r="E7" s="492"/>
      <c r="F7" s="492"/>
      <c r="G7" s="492"/>
      <c r="H7" s="492"/>
      <c r="I7" s="504"/>
      <c r="J7" s="504"/>
      <c r="K7" s="499" t="e">
        <f>J6&amp;".1"</f>
        <v>#VALUE!</v>
      </c>
      <c r="L7" s="482"/>
      <c r="P7" s="133"/>
      <c r="Q7" s="133"/>
      <c r="R7" s="505">
        <v>1</v>
      </c>
      <c r="S7" s="485" t="e">
        <f>$K7</f>
        <v>#VALUE!</v>
      </c>
      <c r="T7" s="683"/>
      <c r="U7" s="487"/>
      <c r="V7" s="508"/>
      <c r="W7" s="508"/>
      <c r="X7" s="510"/>
      <c r="Y7" s="511"/>
      <c r="Z7" s="225" t="s">
        <v>64</v>
      </c>
      <c r="AA7" s="511"/>
      <c r="AB7" s="225" t="s">
        <v>64</v>
      </c>
      <c r="AC7" s="508"/>
      <c r="AD7" s="508"/>
      <c r="AE7" s="510"/>
      <c r="AF7" s="511"/>
      <c r="AG7" s="225" t="s">
        <v>64</v>
      </c>
      <c r="AH7" s="571"/>
      <c r="AI7" s="225" t="s">
        <v>64</v>
      </c>
      <c r="AJ7" s="684"/>
      <c r="AK7" s="68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 t="e">
        <f>STRCHECKDATE(V8:AJ8)</f>
        <v>#NAME?</v>
      </c>
      <c r="AM7" s="130"/>
      <c r="AN7" s="130" t="str">
        <f t="shared" si="23"/>
        <v/>
      </c>
      <c r="AO7" s="130"/>
      <c r="AP7" s="130"/>
      <c r="AQ7" s="50">
        <v>0</v>
      </c>
    </row>
    <row r="8" ht="14.25" hidden="1" customHeight="1">
      <c r="A8" s="480"/>
      <c r="B8" s="480"/>
      <c r="C8" s="480"/>
      <c r="D8" s="480"/>
      <c r="E8" s="492"/>
      <c r="F8" s="492"/>
      <c r="G8" s="492"/>
      <c r="H8" s="492"/>
      <c r="I8" s="504"/>
      <c r="J8" s="504"/>
      <c r="K8" s="499"/>
      <c r="L8" s="482"/>
      <c r="P8" s="133"/>
      <c r="Q8" s="133"/>
      <c r="R8" s="505"/>
      <c r="S8" s="459"/>
      <c r="T8" s="487"/>
      <c r="U8" s="487"/>
      <c r="V8" s="509"/>
      <c r="W8" s="509"/>
      <c r="X8" s="513" t="str">
        <f>Y7&amp;"-"&amp;AA7</f>
        <v>-</v>
      </c>
      <c r="Y8" s="514"/>
      <c r="Z8" s="225"/>
      <c r="AA8" s="514"/>
      <c r="AB8" s="225"/>
      <c r="AC8" s="509"/>
      <c r="AD8" s="509"/>
      <c r="AE8" s="513" t="str">
        <f>AF7&amp;"-"&amp;AH7</f>
        <v>-</v>
      </c>
      <c r="AF8" s="514"/>
      <c r="AG8" s="225"/>
      <c r="AH8" s="573"/>
      <c r="AI8" s="225"/>
      <c r="AJ8" s="686"/>
      <c r="AK8" s="685"/>
      <c r="AM8" s="130"/>
      <c r="AN8" s="130" t="str">
        <f t="shared" si="23"/>
        <v/>
      </c>
      <c r="AO8" s="130"/>
      <c r="AP8" s="130"/>
      <c r="AQ8" s="50">
        <v>0</v>
      </c>
    </row>
    <row r="9" ht="21" hidden="1" customHeight="1">
      <c r="A9" s="480"/>
      <c r="B9" s="480"/>
      <c r="C9" s="480"/>
      <c r="D9" s="480"/>
      <c r="E9" s="492"/>
      <c r="F9" s="492"/>
      <c r="G9" s="492"/>
      <c r="H9" s="492"/>
      <c r="I9" s="504"/>
      <c r="J9" s="499"/>
      <c r="K9" s="480"/>
      <c r="L9" s="482"/>
      <c r="P9" s="133"/>
      <c r="Q9" s="133"/>
      <c r="R9" s="500"/>
      <c r="S9" s="516"/>
      <c r="T9" s="520" t="s">
        <v>480</v>
      </c>
      <c r="U9" s="215"/>
      <c r="V9" s="215"/>
      <c r="W9" s="215"/>
      <c r="X9" s="215"/>
      <c r="Y9" s="215"/>
      <c r="Z9" s="215"/>
      <c r="AA9" s="215"/>
      <c r="AB9" s="215"/>
      <c r="AC9" s="215"/>
      <c r="AD9" s="215"/>
      <c r="AE9" s="215"/>
      <c r="AF9" s="215"/>
      <c r="AG9" s="215"/>
      <c r="AH9" s="215"/>
      <c r="AI9" s="215"/>
      <c r="AJ9" s="215"/>
      <c r="AK9" s="491" t="s">
        <v>481</v>
      </c>
      <c r="AM9" s="130"/>
      <c r="AN9" s="130" t="str">
        <f t="shared" si="23"/>
        <v xml:space="preserve">Добавить значение признака дифференциации</v>
      </c>
      <c r="AO9" s="130"/>
      <c r="AP9" s="130"/>
      <c r="AQ9" s="50">
        <v>0</v>
      </c>
    </row>
    <row r="10" ht="21" hidden="1" customHeight="1">
      <c r="A10" s="480"/>
      <c r="B10" s="480"/>
      <c r="C10" s="480"/>
      <c r="D10" s="480"/>
      <c r="E10" s="492"/>
      <c r="F10" s="492"/>
      <c r="G10" s="492"/>
      <c r="H10" s="492"/>
      <c r="I10" s="499"/>
      <c r="J10" s="480"/>
      <c r="K10" s="480"/>
      <c r="L10" s="482"/>
      <c r="P10" s="133"/>
      <c r="Q10" s="133"/>
      <c r="R10" s="500"/>
      <c r="S10" s="516"/>
      <c r="T10" s="524" t="s">
        <v>406</v>
      </c>
      <c r="U10" s="215"/>
      <c r="V10" s="215"/>
      <c r="W10" s="215"/>
      <c r="X10" s="215"/>
      <c r="Y10" s="215"/>
      <c r="Z10" s="215"/>
      <c r="AA10" s="215"/>
      <c r="AB10" s="521"/>
      <c r="AC10" s="215"/>
      <c r="AD10" s="215"/>
      <c r="AE10" s="215"/>
      <c r="AF10" s="215"/>
      <c r="AG10" s="215"/>
      <c r="AH10" s="215"/>
      <c r="AI10" s="521"/>
      <c r="AJ10" s="215"/>
      <c r="AK10" s="687"/>
      <c r="AM10" s="130"/>
      <c r="AN10" s="130" t="str">
        <f t="shared" ref="AN10:AN53" si="24">IF(T10="","",T10)</f>
        <v xml:space="preserve">Добавить группу потребителей</v>
      </c>
      <c r="AO10" s="130"/>
      <c r="AP10" s="130"/>
      <c r="AQ10" s="50">
        <v>0</v>
      </c>
    </row>
    <row r="11" ht="14.25" hidden="1" customHeight="1">
      <c r="A11" s="480"/>
      <c r="B11" s="480"/>
      <c r="C11" s="480"/>
      <c r="D11" s="480"/>
      <c r="E11" s="492"/>
      <c r="F11" s="492"/>
      <c r="G11" s="492"/>
      <c r="H11" s="481"/>
      <c r="I11" s="480"/>
      <c r="J11" s="480"/>
      <c r="K11" s="480"/>
      <c r="L11" s="482"/>
      <c r="M11" s="483"/>
      <c r="N11" s="483"/>
      <c r="O11" s="53"/>
      <c r="P11" s="144"/>
      <c r="Q11" s="523"/>
      <c r="R11" s="484"/>
      <c r="S11" s="516"/>
      <c r="T11" s="688" t="s">
        <v>482</v>
      </c>
      <c r="U11" s="215"/>
      <c r="V11" s="215"/>
      <c r="W11" s="215"/>
      <c r="X11" s="215"/>
      <c r="Y11" s="215"/>
      <c r="Z11" s="215"/>
      <c r="AA11" s="215"/>
      <c r="AB11" s="521"/>
      <c r="AC11" s="215"/>
      <c r="AD11" s="215"/>
      <c r="AE11" s="215"/>
      <c r="AF11" s="215"/>
      <c r="AG11" s="215"/>
      <c r="AH11" s="215"/>
      <c r="AI11" s="521"/>
      <c r="AJ11" s="215"/>
      <c r="AK11" s="522"/>
      <c r="AM11" s="130"/>
      <c r="AN11" s="130" t="str">
        <f t="shared" si="24"/>
        <v xml:space="preserve">Добавить наименование признака дифференциации</v>
      </c>
      <c r="AO11" s="130"/>
      <c r="AP11" s="130"/>
      <c r="AQ11" s="50">
        <v>0</v>
      </c>
    </row>
    <row r="12" s="57" customFormat="1" ht="14.25" hidden="1" customHeight="1">
      <c r="A12" s="134"/>
      <c r="B12" s="134"/>
      <c r="C12" s="134"/>
      <c r="D12" s="134"/>
      <c r="E12" s="492"/>
      <c r="F12" s="481"/>
      <c r="G12" s="134"/>
      <c r="H12" s="134"/>
      <c r="I12" s="134"/>
      <c r="J12" s="134"/>
      <c r="K12" s="134"/>
      <c r="L12" s="213"/>
      <c r="M12" s="529"/>
      <c r="N12" s="529"/>
      <c r="P12" s="168"/>
      <c r="Q12" s="525"/>
      <c r="R12" s="168"/>
      <c r="S12" s="530"/>
      <c r="T12" s="533" t="s">
        <v>409</v>
      </c>
      <c r="U12" s="532"/>
      <c r="V12" s="532"/>
      <c r="W12" s="532"/>
      <c r="X12" s="532"/>
      <c r="Y12" s="532"/>
      <c r="Z12" s="532"/>
      <c r="AA12" s="532"/>
      <c r="AB12" s="532"/>
      <c r="AC12" s="532"/>
      <c r="AD12" s="532"/>
      <c r="AE12" s="532"/>
      <c r="AF12" s="532"/>
      <c r="AG12" s="532"/>
      <c r="AH12" s="532"/>
      <c r="AI12" s="532"/>
      <c r="AJ12" s="532"/>
      <c r="AK12" s="532"/>
      <c r="AM12" s="130"/>
      <c r="AN12" s="130" t="str">
        <f t="shared" si="24"/>
        <v xml:space="preserve">Добавить централизованную систему для дифференциации</v>
      </c>
      <c r="AO12" s="130"/>
      <c r="AP12" s="130"/>
      <c r="AQ12" s="57">
        <v>0</v>
      </c>
    </row>
    <row r="13" s="57" customFormat="1" ht="14.25" hidden="1" customHeight="1">
      <c r="A13" s="134"/>
      <c r="B13" s="134"/>
      <c r="C13" s="134"/>
      <c r="D13" s="134"/>
      <c r="E13" s="481"/>
      <c r="F13" s="134"/>
      <c r="G13" s="134"/>
      <c r="H13" s="134"/>
      <c r="I13" s="134"/>
      <c r="J13" s="134"/>
      <c r="K13" s="134"/>
      <c r="L13" s="213"/>
      <c r="M13" s="529"/>
      <c r="N13" s="529"/>
      <c r="O13" s="57"/>
      <c r="P13" s="168"/>
      <c r="Q13" s="525"/>
      <c r="R13" s="168"/>
      <c r="S13" s="530"/>
      <c r="T13" s="533" t="s">
        <v>410</v>
      </c>
      <c r="U13" s="532"/>
      <c r="V13" s="532"/>
      <c r="W13" s="532"/>
      <c r="X13" s="532"/>
      <c r="Y13" s="532"/>
      <c r="Z13" s="532"/>
      <c r="AA13" s="532"/>
      <c r="AB13" s="532"/>
      <c r="AC13" s="532"/>
      <c r="AD13" s="532"/>
      <c r="AE13" s="532"/>
      <c r="AF13" s="532"/>
      <c r="AG13" s="532"/>
      <c r="AH13" s="532"/>
      <c r="AI13" s="532"/>
      <c r="AJ13" s="532"/>
      <c r="AK13" s="532"/>
      <c r="AM13" s="130"/>
      <c r="AN13" s="130" t="str">
        <f t="shared" si="24"/>
        <v xml:space="preserve">Добавить территорию для дифференциации</v>
      </c>
      <c r="AO13" s="130"/>
      <c r="AP13" s="130"/>
      <c r="AQ13" s="57">
        <v>0</v>
      </c>
    </row>
    <row r="14" ht="14.25" hidden="1" customHeight="1">
      <c r="AB14" s="50"/>
      <c r="AI14" s="50"/>
      <c r="AQ14" s="50">
        <v>0</v>
      </c>
    </row>
    <row r="15" ht="14.25" hidden="1" customHeight="1">
      <c r="AC15" s="534"/>
      <c r="AD15" s="534"/>
      <c r="AE15" s="535"/>
      <c r="AF15" s="536"/>
      <c r="AG15" s="537" t="s">
        <v>64</v>
      </c>
      <c r="AH15" s="536"/>
      <c r="AI15" s="537" t="s">
        <v>64</v>
      </c>
      <c r="AQ15" s="50">
        <v>0</v>
      </c>
    </row>
    <row r="16" ht="14.25" hidden="1" customHeight="1">
      <c r="AC16" s="534"/>
      <c r="AD16" s="534"/>
      <c r="AE16" s="513" t="str">
        <f>AF15&amp;"-"&amp;AH15</f>
        <v>-</v>
      </c>
      <c r="AF16" s="537"/>
      <c r="AG16" s="537"/>
      <c r="AH16" s="537"/>
      <c r="AI16" s="537"/>
      <c r="AQ16" s="50">
        <v>0</v>
      </c>
    </row>
    <row r="17" ht="14.25" hidden="1" customHeight="1">
      <c r="AI17" s="50"/>
      <c r="AQ17" s="50">
        <v>0</v>
      </c>
    </row>
    <row r="18" s="53" customFormat="1" ht="22.5" hidden="1" customHeight="1">
      <c r="L18" s="114"/>
      <c r="M18" s="61"/>
      <c r="N18" s="61"/>
      <c r="O18" s="538" t="s">
        <v>411</v>
      </c>
      <c r="P18" s="61"/>
      <c r="Q18" s="539"/>
      <c r="R18" s="539"/>
      <c r="S18" s="483"/>
      <c r="Y18" s="538"/>
      <c r="AA18" s="538"/>
      <c r="AB18" s="53"/>
      <c r="AF18" s="538"/>
      <c r="AH18" s="538"/>
      <c r="AI18" s="53"/>
      <c r="AL18" s="57"/>
      <c r="AM18" s="57"/>
      <c r="AN18" s="57"/>
      <c r="AO18" s="57"/>
      <c r="AP18" s="57"/>
      <c r="AQ18" s="53">
        <v>0</v>
      </c>
    </row>
    <row r="19" s="53" customFormat="1" ht="14.25" hidden="1" customHeight="1">
      <c r="L19" s="114"/>
      <c r="M19" s="61"/>
      <c r="N19" s="61"/>
      <c r="O19" s="61"/>
      <c r="P19" s="61"/>
      <c r="Q19" s="539"/>
      <c r="R19" s="539"/>
      <c r="S19" s="483"/>
      <c r="AB19" s="53"/>
      <c r="AI19" s="53"/>
      <c r="AL19" s="57"/>
      <c r="AM19" s="57"/>
      <c r="AN19" s="57"/>
      <c r="AO19" s="57"/>
      <c r="AP19" s="57"/>
      <c r="AQ19" s="53">
        <v>0</v>
      </c>
    </row>
    <row r="20" s="53" customFormat="1" ht="12" hidden="1" customHeight="1">
      <c r="L20" s="114"/>
      <c r="M20" s="61"/>
      <c r="N20" s="61"/>
      <c r="O20" s="482" t="s">
        <v>412</v>
      </c>
      <c r="P20" s="61"/>
      <c r="Q20" s="689"/>
      <c r="R20" s="689"/>
      <c r="S20" s="483"/>
      <c r="T20" s="53" t="s">
        <v>413</v>
      </c>
      <c r="Z20" s="152" t="s">
        <v>414</v>
      </c>
      <c r="AB20" s="152" t="s">
        <v>415</v>
      </c>
      <c r="AC20" s="53" t="s">
        <v>413</v>
      </c>
      <c r="AG20" s="152" t="s">
        <v>416</v>
      </c>
      <c r="AI20" s="152" t="s">
        <v>415</v>
      </c>
      <c r="AQ20" s="53">
        <v>0</v>
      </c>
    </row>
    <row r="21" ht="14.25" hidden="1" customHeight="1">
      <c r="O21" s="482"/>
      <c r="AQ21" s="50">
        <v>0</v>
      </c>
    </row>
    <row r="22" ht="14.25" hidden="1" customHeight="1">
      <c r="O22" s="482"/>
      <c r="AQ22" s="50">
        <v>0</v>
      </c>
    </row>
    <row r="23" ht="14.65" customHeight="1">
      <c r="Q23" s="540"/>
      <c r="R23" s="540"/>
      <c r="S23" s="541"/>
      <c r="T23" s="91"/>
      <c r="U23" s="91"/>
      <c r="V23" s="50"/>
      <c r="W23" s="50"/>
      <c r="X23" s="50"/>
      <c r="Y23" s="50"/>
      <c r="Z23" s="50"/>
      <c r="AA23" s="50"/>
      <c r="AB23" s="50"/>
      <c r="AC23" s="50"/>
      <c r="AD23" s="50"/>
      <c r="AE23" s="50"/>
      <c r="AF23" s="50"/>
      <c r="AG23" s="50"/>
      <c r="AH23" s="50"/>
      <c r="AI23" s="50"/>
      <c r="AQ23" s="50">
        <v>14</v>
      </c>
    </row>
    <row r="24" ht="14.65" customHeight="1">
      <c r="Q24" s="540"/>
      <c r="R24" s="540"/>
      <c r="S24" s="453" t="str">
        <f>IF(TEMPLATE_GROUP="P",PT_P_FORM_COLDVSNA_4_NAME_FORM,PT_R_FORM_COLDVSNA_16_NAME_FORM)</f>
        <v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453"/>
      <c r="U24" s="453"/>
      <c r="V24" s="453"/>
      <c r="W24" s="453"/>
      <c r="X24" s="453"/>
      <c r="Y24" s="453"/>
      <c r="Z24" s="453"/>
      <c r="AA24" s="453"/>
      <c r="AB24" s="453"/>
      <c r="AC24" s="453"/>
      <c r="AD24" s="453"/>
      <c r="AE24" s="453"/>
      <c r="AF24" s="453"/>
      <c r="AG24" s="453"/>
      <c r="AH24" s="453"/>
      <c r="AI24" s="241"/>
      <c r="AQ24" s="50">
        <v>14</v>
      </c>
    </row>
    <row r="25" ht="14.65" customHeight="1">
      <c r="Q25" s="540"/>
      <c r="R25" s="540"/>
      <c r="S25" s="304" t="str">
        <f>IF(org=0,"Не определено",org)</f>
        <v xml:space="preserve">АО "ДГК" СП "Биробиджанская ТЭЦ"</v>
      </c>
      <c r="T25" s="304"/>
      <c r="U25" s="304"/>
      <c r="V25" s="304"/>
      <c r="W25" s="304"/>
      <c r="X25" s="304"/>
      <c r="Y25" s="304"/>
      <c r="Z25" s="304"/>
      <c r="AA25" s="304"/>
      <c r="AB25" s="304"/>
      <c r="AC25" s="304"/>
      <c r="AD25" s="304"/>
      <c r="AE25" s="304"/>
      <c r="AF25" s="304"/>
      <c r="AG25" s="304"/>
      <c r="AH25" s="304"/>
      <c r="AI25" s="241"/>
      <c r="AQ25" s="50">
        <v>14</v>
      </c>
    </row>
    <row r="26" ht="14.25" hidden="1" customHeight="1">
      <c r="Q26" s="540"/>
      <c r="R26" s="540"/>
      <c r="S26" s="541"/>
      <c r="T26" s="91"/>
      <c r="U26" s="91"/>
      <c r="V26" s="542"/>
      <c r="W26" s="542"/>
      <c r="X26" s="542"/>
      <c r="Y26" s="542"/>
      <c r="Z26" s="542"/>
      <c r="AA26" s="542"/>
      <c r="AB26" s="542"/>
      <c r="AC26" s="542"/>
      <c r="AD26" s="542"/>
      <c r="AE26" s="542"/>
      <c r="AF26" s="542"/>
      <c r="AG26" s="542"/>
      <c r="AH26" s="542"/>
      <c r="AI26" s="542"/>
      <c r="AJ26" s="50"/>
      <c r="AQ26" s="50">
        <v>0</v>
      </c>
    </row>
    <row r="27" s="185" customFormat="1" ht="25.5" hidden="1" customHeight="1">
      <c r="A27" s="152"/>
      <c r="B27" s="152"/>
      <c r="C27" s="152"/>
      <c r="D27" s="152"/>
      <c r="E27" s="152"/>
      <c r="F27" s="152"/>
      <c r="G27" s="152"/>
      <c r="H27" s="152"/>
      <c r="I27" s="152"/>
      <c r="J27" s="152"/>
      <c r="K27" s="152"/>
      <c r="L27" s="482"/>
      <c r="M27" s="152"/>
      <c r="N27" s="152"/>
      <c r="O27" s="152"/>
      <c r="S27" s="543" t="s">
        <v>41</v>
      </c>
      <c r="T27" s="543"/>
      <c r="U27" s="544"/>
      <c r="V27" s="545" t="str">
        <f>IF(TITLE_NAME_OR_PR_CHANGE="",IF(TITLE_NAME_OR_PR="","",TITLE_NAME_OR_PR),TITLE_NAME_OR_PR_CHANGE)</f>
        <v/>
      </c>
      <c r="W27" s="545"/>
      <c r="X27" s="545"/>
      <c r="Y27" s="545"/>
      <c r="Z27" s="545"/>
      <c r="AA27" s="545"/>
      <c r="AB27" s="50"/>
      <c r="AC27" s="545" t="str">
        <f>IF(TITLE_NAME_OR_PR_CHANGE="",IF(TITLE_NAME_OR_PR="","",TITLE_NAME_OR_PR),TITLE_NAME_OR_PR_CHANGE)</f>
        <v/>
      </c>
      <c r="AD27" s="545"/>
      <c r="AE27" s="545"/>
      <c r="AF27" s="545"/>
      <c r="AG27" s="545"/>
      <c r="AH27" s="545"/>
      <c r="AI27" s="50"/>
      <c r="AJ27" s="50"/>
      <c r="AK27" s="546"/>
      <c r="AL27" s="130"/>
      <c r="AM27" s="130"/>
      <c r="AN27" s="130"/>
      <c r="AO27" s="130"/>
      <c r="AP27" s="130"/>
      <c r="AQ27" s="185">
        <v>0</v>
      </c>
    </row>
    <row r="28" s="185" customFormat="1" ht="18.75" hidden="1" customHeight="1">
      <c r="A28" s="152"/>
      <c r="B28" s="152"/>
      <c r="C28" s="152"/>
      <c r="D28" s="152"/>
      <c r="E28" s="152"/>
      <c r="F28" s="152"/>
      <c r="G28" s="152"/>
      <c r="H28" s="152"/>
      <c r="I28" s="152"/>
      <c r="J28" s="152"/>
      <c r="K28" s="152"/>
      <c r="L28" s="482"/>
      <c r="M28" s="152"/>
      <c r="N28" s="152"/>
      <c r="O28" s="152"/>
      <c r="S28" s="543" t="s">
        <v>417</v>
      </c>
      <c r="T28" s="543"/>
      <c r="U28" s="544"/>
      <c r="V28" s="547" t="str">
        <f>IF(TITLE_DATE_PR_CHANGE="",IF(TITLE_DATE_PR="","",TITLE_DATE_PR),TITLE_DATE_PR_CHANGE)</f>
        <v/>
      </c>
      <c r="W28" s="547"/>
      <c r="X28" s="547"/>
      <c r="Y28" s="547"/>
      <c r="Z28" s="547"/>
      <c r="AA28" s="547"/>
      <c r="AB28" s="50"/>
      <c r="AC28" s="547" t="str">
        <f>IF(TITLE_DATE_PR_CHANGE="",IF(TITLE_DATE_PR="","",TITLE_DATE_PR),TITLE_DATE_PR_CHANGE)</f>
        <v/>
      </c>
      <c r="AD28" s="547"/>
      <c r="AE28" s="547"/>
      <c r="AF28" s="547"/>
      <c r="AG28" s="547"/>
      <c r="AH28" s="547"/>
      <c r="AI28" s="50"/>
      <c r="AJ28" s="50"/>
      <c r="AK28" s="546"/>
      <c r="AL28" s="130"/>
      <c r="AM28" s="130"/>
      <c r="AN28" s="130"/>
      <c r="AO28" s="130"/>
      <c r="AP28" s="130"/>
      <c r="AQ28" s="185">
        <v>0</v>
      </c>
    </row>
    <row r="29" s="185" customFormat="1" ht="18.75" hidden="1" customHeight="1">
      <c r="A29" s="152"/>
      <c r="B29" s="152"/>
      <c r="C29" s="152"/>
      <c r="D29" s="152"/>
      <c r="E29" s="152"/>
      <c r="F29" s="152"/>
      <c r="G29" s="152"/>
      <c r="H29" s="152"/>
      <c r="I29" s="152"/>
      <c r="J29" s="152"/>
      <c r="K29" s="152"/>
      <c r="L29" s="482"/>
      <c r="M29" s="152"/>
      <c r="N29" s="152"/>
      <c r="O29" s="152"/>
      <c r="S29" s="543" t="s">
        <v>418</v>
      </c>
      <c r="T29" s="543"/>
      <c r="U29" s="544"/>
      <c r="V29" s="545" t="str">
        <f>IF(TITLE_NUMBER_PR_CHANGE="",IF(TITLE_NUMBER_PR="","",TITLE_NUMBER_PR),TITLE_NUMBER_PR_CHANGE)</f>
        <v/>
      </c>
      <c r="W29" s="545"/>
      <c r="X29" s="545"/>
      <c r="Y29" s="545"/>
      <c r="Z29" s="545"/>
      <c r="AA29" s="545"/>
      <c r="AB29" s="50"/>
      <c r="AC29" s="545" t="str">
        <f>IF(TITLE_NUMBER_PR_CHANGE="",IF(TITLE_NUMBER_PR="","",TITLE_NUMBER_PR),TITLE_NUMBER_PR_CHANGE)</f>
        <v/>
      </c>
      <c r="AD29" s="545"/>
      <c r="AE29" s="545"/>
      <c r="AF29" s="545"/>
      <c r="AG29" s="545"/>
      <c r="AH29" s="545"/>
      <c r="AI29" s="50"/>
      <c r="AJ29" s="50"/>
      <c r="AK29" s="546"/>
      <c r="AL29" s="130"/>
      <c r="AM29" s="130"/>
      <c r="AN29" s="130"/>
      <c r="AO29" s="130"/>
      <c r="AP29" s="130"/>
      <c r="AQ29" s="185">
        <v>0</v>
      </c>
    </row>
    <row r="30" s="185" customFormat="1" ht="18.75" hidden="1" customHeight="1">
      <c r="A30" s="152"/>
      <c r="B30" s="152"/>
      <c r="C30" s="152"/>
      <c r="D30" s="152"/>
      <c r="E30" s="152"/>
      <c r="F30" s="152"/>
      <c r="G30" s="152"/>
      <c r="H30" s="152"/>
      <c r="I30" s="152"/>
      <c r="J30" s="152"/>
      <c r="K30" s="152"/>
      <c r="L30" s="482"/>
      <c r="M30" s="152"/>
      <c r="N30" s="152"/>
      <c r="O30" s="152"/>
      <c r="S30" s="543" t="s">
        <v>42</v>
      </c>
      <c r="T30" s="543"/>
      <c r="U30" s="544"/>
      <c r="V30" s="545" t="str">
        <f>IF(TITLE_IST_PUB_CHANGE="",IF(TITLE_IST_PUB="","",TITLE_IST_PUB),TITLE_IST_PUB_CHANGE)</f>
        <v/>
      </c>
      <c r="W30" s="545"/>
      <c r="X30" s="545"/>
      <c r="Y30" s="545"/>
      <c r="Z30" s="545"/>
      <c r="AA30" s="545"/>
      <c r="AB30" s="50"/>
      <c r="AC30" s="545" t="str">
        <f>IF(TITLE_IST_PUB_CHANGE="",IF(TITLE_IST_PUB="","",TITLE_IST_PUB),TITLE_IST_PUB_CHANGE)</f>
        <v/>
      </c>
      <c r="AD30" s="545"/>
      <c r="AE30" s="545"/>
      <c r="AF30" s="545"/>
      <c r="AG30" s="545"/>
      <c r="AH30" s="545"/>
      <c r="AI30" s="50"/>
      <c r="AJ30" s="50"/>
      <c r="AK30" s="546"/>
      <c r="AL30" s="130"/>
      <c r="AM30" s="130"/>
      <c r="AN30" s="130"/>
      <c r="AO30" s="130"/>
      <c r="AP30" s="130"/>
      <c r="AQ30" s="185">
        <v>0</v>
      </c>
    </row>
    <row r="31" ht="14.25" hidden="1" customHeight="1">
      <c r="Q31" s="540"/>
      <c r="R31" s="540"/>
      <c r="S31" s="541"/>
      <c r="T31" s="91"/>
      <c r="U31" s="91"/>
      <c r="V31" s="542"/>
      <c r="W31" s="542"/>
      <c r="X31" s="542"/>
      <c r="Y31" s="542"/>
      <c r="Z31" s="542"/>
      <c r="AA31" s="542"/>
      <c r="AB31" s="542"/>
      <c r="AC31" s="542"/>
      <c r="AD31" s="542"/>
      <c r="AE31" s="542"/>
      <c r="AF31" s="542"/>
      <c r="AG31" s="542"/>
      <c r="AH31" s="542"/>
      <c r="AI31" s="542"/>
      <c r="AJ31" s="50"/>
      <c r="AQ31" s="50">
        <v>0</v>
      </c>
    </row>
    <row r="32" s="185" customFormat="1" ht="18.75" hidden="1" customHeight="1">
      <c r="A32" s="152"/>
      <c r="B32" s="152"/>
      <c r="C32" s="152"/>
      <c r="D32" s="152"/>
      <c r="E32" s="152"/>
      <c r="F32" s="152"/>
      <c r="G32" s="152"/>
      <c r="H32" s="152"/>
      <c r="I32" s="152"/>
      <c r="J32" s="152"/>
      <c r="K32" s="152"/>
      <c r="L32" s="482"/>
      <c r="M32" s="152"/>
      <c r="N32" s="152"/>
      <c r="O32" s="152"/>
      <c r="S32" s="543" t="s">
        <v>419</v>
      </c>
      <c r="T32" s="543"/>
      <c r="U32" s="544"/>
      <c r="V32" s="547" t="str">
        <f>IF(TITLE_DATE_PR_CHANGE="",IF(TITLE_DATE_PR="","",TITLE_DATE_PR),TITLE_DATE_PR_CHANGE)</f>
        <v/>
      </c>
      <c r="W32" s="547"/>
      <c r="X32" s="547"/>
      <c r="Y32" s="547"/>
      <c r="Z32" s="547"/>
      <c r="AA32" s="547"/>
      <c r="AB32" s="50"/>
      <c r="AC32" s="547" t="str">
        <f>IF(TITLE_DATE_PR_CHANGE="",IF(TITLE_DATE_PR="","",TITLE_DATE_PR),TITLE_DATE_PR_CHANGE)</f>
        <v/>
      </c>
      <c r="AD32" s="547"/>
      <c r="AE32" s="547"/>
      <c r="AF32" s="547"/>
      <c r="AG32" s="547"/>
      <c r="AH32" s="547"/>
      <c r="AI32" s="50"/>
      <c r="AJ32" s="50"/>
      <c r="AK32" s="546"/>
      <c r="AL32" s="130"/>
      <c r="AM32" s="130"/>
      <c r="AN32" s="130"/>
      <c r="AO32" s="130"/>
      <c r="AP32" s="130"/>
      <c r="AQ32" s="185">
        <v>0</v>
      </c>
    </row>
    <row r="33" s="185" customFormat="1" ht="18.75" hidden="1" customHeight="1">
      <c r="A33" s="152"/>
      <c r="B33" s="152"/>
      <c r="C33" s="152"/>
      <c r="D33" s="152"/>
      <c r="E33" s="152"/>
      <c r="F33" s="152"/>
      <c r="G33" s="152"/>
      <c r="H33" s="152"/>
      <c r="I33" s="152"/>
      <c r="J33" s="152"/>
      <c r="K33" s="152"/>
      <c r="L33" s="482"/>
      <c r="M33" s="152"/>
      <c r="N33" s="152"/>
      <c r="O33" s="152"/>
      <c r="S33" s="543" t="s">
        <v>420</v>
      </c>
      <c r="T33" s="543"/>
      <c r="U33" s="544"/>
      <c r="V33" s="545" t="str">
        <f>IF(TITLE_NUMBER_PR_CHANGE="",IF(TITLE_NUMBER_PR="","",TITLE_NUMBER_PR),TITLE_NUMBER_PR_CHANGE)</f>
        <v/>
      </c>
      <c r="W33" s="545"/>
      <c r="X33" s="545"/>
      <c r="Y33" s="545"/>
      <c r="Z33" s="545"/>
      <c r="AA33" s="545"/>
      <c r="AB33" s="50"/>
      <c r="AC33" s="545" t="str">
        <f>IF(TITLE_NUMBER_PR_CHANGE="",IF(TITLE_NUMBER_PR="","",TITLE_NUMBER_PR),TITLE_NUMBER_PR_CHANGE)</f>
        <v/>
      </c>
      <c r="AD33" s="545"/>
      <c r="AE33" s="545"/>
      <c r="AF33" s="545"/>
      <c r="AG33" s="545"/>
      <c r="AH33" s="545"/>
      <c r="AI33" s="50"/>
      <c r="AJ33" s="50"/>
      <c r="AK33" s="546"/>
      <c r="AL33" s="130"/>
      <c r="AM33" s="130"/>
      <c r="AN33" s="130"/>
      <c r="AO33" s="130"/>
      <c r="AP33" s="130"/>
      <c r="AQ33" s="185">
        <v>0</v>
      </c>
    </row>
    <row r="34" s="185" customFormat="1" ht="1.05" customHeight="1">
      <c r="A34" s="152"/>
      <c r="B34" s="152"/>
      <c r="C34" s="152"/>
      <c r="D34" s="152"/>
      <c r="E34" s="152"/>
      <c r="F34" s="152"/>
      <c r="G34" s="152"/>
      <c r="H34" s="152"/>
      <c r="I34" s="152"/>
      <c r="J34" s="152"/>
      <c r="K34" s="152"/>
      <c r="L34" s="482"/>
      <c r="M34" s="152"/>
      <c r="N34" s="152"/>
      <c r="O34" s="152"/>
      <c r="S34" s="50"/>
      <c r="T34" s="50"/>
      <c r="U34" s="141"/>
      <c r="V34" s="50"/>
      <c r="W34" s="50"/>
      <c r="X34" s="50"/>
      <c r="Y34" s="50"/>
      <c r="Z34" s="50"/>
      <c r="AA34" s="50"/>
      <c r="AB34" s="57" t="s">
        <v>421</v>
      </c>
      <c r="AC34" s="50"/>
      <c r="AD34" s="50"/>
      <c r="AE34" s="50"/>
      <c r="AF34" s="50"/>
      <c r="AG34" s="50"/>
      <c r="AH34" s="50"/>
      <c r="AI34" s="57" t="s">
        <v>421</v>
      </c>
      <c r="AL34" s="130"/>
      <c r="AM34" s="130"/>
      <c r="AN34" s="130"/>
      <c r="AO34" s="130"/>
      <c r="AP34" s="130"/>
      <c r="AQ34" s="185">
        <v>1</v>
      </c>
    </row>
    <row r="35" ht="14.65" customHeight="1">
      <c r="Q35" s="540"/>
      <c r="R35" s="540"/>
      <c r="S35" s="541"/>
      <c r="T35" s="91"/>
      <c r="U35" s="548"/>
      <c r="V35" s="549"/>
      <c r="W35" s="549"/>
      <c r="X35" s="549"/>
      <c r="Y35" s="549"/>
      <c r="Z35" s="549"/>
      <c r="AA35" s="549"/>
      <c r="AB35" s="549"/>
      <c r="AC35" s="549"/>
      <c r="AD35" s="549"/>
      <c r="AE35" s="549"/>
      <c r="AF35" s="549"/>
      <c r="AG35" s="549"/>
      <c r="AH35" s="549"/>
      <c r="AI35" s="549"/>
      <c r="AQ35" s="50">
        <v>14</v>
      </c>
    </row>
    <row r="36" ht="14.65" customHeight="1">
      <c r="Q36" s="540"/>
      <c r="R36" s="540"/>
      <c r="S36" s="158" t="s">
        <v>294</v>
      </c>
      <c r="T36" s="158"/>
      <c r="U36" s="158"/>
      <c r="V36" s="158"/>
      <c r="W36" s="158"/>
      <c r="X36" s="158"/>
      <c r="Y36" s="158"/>
      <c r="Z36" s="158"/>
      <c r="AA36" s="158"/>
      <c r="AB36" s="158"/>
      <c r="AC36" s="158"/>
      <c r="AD36" s="158"/>
      <c r="AE36" s="158"/>
      <c r="AF36" s="158"/>
      <c r="AG36" s="158"/>
      <c r="AH36" s="158"/>
      <c r="AI36" s="158"/>
      <c r="AJ36" s="158"/>
      <c r="AK36" s="158" t="s">
        <v>295</v>
      </c>
      <c r="AQ36" s="50">
        <v>14</v>
      </c>
    </row>
    <row r="37" ht="14.65" customHeight="1">
      <c r="Q37" s="540"/>
      <c r="R37" s="540"/>
      <c r="S37" s="485" t="s">
        <v>87</v>
      </c>
      <c r="T37" s="348" t="s">
        <v>422</v>
      </c>
      <c r="U37" s="550"/>
      <c r="V37" s="551" t="s">
        <v>423</v>
      </c>
      <c r="W37" s="552"/>
      <c r="X37" s="552"/>
      <c r="Y37" s="552"/>
      <c r="Z37" s="552"/>
      <c r="AA37" s="553"/>
      <c r="AB37" s="554" t="s">
        <v>424</v>
      </c>
      <c r="AC37" s="551" t="s">
        <v>423</v>
      </c>
      <c r="AD37" s="552"/>
      <c r="AE37" s="552"/>
      <c r="AF37" s="552"/>
      <c r="AG37" s="552"/>
      <c r="AH37" s="553"/>
      <c r="AI37" s="554" t="s">
        <v>425</v>
      </c>
      <c r="AJ37" s="555" t="s">
        <v>426</v>
      </c>
      <c r="AK37" s="158"/>
      <c r="AQ37" s="50">
        <v>14</v>
      </c>
    </row>
    <row r="38" ht="35.649999999999999" customHeight="1">
      <c r="Q38" s="540"/>
      <c r="R38" s="540"/>
      <c r="S38" s="485"/>
      <c r="T38" s="348"/>
      <c r="U38" s="556"/>
      <c r="V38" s="308" t="s">
        <v>483</v>
      </c>
      <c r="W38" s="73" t="s">
        <v>429</v>
      </c>
      <c r="X38" s="72"/>
      <c r="Y38" s="73" t="s">
        <v>430</v>
      </c>
      <c r="Z38" s="146"/>
      <c r="AA38" s="72"/>
      <c r="AB38" s="558"/>
      <c r="AC38" s="308" t="s">
        <v>483</v>
      </c>
      <c r="AD38" s="73" t="s">
        <v>429</v>
      </c>
      <c r="AE38" s="72"/>
      <c r="AF38" s="73" t="s">
        <v>430</v>
      </c>
      <c r="AG38" s="146"/>
      <c r="AH38" s="72"/>
      <c r="AI38" s="558"/>
      <c r="AJ38" s="559"/>
      <c r="AK38" s="158"/>
      <c r="AQ38" s="50">
        <v>34</v>
      </c>
    </row>
    <row r="39" ht="35.649999999999999" customHeight="1">
      <c r="A39" s="152"/>
      <c r="B39" s="152" t="s">
        <v>131</v>
      </c>
      <c r="C39" s="152" t="s">
        <v>132</v>
      </c>
      <c r="D39" s="152" t="s">
        <v>133</v>
      </c>
      <c r="E39" s="482" t="s">
        <v>431</v>
      </c>
      <c r="F39" s="482" t="s">
        <v>432</v>
      </c>
      <c r="G39" s="482" t="s">
        <v>433</v>
      </c>
      <c r="H39" s="482"/>
      <c r="I39" s="482" t="s">
        <v>484</v>
      </c>
      <c r="J39" s="482" t="s">
        <v>436</v>
      </c>
      <c r="K39" s="482" t="s">
        <v>485</v>
      </c>
      <c r="L39" s="482" t="s">
        <v>412</v>
      </c>
      <c r="Q39" s="540"/>
      <c r="R39" s="540"/>
      <c r="S39" s="485"/>
      <c r="T39" s="348"/>
      <c r="U39" s="560"/>
      <c r="V39" s="308" t="s">
        <v>486</v>
      </c>
      <c r="W39" s="247" t="s">
        <v>487</v>
      </c>
      <c r="X39" s="247" t="s">
        <v>488</v>
      </c>
      <c r="Y39" s="247" t="s">
        <v>440</v>
      </c>
      <c r="Z39" s="416" t="s">
        <v>441</v>
      </c>
      <c r="AA39" s="418"/>
      <c r="AB39" s="562"/>
      <c r="AC39" s="308" t="s">
        <v>486</v>
      </c>
      <c r="AD39" s="247" t="s">
        <v>487</v>
      </c>
      <c r="AE39" s="247" t="s">
        <v>488</v>
      </c>
      <c r="AF39" s="247" t="s">
        <v>440</v>
      </c>
      <c r="AG39" s="416" t="s">
        <v>441</v>
      </c>
      <c r="AH39" s="418"/>
      <c r="AI39" s="562"/>
      <c r="AJ39" s="563"/>
      <c r="AK39" s="158"/>
      <c r="AQ39" s="50">
        <v>34</v>
      </c>
    </row>
    <row r="40" s="132" customFormat="1" ht="11.25" hidden="1" customHeight="1">
      <c r="A40" s="152"/>
      <c r="B40" s="152"/>
      <c r="C40" s="152"/>
      <c r="D40" s="152"/>
      <c r="E40" s="152"/>
      <c r="F40" s="152"/>
      <c r="G40" s="152"/>
      <c r="H40" s="152"/>
      <c r="I40" s="152"/>
      <c r="J40" s="152"/>
      <c r="K40" s="152"/>
      <c r="L40" s="482"/>
      <c r="M40" s="61"/>
      <c r="N40" s="61"/>
      <c r="O40" s="61"/>
      <c r="P40" s="564"/>
      <c r="Q40" s="565"/>
      <c r="R40" s="566">
        <v>1</v>
      </c>
      <c r="S40" s="567" t="s">
        <v>105</v>
      </c>
      <c r="T40" s="568" t="s">
        <v>106</v>
      </c>
      <c r="U40" s="569" t="str">
        <f ca="1">OFFSET(U40,0,-1)</f>
        <v>2</v>
      </c>
      <c r="V40" s="570">
        <f ca="1">OFFSET(V40,0,-1)+1</f>
        <v>3</v>
      </c>
      <c r="W40" s="570">
        <f ca="1">OFFSET(W40,0,-1)+1</f>
        <v>4</v>
      </c>
      <c r="X40" s="570">
        <f ca="1">OFFSET(X40,0,-1)+1</f>
        <v>5</v>
      </c>
      <c r="Y40" s="570">
        <f ca="1">OFFSET(Y40,0,-1)+1</f>
        <v>6</v>
      </c>
      <c r="Z40" s="570">
        <f ca="1">OFFSET(Z40,0,-1)+1</f>
        <v>7</v>
      </c>
      <c r="AA40" s="570"/>
      <c r="AB40" s="570">
        <f ca="1">OFFSET(AB40,0,-2)+1</f>
        <v>8</v>
      </c>
      <c r="AC40" s="570">
        <f ca="1">OFFSET(AC40,0,-1)+1</f>
        <v>9</v>
      </c>
      <c r="AD40" s="570">
        <f ca="1">OFFSET(AD40,0,-1)+1</f>
        <v>10</v>
      </c>
      <c r="AE40" s="570">
        <f ca="1">OFFSET(AE40,0,-1)+1</f>
        <v>11</v>
      </c>
      <c r="AF40" s="570">
        <f ca="1">OFFSET(AF40,0,-1)+1</f>
        <v>12</v>
      </c>
      <c r="AG40" s="570">
        <f ca="1">OFFSET(AG40,0,-1)+1</f>
        <v>13</v>
      </c>
      <c r="AH40" s="570"/>
      <c r="AI40" s="570">
        <f ca="1">OFFSET(AI40,0,-2)+1</f>
        <v>14</v>
      </c>
      <c r="AJ40" s="569">
        <f ca="1">OFFSET(AJ40,0,-1)</f>
        <v>14</v>
      </c>
      <c r="AK40" s="570">
        <f ca="1">OFFSET(AK40,0,-1)+1</f>
        <v>15</v>
      </c>
      <c r="AL40" s="57"/>
      <c r="AM40" s="57"/>
      <c r="AN40" s="57"/>
      <c r="AO40" s="57"/>
      <c r="AP40" s="57"/>
      <c r="AQ40" s="132">
        <v>0</v>
      </c>
    </row>
    <row r="41" ht="24" customHeight="1">
      <c r="A41" s="480" t="s">
        <v>220</v>
      </c>
      <c r="B41" s="480"/>
      <c r="C41" s="480"/>
      <c r="D41" s="480"/>
      <c r="E41" s="481">
        <v>1</v>
      </c>
      <c r="F41" s="480"/>
      <c r="G41" s="480"/>
      <c r="H41" s="480"/>
      <c r="I41" s="480"/>
      <c r="J41" s="480"/>
      <c r="K41" s="480"/>
      <c r="L41" s="482"/>
      <c r="M41" s="483"/>
      <c r="N41" s="483"/>
      <c r="O41" s="483"/>
      <c r="P41" s="60"/>
      <c r="Q41" s="144"/>
      <c r="R41" s="484"/>
      <c r="S41" s="485">
        <f>INDEX(PT_DIFFERENTIATION_NUM_NTAR,MATCH(A41,PT_DIFFERENTIATION_NTAR_ID,0))</f>
        <v>0</v>
      </c>
      <c r="T41" s="486" t="s">
        <v>119</v>
      </c>
      <c r="U41" s="487"/>
      <c r="V41" s="488"/>
      <c r="W41" s="489"/>
      <c r="X41" s="489"/>
      <c r="Y41" s="489"/>
      <c r="Z41" s="489"/>
      <c r="AA41" s="489"/>
      <c r="AB41" s="490"/>
      <c r="AC41" s="488" t="str">
        <f>INDEX(PT_DIFFERENTIATION_NTAR,MATCH(A41,PT_DIFFERENTIATION_NTAR_ID,0))</f>
        <v/>
      </c>
      <c r="AD41" s="489"/>
      <c r="AE41" s="489"/>
      <c r="AF41" s="489"/>
      <c r="AG41" s="489"/>
      <c r="AH41" s="489"/>
      <c r="AI41" s="489"/>
      <c r="AJ41" s="490"/>
      <c r="AK41" s="49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130"/>
      <c r="AN41" s="130" t="str">
        <f t="shared" si="24"/>
        <v xml:space="preserve">Наименование тарифа</v>
      </c>
      <c r="AO41" s="130"/>
      <c r="AP41" s="130"/>
      <c r="AQ41" s="50">
        <v>23</v>
      </c>
    </row>
    <row r="42" ht="24" customHeight="1">
      <c r="A42" s="480" t="s">
        <v>220</v>
      </c>
      <c r="B42" s="480" t="s">
        <v>221</v>
      </c>
      <c r="C42" s="480"/>
      <c r="D42" s="480"/>
      <c r="E42" s="492"/>
      <c r="F42" s="481">
        <v>1</v>
      </c>
      <c r="G42" s="480"/>
      <c r="H42" s="480"/>
      <c r="I42" s="480"/>
      <c r="J42" s="480"/>
      <c r="K42" s="480"/>
      <c r="L42" s="482"/>
      <c r="M42" s="483"/>
      <c r="N42" s="483"/>
      <c r="O42" s="483"/>
      <c r="P42" s="51"/>
      <c r="Q42" s="493"/>
      <c r="R42" s="494"/>
      <c r="S42" s="485" t="str">
        <f>INDEX(PT_DIFFERENTIATION_NUM_TER,MATCH(B42,PT_DIFFERENTIATION_TER_ID,0))</f>
        <v>.</v>
      </c>
      <c r="T42" s="495" t="s">
        <v>391</v>
      </c>
      <c r="U42" s="487"/>
      <c r="V42" s="488"/>
      <c r="W42" s="489"/>
      <c r="X42" s="489"/>
      <c r="Y42" s="489"/>
      <c r="Z42" s="489"/>
      <c r="AA42" s="489"/>
      <c r="AB42" s="490"/>
      <c r="AC42" s="488" t="str">
        <f>INDEX(PT_DIFFERENTIATION_TER,MATCH(B42,PT_DIFFERENTIATION_TER_ID,0))</f>
        <v/>
      </c>
      <c r="AD42" s="489"/>
      <c r="AE42" s="489"/>
      <c r="AF42" s="489"/>
      <c r="AG42" s="489"/>
      <c r="AH42" s="489"/>
      <c r="AI42" s="489"/>
      <c r="AJ42" s="490"/>
      <c r="AK42" s="491" t="s">
        <v>392</v>
      </c>
      <c r="AM42" s="130"/>
      <c r="AN42" s="130" t="str">
        <f t="shared" si="24"/>
        <v xml:space="preserve">Территория действия тарифа</v>
      </c>
      <c r="AO42" s="130"/>
      <c r="AP42" s="130"/>
      <c r="AQ42" s="50">
        <v>23</v>
      </c>
    </row>
    <row r="43" ht="24" customHeight="1">
      <c r="A43" s="480" t="s">
        <v>220</v>
      </c>
      <c r="B43" s="480" t="s">
        <v>221</v>
      </c>
      <c r="C43" s="480" t="s">
        <v>222</v>
      </c>
      <c r="D43" s="480"/>
      <c r="E43" s="492"/>
      <c r="F43" s="492"/>
      <c r="G43" s="481">
        <v>1</v>
      </c>
      <c r="H43" s="480"/>
      <c r="I43" s="480"/>
      <c r="J43" s="480"/>
      <c r="K43" s="480"/>
      <c r="L43" s="482"/>
      <c r="M43" s="483"/>
      <c r="N43" s="483"/>
      <c r="O43" s="483"/>
      <c r="P43" s="496"/>
      <c r="Q43" s="493"/>
      <c r="R43" s="494"/>
      <c r="S43" s="485" t="str">
        <f>INDEX(PT_DIFFERENTIATION_NUM_CS,MATCH(C43,PT_DIFFERENTIATION_CS_ID,0))</f>
        <v>..</v>
      </c>
      <c r="T43" s="497" t="s">
        <v>475</v>
      </c>
      <c r="U43" s="487"/>
      <c r="V43" s="488"/>
      <c r="W43" s="489"/>
      <c r="X43" s="489"/>
      <c r="Y43" s="489"/>
      <c r="Z43" s="489"/>
      <c r="AA43" s="489"/>
      <c r="AB43" s="490"/>
      <c r="AC43" s="488" t="str">
        <f>INDEX(PT_DIFFERENTIATION_CS,MATCH(C43,PT_DIFFERENTIATION_CS_ID,0))</f>
        <v/>
      </c>
      <c r="AD43" s="489"/>
      <c r="AE43" s="489"/>
      <c r="AF43" s="489"/>
      <c r="AG43" s="489"/>
      <c r="AH43" s="489"/>
      <c r="AI43" s="489"/>
      <c r="AJ43" s="490"/>
      <c r="AK43" s="491" t="s">
        <v>476</v>
      </c>
      <c r="AM43" s="130"/>
      <c r="AN43" s="130" t="str">
        <f t="shared" si="24"/>
        <v xml:space="preserve">Наименование централизованной системы холодного водоснабжения</v>
      </c>
      <c r="AO43" s="130"/>
      <c r="AP43" s="130"/>
      <c r="AQ43" s="50">
        <v>23</v>
      </c>
    </row>
    <row r="44" ht="24" customHeight="1">
      <c r="A44" s="480" t="s">
        <v>220</v>
      </c>
      <c r="B44" s="480" t="s">
        <v>221</v>
      </c>
      <c r="C44" s="480" t="s">
        <v>222</v>
      </c>
      <c r="D44" s="480" t="s">
        <v>489</v>
      </c>
      <c r="E44" s="492"/>
      <c r="F44" s="492"/>
      <c r="G44" s="492"/>
      <c r="H44" s="492"/>
      <c r="I44" s="499" t="str">
        <f>S43&amp;".1"</f>
        <v>...1</v>
      </c>
      <c r="J44" s="480"/>
      <c r="K44" s="480"/>
      <c r="L44" s="482"/>
      <c r="P44" s="133">
        <v>1</v>
      </c>
      <c r="Q44" s="133"/>
      <c r="R44" s="500"/>
      <c r="S44" s="485" t="str">
        <f>$I44</f>
        <v>...1</v>
      </c>
      <c r="T44" s="501" t="s">
        <v>477</v>
      </c>
      <c r="U44" s="487"/>
      <c r="V44" s="677"/>
      <c r="W44" s="678"/>
      <c r="X44" s="678"/>
      <c r="Y44" s="678"/>
      <c r="Z44" s="678"/>
      <c r="AA44" s="678"/>
      <c r="AB44" s="679"/>
      <c r="AC44" s="680"/>
      <c r="AD44" s="681"/>
      <c r="AE44" s="681"/>
      <c r="AF44" s="681"/>
      <c r="AG44" s="681"/>
      <c r="AH44" s="681"/>
      <c r="AI44" s="681"/>
      <c r="AJ44" s="682"/>
      <c r="AK44" s="491" t="s">
        <v>478</v>
      </c>
      <c r="AM44" s="130"/>
      <c r="AN44" s="130" t="str">
        <f t="shared" si="24"/>
        <v xml:space="preserve">Наименование признака дифференциации</v>
      </c>
      <c r="AO44" s="130"/>
      <c r="AP44" s="130"/>
      <c r="AQ44" s="50">
        <v>23</v>
      </c>
    </row>
    <row r="45" ht="24" customHeight="1">
      <c r="A45" s="480" t="s">
        <v>220</v>
      </c>
      <c r="B45" s="480" t="s">
        <v>221</v>
      </c>
      <c r="C45" s="480" t="s">
        <v>222</v>
      </c>
      <c r="D45" s="480" t="s">
        <v>489</v>
      </c>
      <c r="E45" s="492"/>
      <c r="F45" s="492"/>
      <c r="G45" s="492"/>
      <c r="H45" s="492"/>
      <c r="I45" s="504"/>
      <c r="J45" s="499" t="str">
        <f>I44&amp;".1"</f>
        <v>...1.1</v>
      </c>
      <c r="K45" s="480"/>
      <c r="L45" s="482" t="s">
        <v>400</v>
      </c>
      <c r="P45" s="133"/>
      <c r="Q45" s="133">
        <v>1</v>
      </c>
      <c r="R45" s="505"/>
      <c r="S45" s="485" t="str">
        <f>$J45</f>
        <v>...1.1</v>
      </c>
      <c r="T45" s="506" t="s">
        <v>401</v>
      </c>
      <c r="U45" s="487"/>
      <c r="V45" s="432"/>
      <c r="W45" s="502"/>
      <c r="X45" s="502"/>
      <c r="Y45" s="502"/>
      <c r="Z45" s="502"/>
      <c r="AA45" s="502"/>
      <c r="AB45" s="503"/>
      <c r="AC45" s="432"/>
      <c r="AD45" s="502"/>
      <c r="AE45" s="502"/>
      <c r="AF45" s="502"/>
      <c r="AG45" s="502"/>
      <c r="AH45" s="502"/>
      <c r="AI45" s="502"/>
      <c r="AJ45" s="503"/>
      <c r="AK45" s="618" t="s">
        <v>479</v>
      </c>
      <c r="AM45" s="130"/>
      <c r="AN45" s="130" t="str">
        <f t="shared" si="24"/>
        <v xml:space="preserve">Группа потребителей</v>
      </c>
      <c r="AO45" s="130"/>
      <c r="AP45" s="130"/>
      <c r="AQ45" s="50">
        <v>23</v>
      </c>
    </row>
    <row r="46" ht="24" customHeight="1">
      <c r="A46" s="480" t="s">
        <v>220</v>
      </c>
      <c r="B46" s="480" t="s">
        <v>221</v>
      </c>
      <c r="C46" s="480" t="s">
        <v>222</v>
      </c>
      <c r="D46" s="480" t="s">
        <v>489</v>
      </c>
      <c r="E46" s="492"/>
      <c r="F46" s="492"/>
      <c r="G46" s="492"/>
      <c r="H46" s="492"/>
      <c r="I46" s="504"/>
      <c r="J46" s="504"/>
      <c r="K46" s="499" t="str">
        <f>J45&amp;".1"</f>
        <v>...1.1.1</v>
      </c>
      <c r="L46" s="482"/>
      <c r="P46" s="133"/>
      <c r="Q46" s="133"/>
      <c r="R46" s="505">
        <v>1</v>
      </c>
      <c r="S46" s="485" t="str">
        <f>$K46</f>
        <v>...1.1.1</v>
      </c>
      <c r="T46" s="683"/>
      <c r="U46" s="487"/>
      <c r="V46" s="534"/>
      <c r="W46" s="534"/>
      <c r="X46" s="535"/>
      <c r="Y46" s="536"/>
      <c r="Z46" s="537" t="s">
        <v>64</v>
      </c>
      <c r="AA46" s="536"/>
      <c r="AB46" s="537" t="s">
        <v>64</v>
      </c>
      <c r="AC46" s="508"/>
      <c r="AD46" s="508"/>
      <c r="AE46" s="510"/>
      <c r="AF46" s="511"/>
      <c r="AG46" s="225" t="s">
        <v>64</v>
      </c>
      <c r="AH46" s="571"/>
      <c r="AI46" s="225" t="s">
        <v>19</v>
      </c>
      <c r="AJ46" s="684"/>
      <c r="AK46" s="68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 t="e">
        <f>STRCHECKDATE(V47:AJ47)</f>
        <v>#NAME?</v>
      </c>
      <c r="AM46" s="130"/>
      <c r="AN46" s="130" t="str">
        <f t="shared" si="24"/>
        <v/>
      </c>
      <c r="AO46" s="130"/>
      <c r="AP46" s="130"/>
      <c r="AQ46" s="50">
        <v>23</v>
      </c>
    </row>
    <row r="47" ht="0" customHeight="1">
      <c r="A47" s="480" t="s">
        <v>220</v>
      </c>
      <c r="B47" s="480" t="s">
        <v>221</v>
      </c>
      <c r="C47" s="480" t="s">
        <v>222</v>
      </c>
      <c r="D47" s="480" t="s">
        <v>489</v>
      </c>
      <c r="E47" s="492"/>
      <c r="F47" s="492"/>
      <c r="G47" s="492"/>
      <c r="H47" s="492"/>
      <c r="I47" s="504"/>
      <c r="J47" s="504"/>
      <c r="K47" s="499"/>
      <c r="L47" s="482"/>
      <c r="P47" s="133"/>
      <c r="Q47" s="133"/>
      <c r="R47" s="505"/>
      <c r="S47" s="459"/>
      <c r="T47" s="487"/>
      <c r="U47" s="487"/>
      <c r="V47" s="534"/>
      <c r="W47" s="534"/>
      <c r="X47" s="513" t="str">
        <f>Y46&amp;"-"&amp;AA46</f>
        <v>-</v>
      </c>
      <c r="Y47" s="537"/>
      <c r="Z47" s="537"/>
      <c r="AA47" s="537"/>
      <c r="AB47" s="537"/>
      <c r="AC47" s="509"/>
      <c r="AD47" s="509"/>
      <c r="AE47" s="513" t="str">
        <f>AF46&amp;"-"&amp;AH46</f>
        <v>-</v>
      </c>
      <c r="AF47" s="514"/>
      <c r="AG47" s="225"/>
      <c r="AH47" s="573"/>
      <c r="AI47" s="225"/>
      <c r="AJ47" s="686"/>
      <c r="AK47" s="685"/>
      <c r="AM47" s="130"/>
      <c r="AN47" s="130" t="str">
        <f t="shared" si="24"/>
        <v/>
      </c>
      <c r="AO47" s="130"/>
      <c r="AP47" s="130"/>
      <c r="AQ47" s="50">
        <v>0</v>
      </c>
    </row>
    <row r="48" ht="21" customHeight="1">
      <c r="A48" s="480" t="s">
        <v>220</v>
      </c>
      <c r="B48" s="480" t="s">
        <v>221</v>
      </c>
      <c r="C48" s="480" t="s">
        <v>222</v>
      </c>
      <c r="D48" s="480" t="s">
        <v>489</v>
      </c>
      <c r="E48" s="492"/>
      <c r="F48" s="492"/>
      <c r="G48" s="492"/>
      <c r="H48" s="492"/>
      <c r="I48" s="504"/>
      <c r="J48" s="499"/>
      <c r="K48" s="480"/>
      <c r="L48" s="482"/>
      <c r="P48" s="133"/>
      <c r="Q48" s="133"/>
      <c r="R48" s="500"/>
      <c r="S48" s="516"/>
      <c r="T48" s="520" t="s">
        <v>480</v>
      </c>
      <c r="U48" s="215"/>
      <c r="V48" s="215"/>
      <c r="W48" s="215"/>
      <c r="X48" s="215"/>
      <c r="Y48" s="215"/>
      <c r="Z48" s="215"/>
      <c r="AA48" s="215"/>
      <c r="AB48" s="215"/>
      <c r="AC48" s="215"/>
      <c r="AD48" s="215"/>
      <c r="AE48" s="215"/>
      <c r="AF48" s="215"/>
      <c r="AG48" s="215"/>
      <c r="AH48" s="215"/>
      <c r="AI48" s="215"/>
      <c r="AJ48" s="215"/>
      <c r="AK48" s="491" t="s">
        <v>481</v>
      </c>
      <c r="AM48" s="130"/>
      <c r="AN48" s="130" t="str">
        <f t="shared" si="24"/>
        <v xml:space="preserve">Добавить значение признака дифференциации</v>
      </c>
      <c r="AO48" s="130"/>
      <c r="AP48" s="130"/>
      <c r="AQ48" s="50">
        <v>20</v>
      </c>
    </row>
    <row r="49" ht="22" customHeight="1">
      <c r="A49" s="480" t="s">
        <v>220</v>
      </c>
      <c r="B49" s="480" t="s">
        <v>221</v>
      </c>
      <c r="C49" s="480" t="s">
        <v>222</v>
      </c>
      <c r="D49" s="480" t="s">
        <v>489</v>
      </c>
      <c r="E49" s="492"/>
      <c r="F49" s="492"/>
      <c r="G49" s="492"/>
      <c r="H49" s="492"/>
      <c r="I49" s="499"/>
      <c r="J49" s="480"/>
      <c r="K49" s="480"/>
      <c r="L49" s="482"/>
      <c r="P49" s="133"/>
      <c r="Q49" s="133"/>
      <c r="R49" s="500"/>
      <c r="S49" s="516"/>
      <c r="T49" s="524" t="s">
        <v>406</v>
      </c>
      <c r="U49" s="215"/>
      <c r="V49" s="215"/>
      <c r="W49" s="215"/>
      <c r="X49" s="215"/>
      <c r="Y49" s="215"/>
      <c r="Z49" s="215"/>
      <c r="AA49" s="215"/>
      <c r="AB49" s="521"/>
      <c r="AC49" s="215"/>
      <c r="AD49" s="215"/>
      <c r="AE49" s="215"/>
      <c r="AF49" s="215"/>
      <c r="AG49" s="215"/>
      <c r="AH49" s="215"/>
      <c r="AI49" s="521"/>
      <c r="AJ49" s="215"/>
      <c r="AK49" s="687"/>
      <c r="AM49" s="130"/>
      <c r="AN49" s="130" t="str">
        <f t="shared" si="24"/>
        <v xml:space="preserve">Добавить группу потребителей</v>
      </c>
      <c r="AO49" s="130"/>
      <c r="AP49" s="130"/>
      <c r="AQ49" s="50">
        <v>21</v>
      </c>
    </row>
    <row r="50" ht="22" customHeight="1">
      <c r="A50" s="480" t="s">
        <v>220</v>
      </c>
      <c r="B50" s="480" t="s">
        <v>221</v>
      </c>
      <c r="C50" s="480" t="s">
        <v>222</v>
      </c>
      <c r="D50" s="480" t="s">
        <v>489</v>
      </c>
      <c r="E50" s="492"/>
      <c r="F50" s="492"/>
      <c r="G50" s="492"/>
      <c r="H50" s="481"/>
      <c r="I50" s="480"/>
      <c r="J50" s="480"/>
      <c r="K50" s="480"/>
      <c r="L50" s="482"/>
      <c r="M50" s="483"/>
      <c r="N50" s="483"/>
      <c r="O50" s="53"/>
      <c r="P50" s="144"/>
      <c r="Q50" s="523"/>
      <c r="R50" s="484"/>
      <c r="S50" s="516"/>
      <c r="T50" s="688" t="s">
        <v>482</v>
      </c>
      <c r="U50" s="215"/>
      <c r="V50" s="215"/>
      <c r="W50" s="215"/>
      <c r="X50" s="215"/>
      <c r="Y50" s="215"/>
      <c r="Z50" s="215"/>
      <c r="AA50" s="215"/>
      <c r="AB50" s="521"/>
      <c r="AC50" s="215"/>
      <c r="AD50" s="215"/>
      <c r="AE50" s="215"/>
      <c r="AF50" s="215"/>
      <c r="AG50" s="215"/>
      <c r="AH50" s="215"/>
      <c r="AI50" s="521"/>
      <c r="AJ50" s="215"/>
      <c r="AK50" s="522"/>
      <c r="AM50" s="130"/>
      <c r="AN50" s="130" t="str">
        <f t="shared" si="24"/>
        <v xml:space="preserve">Добавить наименование признака дифференциации</v>
      </c>
      <c r="AO50" s="130"/>
      <c r="AP50" s="130"/>
      <c r="AQ50" s="50">
        <v>21</v>
      </c>
    </row>
    <row r="51" s="57" customFormat="1" ht="0" customHeight="1">
      <c r="A51" s="134" t="s">
        <v>220</v>
      </c>
      <c r="B51" s="134" t="s">
        <v>221</v>
      </c>
      <c r="C51" s="134"/>
      <c r="D51" s="134"/>
      <c r="E51" s="492"/>
      <c r="F51" s="481"/>
      <c r="G51" s="134"/>
      <c r="H51" s="134"/>
      <c r="I51" s="134"/>
      <c r="J51" s="134"/>
      <c r="K51" s="134"/>
      <c r="L51" s="213"/>
      <c r="M51" s="529"/>
      <c r="N51" s="529"/>
      <c r="P51" s="168"/>
      <c r="Q51" s="525"/>
      <c r="R51" s="168"/>
      <c r="S51" s="530"/>
      <c r="T51" s="533" t="s">
        <v>409</v>
      </c>
      <c r="U51" s="532"/>
      <c r="V51" s="532"/>
      <c r="W51" s="532"/>
      <c r="X51" s="532"/>
      <c r="Y51" s="532"/>
      <c r="Z51" s="532"/>
      <c r="AA51" s="532"/>
      <c r="AB51" s="532"/>
      <c r="AC51" s="532"/>
      <c r="AD51" s="532"/>
      <c r="AE51" s="532"/>
      <c r="AF51" s="532"/>
      <c r="AG51" s="532"/>
      <c r="AH51" s="532"/>
      <c r="AI51" s="532"/>
      <c r="AJ51" s="532"/>
      <c r="AK51" s="532"/>
      <c r="AM51" s="130"/>
      <c r="AN51" s="130" t="str">
        <f t="shared" si="24"/>
        <v xml:space="preserve">Добавить централизованную систему для дифференциации</v>
      </c>
      <c r="AO51" s="130"/>
      <c r="AP51" s="130"/>
      <c r="AQ51" s="57">
        <v>0</v>
      </c>
    </row>
    <row r="52" s="57" customFormat="1" ht="0" customHeight="1">
      <c r="A52" s="134" t="s">
        <v>220</v>
      </c>
      <c r="B52" s="134"/>
      <c r="C52" s="134"/>
      <c r="D52" s="134"/>
      <c r="E52" s="481"/>
      <c r="F52" s="134"/>
      <c r="G52" s="134"/>
      <c r="H52" s="134"/>
      <c r="I52" s="134"/>
      <c r="J52" s="134"/>
      <c r="K52" s="134"/>
      <c r="L52" s="213"/>
      <c r="M52" s="529"/>
      <c r="N52" s="529"/>
      <c r="O52" s="57"/>
      <c r="P52" s="168"/>
      <c r="Q52" s="525"/>
      <c r="R52" s="168"/>
      <c r="S52" s="530"/>
      <c r="T52" s="533" t="s">
        <v>410</v>
      </c>
      <c r="U52" s="532"/>
      <c r="V52" s="532"/>
      <c r="W52" s="532"/>
      <c r="X52" s="532"/>
      <c r="Y52" s="532"/>
      <c r="Z52" s="532"/>
      <c r="AA52" s="532"/>
      <c r="AB52" s="532"/>
      <c r="AC52" s="532"/>
      <c r="AD52" s="532"/>
      <c r="AE52" s="532"/>
      <c r="AF52" s="532"/>
      <c r="AG52" s="532"/>
      <c r="AH52" s="532"/>
      <c r="AI52" s="532"/>
      <c r="AJ52" s="532"/>
      <c r="AK52" s="532"/>
      <c r="AM52" s="130"/>
      <c r="AN52" s="130" t="str">
        <f t="shared" si="24"/>
        <v xml:space="preserve">Добавить территорию для дифференциации</v>
      </c>
      <c r="AO52" s="130"/>
      <c r="AP52" s="130"/>
      <c r="AQ52" s="57">
        <v>0</v>
      </c>
    </row>
    <row r="53" s="57" customFormat="1" ht="0" customHeight="1">
      <c r="A53" s="134"/>
      <c r="B53" s="134"/>
      <c r="C53" s="134"/>
      <c r="D53" s="134"/>
      <c r="E53" s="134"/>
      <c r="F53" s="134"/>
      <c r="G53" s="134"/>
      <c r="H53" s="134"/>
      <c r="I53" s="134"/>
      <c r="J53" s="134"/>
      <c r="K53" s="134"/>
      <c r="L53" s="213"/>
      <c r="M53" s="529"/>
      <c r="N53" s="529"/>
      <c r="P53" s="168"/>
      <c r="Q53" s="525"/>
      <c r="R53" s="168"/>
      <c r="S53" s="530"/>
      <c r="T53" s="533" t="s">
        <v>442</v>
      </c>
      <c r="U53" s="532"/>
      <c r="V53" s="532"/>
      <c r="W53" s="532"/>
      <c r="X53" s="532"/>
      <c r="Y53" s="532"/>
      <c r="Z53" s="532"/>
      <c r="AA53" s="532"/>
      <c r="AB53" s="532"/>
      <c r="AC53" s="532"/>
      <c r="AD53" s="532"/>
      <c r="AE53" s="532"/>
      <c r="AF53" s="532"/>
      <c r="AG53" s="532"/>
      <c r="AH53" s="532"/>
      <c r="AI53" s="532"/>
      <c r="AJ53" s="532"/>
      <c r="AK53" s="532"/>
      <c r="AM53" s="130"/>
      <c r="AN53" s="130" t="str">
        <f t="shared" si="24"/>
        <v xml:space="preserve">Добавить наименование тарифа</v>
      </c>
      <c r="AO53" s="130"/>
      <c r="AP53" s="130"/>
      <c r="AQ53" s="57">
        <v>0</v>
      </c>
    </row>
    <row r="54" ht="11.5" customHeight="1">
      <c r="M54" s="53"/>
      <c r="N54" s="53"/>
      <c r="O54" s="53"/>
      <c r="P54" s="50"/>
      <c r="Q54" s="50"/>
      <c r="R54" s="50"/>
      <c r="S54" s="50"/>
      <c r="AL54" s="50"/>
      <c r="AM54" s="50"/>
      <c r="AN54" s="50"/>
      <c r="AO54" s="50"/>
      <c r="AP54" s="50"/>
      <c r="AQ54" s="50">
        <v>11</v>
      </c>
    </row>
    <row r="55" ht="14.65" customHeight="1">
      <c r="O55" s="53"/>
      <c r="S55" s="477"/>
      <c r="T55" s="575"/>
      <c r="U55" s="575"/>
      <c r="V55" s="575"/>
      <c r="W55" s="575"/>
      <c r="X55" s="575"/>
      <c r="Y55" s="575"/>
      <c r="Z55" s="575"/>
      <c r="AA55" s="575"/>
      <c r="AB55" s="575"/>
      <c r="AC55" s="575"/>
      <c r="AD55" s="575"/>
      <c r="AE55" s="575"/>
      <c r="AF55" s="575"/>
      <c r="AG55" s="575"/>
      <c r="AH55" s="575"/>
      <c r="AI55" s="575"/>
      <c r="AJ55" s="575"/>
      <c r="AK55" s="575"/>
      <c r="AQ55" s="50">
        <v>14</v>
      </c>
    </row>
    <row r="56" ht="14.65" customHeight="1">
      <c r="O56" s="53"/>
      <c r="AQ56" s="50">
        <v>14</v>
      </c>
    </row>
    <row r="57" ht="14.65" customHeight="1">
      <c r="O57" s="53"/>
      <c r="S57" s="477"/>
      <c r="T57" s="575"/>
      <c r="U57" s="575"/>
      <c r="V57" s="575"/>
      <c r="W57" s="575"/>
      <c r="X57" s="575"/>
      <c r="Y57" s="575"/>
      <c r="Z57" s="575"/>
      <c r="AA57" s="575"/>
      <c r="AB57" s="575"/>
      <c r="AC57" s="575"/>
      <c r="AD57" s="575"/>
      <c r="AE57" s="575"/>
      <c r="AF57" s="575"/>
      <c r="AG57" s="575"/>
      <c r="AH57" s="575"/>
      <c r="AI57" s="575"/>
      <c r="AJ57" s="575"/>
      <c r="AK57" s="575"/>
      <c r="AQ57" s="50">
        <v>14</v>
      </c>
    </row>
    <row r="58" ht="22.5" hidden="1" customHeight="1">
      <c r="A58" s="53" t="s">
        <v>81</v>
      </c>
      <c r="B58" s="53">
        <v>0</v>
      </c>
      <c r="C58" s="53">
        <v>0</v>
      </c>
      <c r="D58" s="53">
        <v>0</v>
      </c>
      <c r="E58" s="53">
        <v>0</v>
      </c>
      <c r="F58" s="53">
        <v>0</v>
      </c>
      <c r="G58" s="53">
        <v>0</v>
      </c>
      <c r="H58" s="53">
        <v>0</v>
      </c>
      <c r="I58" s="53">
        <v>0</v>
      </c>
      <c r="J58" s="53">
        <v>0</v>
      </c>
      <c r="K58" s="53">
        <v>0</v>
      </c>
      <c r="L58" s="114">
        <v>0</v>
      </c>
      <c r="M58" s="61">
        <v>0</v>
      </c>
      <c r="N58" s="61">
        <v>0</v>
      </c>
      <c r="O58" s="61">
        <v>0</v>
      </c>
      <c r="P58" s="60">
        <v>3</v>
      </c>
      <c r="Q58" s="479">
        <v>3</v>
      </c>
      <c r="R58" s="479">
        <v>3</v>
      </c>
      <c r="S58" s="86">
        <v>12</v>
      </c>
      <c r="T58" s="50">
        <v>35</v>
      </c>
      <c r="U58" s="50">
        <v>0</v>
      </c>
      <c r="V58" s="50">
        <v>0</v>
      </c>
      <c r="W58" s="50">
        <v>0</v>
      </c>
      <c r="X58" s="50">
        <v>0</v>
      </c>
      <c r="Y58" s="50">
        <v>0</v>
      </c>
      <c r="Z58" s="50">
        <v>0</v>
      </c>
      <c r="AA58" s="50">
        <v>0</v>
      </c>
      <c r="AB58" s="50">
        <v>0</v>
      </c>
      <c r="AC58" s="50">
        <v>24</v>
      </c>
      <c r="AD58" s="50">
        <v>24</v>
      </c>
      <c r="AE58" s="50">
        <v>24</v>
      </c>
      <c r="AF58" s="50">
        <v>11</v>
      </c>
      <c r="AG58" s="50">
        <v>3</v>
      </c>
      <c r="AH58" s="50">
        <v>11</v>
      </c>
      <c r="AI58" s="50">
        <v>0</v>
      </c>
      <c r="AJ58" s="50">
        <v>4</v>
      </c>
      <c r="AK58" s="50">
        <v>115</v>
      </c>
      <c r="AL58" s="57">
        <v>10</v>
      </c>
      <c r="AM58" s="57">
        <v>10</v>
      </c>
      <c r="AN58" s="57">
        <v>10</v>
      </c>
      <c r="AO58" s="57">
        <v>10</v>
      </c>
      <c r="AP58" s="57">
        <v>10</v>
      </c>
      <c r="AQ58" s="50">
        <v>23</v>
      </c>
    </row>
  </sheetData>
  <sheetProtection autoFilter="0" deleteColumns="1" deleteRows="1" formatCells="1" formatColumns="0" formatRows="0" insertColumns="1" insertHyperlinks="1" insertRows="1" objects="0" pivotTables="1" scenarios="0" selectLockedCells="0" selectUnlockedCells="0" sheet="1" sort="1"/>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Z7:Z8"/>
    <mergeCell ref="AA7:AA8"/>
    <mergeCell ref="AB7:AB8"/>
    <mergeCell ref="AF7:AF8"/>
    <mergeCell ref="AG7:AG8"/>
    <mergeCell ref="AH7:AH8"/>
    <mergeCell ref="AI7:AI8"/>
    <mergeCell ref="AK7:AK8"/>
    <mergeCell ref="AF15:AF16"/>
    <mergeCell ref="AG15:AG16"/>
    <mergeCell ref="AH15:AH16"/>
    <mergeCell ref="AI15:AI16"/>
    <mergeCell ref="S24:AH24"/>
    <mergeCell ref="S25:AH25"/>
    <mergeCell ref="S27:T27"/>
    <mergeCell ref="V27:AA27"/>
    <mergeCell ref="AC27:AH27"/>
    <mergeCell ref="S28:T28"/>
    <mergeCell ref="V28:AA28"/>
    <mergeCell ref="AC28:AH28"/>
    <mergeCell ref="S29:T29"/>
    <mergeCell ref="V29:AA29"/>
    <mergeCell ref="AC29:AH29"/>
    <mergeCell ref="S30:T30"/>
    <mergeCell ref="V30:AA30"/>
    <mergeCell ref="AC30:AH30"/>
    <mergeCell ref="S32:T32"/>
    <mergeCell ref="V32:AA32"/>
    <mergeCell ref="AC32:AH32"/>
    <mergeCell ref="S33:T33"/>
    <mergeCell ref="V33:AA33"/>
    <mergeCell ref="AC33:AH33"/>
    <mergeCell ref="V35:AB35"/>
    <mergeCell ref="AC35:AI35"/>
    <mergeCell ref="S36:AJ36"/>
    <mergeCell ref="AK36:AK39"/>
    <mergeCell ref="S37:S39"/>
    <mergeCell ref="T37:T39"/>
    <mergeCell ref="V37:AA37"/>
    <mergeCell ref="AB37:AB39"/>
    <mergeCell ref="AC37:AH37"/>
    <mergeCell ref="AI37:AI39"/>
    <mergeCell ref="AJ37:AJ39"/>
    <mergeCell ref="W38:X38"/>
    <mergeCell ref="Y38:AA38"/>
    <mergeCell ref="AD38:AE38"/>
    <mergeCell ref="AF38:AH38"/>
    <mergeCell ref="Z39:AA39"/>
    <mergeCell ref="AG39:AH39"/>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K46:K47"/>
    <mergeCell ref="Y46:Y47"/>
    <mergeCell ref="Z46:Z47"/>
    <mergeCell ref="AA46:AA47"/>
    <mergeCell ref="AB46:AB47"/>
    <mergeCell ref="AF46:AF47"/>
    <mergeCell ref="AG46:AG47"/>
    <mergeCell ref="AH46:AH47"/>
    <mergeCell ref="AI46:AI47"/>
    <mergeCell ref="AK46:AK47"/>
    <mergeCell ref="T55:AK55"/>
    <mergeCell ref="T57:AK57"/>
  </mergeCells>
  <dataValidations count="4" disablePrompts="0">
    <dataValidation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type="none" allowBlank="1" errorStyle="stop" imeMode="noControl" operator="between" promptTitle="checkPeriodRange" showDropDown="0" showErrorMessage="0" showInputMessage="0"/>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S131116:AK131122 S196652:AK196658 S262188:AK262194 S327724:AK327730 S393260:AK393266 S458796:AK458802 S524332:AK524338 S589868:AK589874 S655404:AK655410 S720940:AK720946 S786476:AK786482 S852012:AK852018 S917548:AK917554 S983084:AK983090 S65580:AK65586"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DD0003-0035-41B1-9CCD-00D40083007A}" type="list" allowBlank="1" error="Выберите значение из списка" errorStyle="stop" errorTitle="Ошибка" imeMode="noControl" operator="between" showDropDown="0"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 xr:uid="{00100046-0087-416C-99C7-003A00180009}" type="textLength" allowBlank="1" error="Допускается ввод не более 900 символов!" errorStyle="stop" errorTitle="Ошибка" imeMode="noControl" operator="lessThanOrEqual" showDropDown="0"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xm:sqref>
        </x14:dataValidation>
        <x14:dataValidation xr:uid="{00E7003A-000A-400D-828F-00170023004D}" type="list" allowBlank="1" error="Выберите значение из списка" errorStyle="stop" errorTitle="Ошибка" imeMode="noControl" operator="between" showDropDown="0" showErrorMessage="1" showInputMessage="1">
          <x14:formula1>
            <xm:f>kind_of_heat_transfer</xm:f>
          </x14:formula1>
          <xm:sqref>T65578 T131114 T196650 T262186 T327722 T393258 T458794 T524330 T589866 T655402 T720938 T786474 T852010 T917546 T983082</xm:sqref>
        </x14:dataValidation>
        <x14:dataValidation xr:uid="{0027005C-0068-49AC-9CF2-007F00920019}"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s>
    </ext>
  </extLs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8" ySplit="40" topLeftCell="AC41"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4.140625"/>
    <col customWidth="1" hidden="1" min="10" max="10" style="53" width="9.8515625"/>
    <col customWidth="1" hidden="1" min="11" max="11" style="53" width="14.7109375"/>
    <col customWidth="1" hidden="1" min="12" max="12" style="114" width="19.140625"/>
    <col customWidth="1" hidden="1" min="13" max="14" style="61" width="12.28125"/>
    <col customWidth="1" hidden="1" min="15" max="15" style="61" width="23.421875"/>
    <col customWidth="1" min="16" max="16" style="60" width="3.00390625"/>
    <col customWidth="1" min="17" max="18" style="479" width="3.00390625"/>
    <col customWidth="1" min="19" max="19" style="86" width="12.00390625"/>
    <col customWidth="1" min="20" max="20" style="50" width="35.00390625"/>
    <col customWidth="1" min="21" max="21" style="50" width="0.140625"/>
    <col customWidth="1" hidden="1" min="22" max="24" style="50" width="24.7109375"/>
    <col customWidth="1" hidden="1" min="25" max="25" style="50" width="11.7109375"/>
    <col customWidth="1" hidden="1" min="26" max="26" style="50" width="3.7109375"/>
    <col customWidth="1" hidden="1" min="27" max="27" style="50" width="11.7109375"/>
    <col customWidth="1" hidden="1" min="28" max="28" style="50" width="8.57421875"/>
    <col customWidth="1" min="29" max="29" style="50" width="24.7109375"/>
    <col customWidth="1" min="30" max="31" style="50" width="24.00390625"/>
    <col customWidth="1" min="32" max="32" style="50" width="11.00390625"/>
    <col customWidth="1" min="33" max="33" style="50" width="3.7109375"/>
    <col customWidth="1" min="34" max="34" style="50" width="11.00390625"/>
    <col customWidth="1" hidden="1" min="35" max="35" style="50" width="8.57421875"/>
    <col customWidth="1" min="36" max="36" style="50" width="4.00390625"/>
    <col customWidth="1" min="37" max="37" style="50" width="115.00390625"/>
    <col customWidth="1" min="38" max="42" style="57" width="10.00390625"/>
    <col hidden="1" min="43" max="43" style="50" width="10.57421875"/>
  </cols>
  <sheetData>
    <row r="1" ht="22.5" hidden="1" customHeight="1">
      <c r="X1" s="50"/>
      <c r="Y1" s="50"/>
      <c r="AE1" s="50"/>
      <c r="AF1" s="50"/>
      <c r="AQ1" s="50" t="s">
        <v>14</v>
      </c>
    </row>
    <row r="2" ht="23.25" hidden="1" customHeight="1">
      <c r="A2" s="480"/>
      <c r="B2" s="480"/>
      <c r="C2" s="480"/>
      <c r="D2" s="480"/>
      <c r="E2" s="481">
        <v>1</v>
      </c>
      <c r="F2" s="480"/>
      <c r="G2" s="480"/>
      <c r="H2" s="480"/>
      <c r="I2" s="480"/>
      <c r="J2" s="480"/>
      <c r="K2" s="480"/>
      <c r="L2" s="482"/>
      <c r="M2" s="483"/>
      <c r="N2" s="483"/>
      <c r="O2" s="483"/>
      <c r="P2" s="60"/>
      <c r="Q2" s="144"/>
      <c r="R2" s="484"/>
      <c r="S2" s="485" t="e">
        <f>INDEX(PT_DIFFERENTIATION_NUM_NTAR,MATCH(A2,PT_DIFFERENTIATION_NTAR_ID,0))</f>
        <v>#VALUE!</v>
      </c>
      <c r="T2" s="486" t="s">
        <v>119</v>
      </c>
      <c r="U2" s="487"/>
      <c r="V2" s="488"/>
      <c r="W2" s="489"/>
      <c r="X2" s="489"/>
      <c r="Y2" s="489"/>
      <c r="Z2" s="489"/>
      <c r="AA2" s="489"/>
      <c r="AB2" s="490"/>
      <c r="AC2" s="488" t="e">
        <f>INDEX(PT_DIFFERENTIATION_NTAR,MATCH(A2,PT_DIFFERENTIATION_NTAR_ID,0))</f>
        <v>#VALUE!</v>
      </c>
      <c r="AD2" s="489"/>
      <c r="AE2" s="489"/>
      <c r="AF2" s="489"/>
      <c r="AG2" s="489"/>
      <c r="AH2" s="489"/>
      <c r="AI2" s="489"/>
      <c r="AJ2" s="490"/>
      <c r="AK2" s="49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130"/>
      <c r="AN2" s="130" t="str">
        <f t="shared" ref="AN2:AN9" si="25">IF(T2="","",T2)</f>
        <v xml:space="preserve">Наименование тарифа</v>
      </c>
      <c r="AO2" s="130"/>
      <c r="AP2" s="130"/>
      <c r="AQ2" s="50">
        <v>0</v>
      </c>
    </row>
    <row r="3" ht="23.25" hidden="1" customHeight="1">
      <c r="A3" s="480"/>
      <c r="B3" s="480"/>
      <c r="C3" s="480"/>
      <c r="D3" s="480"/>
      <c r="E3" s="492"/>
      <c r="F3" s="481">
        <v>1</v>
      </c>
      <c r="G3" s="480"/>
      <c r="H3" s="480"/>
      <c r="I3" s="480"/>
      <c r="J3" s="480"/>
      <c r="K3" s="480"/>
      <c r="L3" s="482"/>
      <c r="M3" s="483"/>
      <c r="N3" s="483"/>
      <c r="O3" s="483"/>
      <c r="P3" s="51"/>
      <c r="Q3" s="493"/>
      <c r="R3" s="494"/>
      <c r="S3" s="485" t="e">
        <f>INDEX(PT_DIFFERENTIATION_NUM_TER,MATCH(B3,PT_DIFFERENTIATION_TER_ID,0))</f>
        <v>#VALUE!</v>
      </c>
      <c r="T3" s="495" t="s">
        <v>391</v>
      </c>
      <c r="U3" s="487"/>
      <c r="V3" s="488"/>
      <c r="W3" s="489"/>
      <c r="X3" s="489"/>
      <c r="Y3" s="489"/>
      <c r="Z3" s="489"/>
      <c r="AA3" s="489"/>
      <c r="AB3" s="490"/>
      <c r="AC3" s="488" t="e">
        <f>INDEX(PT_DIFFERENTIATION_TER,MATCH(B3,PT_DIFFERENTIATION_TER_ID,0))</f>
        <v>#VALUE!</v>
      </c>
      <c r="AD3" s="489"/>
      <c r="AE3" s="489"/>
      <c r="AF3" s="489"/>
      <c r="AG3" s="489"/>
      <c r="AH3" s="489"/>
      <c r="AI3" s="489"/>
      <c r="AJ3" s="490"/>
      <c r="AK3" s="491" t="s">
        <v>392</v>
      </c>
      <c r="AM3" s="130"/>
      <c r="AN3" s="130" t="str">
        <f t="shared" si="25"/>
        <v xml:space="preserve">Территория действия тарифа</v>
      </c>
      <c r="AO3" s="130"/>
      <c r="AP3" s="130"/>
      <c r="AQ3" s="50">
        <v>0</v>
      </c>
    </row>
    <row r="4" ht="23.25" hidden="1" customHeight="1">
      <c r="A4" s="480"/>
      <c r="B4" s="480"/>
      <c r="C4" s="480"/>
      <c r="D4" s="480"/>
      <c r="E4" s="492"/>
      <c r="F4" s="492"/>
      <c r="G4" s="481">
        <v>1</v>
      </c>
      <c r="H4" s="480"/>
      <c r="I4" s="480"/>
      <c r="J4" s="480"/>
      <c r="K4" s="480"/>
      <c r="L4" s="482"/>
      <c r="M4" s="483"/>
      <c r="N4" s="483"/>
      <c r="O4" s="483"/>
      <c r="P4" s="496"/>
      <c r="Q4" s="493"/>
      <c r="R4" s="494"/>
      <c r="S4" s="485" t="e">
        <f>INDEX(PT_DIFFERENTIATION_NUM_CS,MATCH(C4,PT_DIFFERENTIATION_CS_ID,0))</f>
        <v>#VALUE!</v>
      </c>
      <c r="T4" s="497" t="s">
        <v>475</v>
      </c>
      <c r="U4" s="487"/>
      <c r="V4" s="488"/>
      <c r="W4" s="489"/>
      <c r="X4" s="489"/>
      <c r="Y4" s="489"/>
      <c r="Z4" s="489"/>
      <c r="AA4" s="489"/>
      <c r="AB4" s="490"/>
      <c r="AC4" s="488" t="e">
        <f>INDEX(PT_DIFFERENTIATION_CS,MATCH(C4,PT_DIFFERENTIATION_CS_ID,0))</f>
        <v>#VALUE!</v>
      </c>
      <c r="AD4" s="489"/>
      <c r="AE4" s="489"/>
      <c r="AF4" s="489"/>
      <c r="AG4" s="489"/>
      <c r="AH4" s="489"/>
      <c r="AI4" s="489"/>
      <c r="AJ4" s="490"/>
      <c r="AK4" s="491" t="s">
        <v>476</v>
      </c>
      <c r="AM4" s="130"/>
      <c r="AN4" s="130" t="str">
        <f t="shared" si="25"/>
        <v xml:space="preserve">Наименование централизованной системы холодного водоснабжения</v>
      </c>
      <c r="AO4" s="130"/>
      <c r="AP4" s="130"/>
      <c r="AQ4" s="50">
        <v>0</v>
      </c>
    </row>
    <row r="5" ht="23.25" hidden="1" customHeight="1">
      <c r="A5" s="480"/>
      <c r="B5" s="480"/>
      <c r="C5" s="480"/>
      <c r="D5" s="480"/>
      <c r="E5" s="492"/>
      <c r="F5" s="492"/>
      <c r="G5" s="492"/>
      <c r="H5" s="492"/>
      <c r="I5" s="499" t="e">
        <f>S4&amp;".1"</f>
        <v>#VALUE!</v>
      </c>
      <c r="J5" s="480"/>
      <c r="K5" s="480"/>
      <c r="L5" s="482"/>
      <c r="P5" s="133">
        <v>1</v>
      </c>
      <c r="Q5" s="133"/>
      <c r="R5" s="500"/>
      <c r="S5" s="485" t="e">
        <f>$I5</f>
        <v>#VALUE!</v>
      </c>
      <c r="T5" s="501" t="s">
        <v>477</v>
      </c>
      <c r="U5" s="487"/>
      <c r="V5" s="677"/>
      <c r="W5" s="678"/>
      <c r="X5" s="678"/>
      <c r="Y5" s="678"/>
      <c r="Z5" s="678"/>
      <c r="AA5" s="678"/>
      <c r="AB5" s="679"/>
      <c r="AC5" s="680"/>
      <c r="AD5" s="681"/>
      <c r="AE5" s="681"/>
      <c r="AF5" s="681"/>
      <c r="AG5" s="681"/>
      <c r="AH5" s="681"/>
      <c r="AI5" s="681"/>
      <c r="AJ5" s="682"/>
      <c r="AK5" s="491" t="s">
        <v>478</v>
      </c>
      <c r="AM5" s="130"/>
      <c r="AN5" s="130" t="str">
        <f t="shared" si="25"/>
        <v xml:space="preserve">Наименование признака дифференциации</v>
      </c>
      <c r="AO5" s="130"/>
      <c r="AP5" s="130"/>
      <c r="AQ5" s="50">
        <v>0</v>
      </c>
    </row>
    <row r="6" ht="23.25" hidden="1" customHeight="1">
      <c r="A6" s="480"/>
      <c r="B6" s="480"/>
      <c r="C6" s="480"/>
      <c r="D6" s="480"/>
      <c r="E6" s="492"/>
      <c r="F6" s="492"/>
      <c r="G6" s="492"/>
      <c r="H6" s="492"/>
      <c r="I6" s="504"/>
      <c r="J6" s="499" t="e">
        <f>I5&amp;".1"</f>
        <v>#VALUE!</v>
      </c>
      <c r="K6" s="480"/>
      <c r="L6" s="482" t="s">
        <v>400</v>
      </c>
      <c r="P6" s="133"/>
      <c r="Q6" s="133">
        <v>1</v>
      </c>
      <c r="R6" s="505"/>
      <c r="S6" s="485" t="e">
        <f>$J6</f>
        <v>#VALUE!</v>
      </c>
      <c r="T6" s="506" t="s">
        <v>401</v>
      </c>
      <c r="U6" s="487"/>
      <c r="V6" s="432"/>
      <c r="W6" s="502"/>
      <c r="X6" s="502"/>
      <c r="Y6" s="502"/>
      <c r="Z6" s="502"/>
      <c r="AA6" s="502"/>
      <c r="AB6" s="503"/>
      <c r="AC6" s="432"/>
      <c r="AD6" s="502"/>
      <c r="AE6" s="502"/>
      <c r="AF6" s="502"/>
      <c r="AG6" s="502"/>
      <c r="AH6" s="502"/>
      <c r="AI6" s="502"/>
      <c r="AJ6" s="503"/>
      <c r="AK6" s="618" t="s">
        <v>479</v>
      </c>
      <c r="AM6" s="130"/>
      <c r="AN6" s="130" t="str">
        <f t="shared" si="25"/>
        <v xml:space="preserve">Группа потребителей</v>
      </c>
      <c r="AO6" s="130"/>
      <c r="AP6" s="130"/>
      <c r="AQ6" s="50">
        <v>0</v>
      </c>
    </row>
    <row r="7" ht="23.25" hidden="1" customHeight="1">
      <c r="A7" s="480"/>
      <c r="B7" s="480"/>
      <c r="C7" s="480"/>
      <c r="D7" s="480"/>
      <c r="E7" s="492"/>
      <c r="F7" s="492"/>
      <c r="G7" s="492"/>
      <c r="H7" s="492"/>
      <c r="I7" s="504"/>
      <c r="J7" s="504"/>
      <c r="K7" s="499" t="e">
        <f>J6&amp;".1"</f>
        <v>#VALUE!</v>
      </c>
      <c r="L7" s="482"/>
      <c r="P7" s="133"/>
      <c r="Q7" s="133"/>
      <c r="R7" s="505">
        <v>1</v>
      </c>
      <c r="S7" s="485" t="e">
        <f>$K7</f>
        <v>#VALUE!</v>
      </c>
      <c r="T7" s="683"/>
      <c r="U7" s="487"/>
      <c r="V7" s="508"/>
      <c r="W7" s="508"/>
      <c r="X7" s="510"/>
      <c r="Y7" s="511"/>
      <c r="Z7" s="225" t="s">
        <v>64</v>
      </c>
      <c r="AA7" s="511"/>
      <c r="AB7" s="225" t="s">
        <v>64</v>
      </c>
      <c r="AC7" s="508"/>
      <c r="AD7" s="508"/>
      <c r="AE7" s="510"/>
      <c r="AF7" s="511"/>
      <c r="AG7" s="225" t="s">
        <v>64</v>
      </c>
      <c r="AH7" s="571"/>
      <c r="AI7" s="225" t="s">
        <v>64</v>
      </c>
      <c r="AJ7" s="684"/>
      <c r="AK7" s="68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 t="e">
        <f>STRCHECKDATE(V8:AJ8)</f>
        <v>#NAME?</v>
      </c>
      <c r="AM7" s="130"/>
      <c r="AN7" s="130" t="str">
        <f t="shared" si="25"/>
        <v/>
      </c>
      <c r="AO7" s="130"/>
      <c r="AP7" s="130"/>
      <c r="AQ7" s="50">
        <v>0</v>
      </c>
    </row>
    <row r="8" ht="14.25" hidden="1" customHeight="1">
      <c r="A8" s="480"/>
      <c r="B8" s="480"/>
      <c r="C8" s="480"/>
      <c r="D8" s="480"/>
      <c r="E8" s="492"/>
      <c r="F8" s="492"/>
      <c r="G8" s="492"/>
      <c r="H8" s="492"/>
      <c r="I8" s="504"/>
      <c r="J8" s="504"/>
      <c r="K8" s="499"/>
      <c r="L8" s="482"/>
      <c r="P8" s="133"/>
      <c r="Q8" s="133"/>
      <c r="R8" s="505"/>
      <c r="S8" s="459"/>
      <c r="T8" s="487"/>
      <c r="U8" s="487"/>
      <c r="V8" s="509"/>
      <c r="W8" s="509"/>
      <c r="X8" s="513" t="str">
        <f>Y7&amp;"-"&amp;AA7</f>
        <v>-</v>
      </c>
      <c r="Y8" s="514"/>
      <c r="Z8" s="225"/>
      <c r="AA8" s="514"/>
      <c r="AB8" s="225"/>
      <c r="AC8" s="509"/>
      <c r="AD8" s="509"/>
      <c r="AE8" s="513" t="str">
        <f>AF7&amp;"-"&amp;AH7</f>
        <v>-</v>
      </c>
      <c r="AF8" s="514"/>
      <c r="AG8" s="225"/>
      <c r="AH8" s="573"/>
      <c r="AI8" s="225"/>
      <c r="AJ8" s="686"/>
      <c r="AK8" s="685"/>
      <c r="AM8" s="130"/>
      <c r="AN8" s="130" t="str">
        <f t="shared" si="25"/>
        <v/>
      </c>
      <c r="AO8" s="130"/>
      <c r="AP8" s="130"/>
      <c r="AQ8" s="50">
        <v>0</v>
      </c>
    </row>
    <row r="9" ht="21" hidden="1" customHeight="1">
      <c r="A9" s="480"/>
      <c r="B9" s="480"/>
      <c r="C9" s="480"/>
      <c r="D9" s="480"/>
      <c r="E9" s="492"/>
      <c r="F9" s="492"/>
      <c r="G9" s="492"/>
      <c r="H9" s="492"/>
      <c r="I9" s="504"/>
      <c r="J9" s="499"/>
      <c r="K9" s="480"/>
      <c r="L9" s="482"/>
      <c r="P9" s="133"/>
      <c r="Q9" s="133"/>
      <c r="R9" s="500"/>
      <c r="S9" s="516"/>
      <c r="T9" s="520" t="s">
        <v>480</v>
      </c>
      <c r="U9" s="215"/>
      <c r="V9" s="215"/>
      <c r="W9" s="215"/>
      <c r="X9" s="215"/>
      <c r="Y9" s="215"/>
      <c r="Z9" s="215"/>
      <c r="AA9" s="215"/>
      <c r="AB9" s="215"/>
      <c r="AC9" s="215"/>
      <c r="AD9" s="215"/>
      <c r="AE9" s="215"/>
      <c r="AF9" s="215"/>
      <c r="AG9" s="215"/>
      <c r="AH9" s="215"/>
      <c r="AI9" s="215"/>
      <c r="AJ9" s="215"/>
      <c r="AK9" s="491" t="s">
        <v>481</v>
      </c>
      <c r="AM9" s="130"/>
      <c r="AN9" s="130" t="str">
        <f t="shared" si="25"/>
        <v xml:space="preserve">Добавить значение признака дифференциации</v>
      </c>
      <c r="AO9" s="130"/>
      <c r="AP9" s="130"/>
      <c r="AQ9" s="50">
        <v>0</v>
      </c>
    </row>
    <row r="10" ht="21" hidden="1" customHeight="1">
      <c r="A10" s="480"/>
      <c r="B10" s="480"/>
      <c r="C10" s="480"/>
      <c r="D10" s="480"/>
      <c r="E10" s="492"/>
      <c r="F10" s="492"/>
      <c r="G10" s="492"/>
      <c r="H10" s="492"/>
      <c r="I10" s="499"/>
      <c r="J10" s="480"/>
      <c r="K10" s="480"/>
      <c r="L10" s="482"/>
      <c r="P10" s="133"/>
      <c r="Q10" s="133"/>
      <c r="R10" s="500"/>
      <c r="S10" s="516"/>
      <c r="T10" s="524" t="s">
        <v>406</v>
      </c>
      <c r="U10" s="215"/>
      <c r="V10" s="215"/>
      <c r="W10" s="215"/>
      <c r="X10" s="215"/>
      <c r="Y10" s="215"/>
      <c r="Z10" s="215"/>
      <c r="AA10" s="215"/>
      <c r="AB10" s="521"/>
      <c r="AC10" s="215"/>
      <c r="AD10" s="215"/>
      <c r="AE10" s="215"/>
      <c r="AF10" s="215"/>
      <c r="AG10" s="215"/>
      <c r="AH10" s="215"/>
      <c r="AI10" s="521"/>
      <c r="AJ10" s="215"/>
      <c r="AK10" s="687"/>
      <c r="AM10" s="130"/>
      <c r="AN10" s="130" t="str">
        <f t="shared" ref="AN10:AN53" si="26">IF(T10="","",T10)</f>
        <v xml:space="preserve">Добавить группу потребителей</v>
      </c>
      <c r="AO10" s="130"/>
      <c r="AP10" s="130"/>
      <c r="AQ10" s="50">
        <v>0</v>
      </c>
    </row>
    <row r="11" ht="21" hidden="1" customHeight="1">
      <c r="A11" s="480"/>
      <c r="B11" s="480"/>
      <c r="C11" s="480"/>
      <c r="D11" s="480"/>
      <c r="E11" s="492"/>
      <c r="F11" s="492"/>
      <c r="G11" s="492"/>
      <c r="H11" s="481"/>
      <c r="I11" s="480"/>
      <c r="J11" s="480"/>
      <c r="K11" s="480"/>
      <c r="L11" s="482"/>
      <c r="M11" s="483"/>
      <c r="N11" s="483"/>
      <c r="O11" s="53"/>
      <c r="P11" s="144"/>
      <c r="Q11" s="523"/>
      <c r="R11" s="484"/>
      <c r="S11" s="516"/>
      <c r="T11" s="688" t="s">
        <v>482</v>
      </c>
      <c r="U11" s="215"/>
      <c r="V11" s="215"/>
      <c r="W11" s="215"/>
      <c r="X11" s="215"/>
      <c r="Y11" s="215"/>
      <c r="Z11" s="215"/>
      <c r="AA11" s="215"/>
      <c r="AB11" s="521"/>
      <c r="AC11" s="215"/>
      <c r="AD11" s="215"/>
      <c r="AE11" s="215"/>
      <c r="AF11" s="215"/>
      <c r="AG11" s="215"/>
      <c r="AH11" s="215"/>
      <c r="AI11" s="521"/>
      <c r="AJ11" s="215"/>
      <c r="AK11" s="522"/>
      <c r="AM11" s="130"/>
      <c r="AN11" s="130" t="str">
        <f t="shared" si="26"/>
        <v xml:space="preserve">Добавить наименование признака дифференциации</v>
      </c>
      <c r="AO11" s="130"/>
      <c r="AP11" s="130"/>
      <c r="AQ11" s="50">
        <v>0</v>
      </c>
    </row>
    <row r="12" s="57" customFormat="1" ht="14.25" hidden="1" customHeight="1">
      <c r="A12" s="134"/>
      <c r="B12" s="134"/>
      <c r="C12" s="134"/>
      <c r="D12" s="134"/>
      <c r="E12" s="492"/>
      <c r="F12" s="481"/>
      <c r="G12" s="134"/>
      <c r="H12" s="134"/>
      <c r="I12" s="134"/>
      <c r="J12" s="134"/>
      <c r="K12" s="134"/>
      <c r="L12" s="213"/>
      <c r="M12" s="529"/>
      <c r="N12" s="529"/>
      <c r="P12" s="168"/>
      <c r="Q12" s="525"/>
      <c r="R12" s="168"/>
      <c r="S12" s="530"/>
      <c r="T12" s="533" t="s">
        <v>409</v>
      </c>
      <c r="U12" s="532"/>
      <c r="V12" s="532"/>
      <c r="W12" s="532"/>
      <c r="X12" s="532"/>
      <c r="Y12" s="532"/>
      <c r="Z12" s="532"/>
      <c r="AA12" s="532"/>
      <c r="AB12" s="532"/>
      <c r="AC12" s="532"/>
      <c r="AD12" s="532"/>
      <c r="AE12" s="532"/>
      <c r="AF12" s="532"/>
      <c r="AG12" s="532"/>
      <c r="AH12" s="532"/>
      <c r="AI12" s="532"/>
      <c r="AJ12" s="532"/>
      <c r="AK12" s="532"/>
      <c r="AM12" s="130"/>
      <c r="AN12" s="130" t="str">
        <f t="shared" si="26"/>
        <v xml:space="preserve">Добавить централизованную систему для дифференциации</v>
      </c>
      <c r="AO12" s="130"/>
      <c r="AP12" s="130"/>
      <c r="AQ12" s="57">
        <v>0</v>
      </c>
    </row>
    <row r="13" s="57" customFormat="1" ht="14.25" hidden="1" customHeight="1">
      <c r="A13" s="134"/>
      <c r="B13" s="134"/>
      <c r="C13" s="134"/>
      <c r="D13" s="134"/>
      <c r="E13" s="481"/>
      <c r="F13" s="134"/>
      <c r="G13" s="134"/>
      <c r="H13" s="134"/>
      <c r="I13" s="134"/>
      <c r="J13" s="134"/>
      <c r="K13" s="134"/>
      <c r="L13" s="213"/>
      <c r="M13" s="529"/>
      <c r="N13" s="529"/>
      <c r="O13" s="57"/>
      <c r="P13" s="168"/>
      <c r="Q13" s="525"/>
      <c r="R13" s="168"/>
      <c r="S13" s="530"/>
      <c r="T13" s="533" t="s">
        <v>410</v>
      </c>
      <c r="U13" s="532"/>
      <c r="V13" s="532"/>
      <c r="W13" s="532"/>
      <c r="X13" s="532"/>
      <c r="Y13" s="532"/>
      <c r="Z13" s="532"/>
      <c r="AA13" s="532"/>
      <c r="AB13" s="532"/>
      <c r="AC13" s="532"/>
      <c r="AD13" s="532"/>
      <c r="AE13" s="532"/>
      <c r="AF13" s="532"/>
      <c r="AG13" s="532"/>
      <c r="AH13" s="532"/>
      <c r="AI13" s="532"/>
      <c r="AJ13" s="532"/>
      <c r="AK13" s="532"/>
      <c r="AM13" s="130"/>
      <c r="AN13" s="130" t="str">
        <f t="shared" si="26"/>
        <v xml:space="preserve">Добавить территорию для дифференциации</v>
      </c>
      <c r="AO13" s="130"/>
      <c r="AP13" s="130"/>
      <c r="AQ13" s="57">
        <v>0</v>
      </c>
    </row>
    <row r="14" ht="14.25" hidden="1" customHeight="1">
      <c r="AB14" s="50"/>
      <c r="AI14" s="50"/>
      <c r="AQ14" s="50">
        <v>0</v>
      </c>
    </row>
    <row r="15" ht="14.25" hidden="1" customHeight="1">
      <c r="AC15" s="534"/>
      <c r="AD15" s="534"/>
      <c r="AE15" s="535"/>
      <c r="AF15" s="536"/>
      <c r="AG15" s="537" t="s">
        <v>64</v>
      </c>
      <c r="AH15" s="536"/>
      <c r="AI15" s="537" t="s">
        <v>64</v>
      </c>
      <c r="AQ15" s="50">
        <v>0</v>
      </c>
    </row>
    <row r="16" ht="14.25" hidden="1" customHeight="1">
      <c r="AC16" s="534"/>
      <c r="AD16" s="534"/>
      <c r="AE16" s="513" t="str">
        <f>AF15&amp;"-"&amp;AH15</f>
        <v>-</v>
      </c>
      <c r="AF16" s="537"/>
      <c r="AG16" s="537"/>
      <c r="AH16" s="537"/>
      <c r="AI16" s="537"/>
      <c r="AQ16" s="50">
        <v>0</v>
      </c>
    </row>
    <row r="17" ht="14.25" hidden="1" customHeight="1">
      <c r="AI17" s="50"/>
      <c r="AQ17" s="50">
        <v>0</v>
      </c>
    </row>
    <row r="18" s="53" customFormat="1" ht="22.5" hidden="1" customHeight="1">
      <c r="L18" s="114"/>
      <c r="M18" s="61"/>
      <c r="N18" s="61"/>
      <c r="O18" s="538" t="s">
        <v>411</v>
      </c>
      <c r="P18" s="61"/>
      <c r="Q18" s="539"/>
      <c r="R18" s="539"/>
      <c r="S18" s="483"/>
      <c r="Y18" s="538"/>
      <c r="AA18" s="538"/>
      <c r="AB18" s="53"/>
      <c r="AF18" s="538"/>
      <c r="AH18" s="538"/>
      <c r="AI18" s="53"/>
      <c r="AL18" s="57"/>
      <c r="AM18" s="57"/>
      <c r="AN18" s="57"/>
      <c r="AO18" s="57"/>
      <c r="AP18" s="57"/>
      <c r="AQ18" s="53">
        <v>0</v>
      </c>
    </row>
    <row r="19" s="53" customFormat="1" ht="14.25" hidden="1" customHeight="1">
      <c r="L19" s="114"/>
      <c r="M19" s="61"/>
      <c r="N19" s="61"/>
      <c r="O19" s="61"/>
      <c r="P19" s="61"/>
      <c r="Q19" s="539"/>
      <c r="R19" s="539"/>
      <c r="S19" s="483"/>
      <c r="AB19" s="53"/>
      <c r="AI19" s="53"/>
      <c r="AL19" s="57"/>
      <c r="AM19" s="57"/>
      <c r="AN19" s="57"/>
      <c r="AO19" s="57"/>
      <c r="AP19" s="57"/>
      <c r="AQ19" s="53">
        <v>0</v>
      </c>
    </row>
    <row r="20" s="53" customFormat="1" ht="12" hidden="1" customHeight="1">
      <c r="L20" s="114"/>
      <c r="M20" s="61"/>
      <c r="N20" s="61"/>
      <c r="O20" s="482" t="s">
        <v>412</v>
      </c>
      <c r="P20" s="61"/>
      <c r="Q20" s="689"/>
      <c r="R20" s="689"/>
      <c r="S20" s="483"/>
      <c r="T20" s="53" t="s">
        <v>413</v>
      </c>
      <c r="Z20" s="152" t="s">
        <v>414</v>
      </c>
      <c r="AB20" s="152" t="s">
        <v>415</v>
      </c>
      <c r="AC20" s="53" t="s">
        <v>413</v>
      </c>
      <c r="AG20" s="152" t="s">
        <v>416</v>
      </c>
      <c r="AI20" s="152" t="s">
        <v>415</v>
      </c>
      <c r="AQ20" s="53">
        <v>0</v>
      </c>
    </row>
    <row r="21" ht="14.25" hidden="1" customHeight="1">
      <c r="O21" s="482"/>
      <c r="AQ21" s="50">
        <v>0</v>
      </c>
    </row>
    <row r="22" ht="14.25" hidden="1" customHeight="1">
      <c r="O22" s="482"/>
      <c r="AQ22" s="50">
        <v>0</v>
      </c>
    </row>
    <row r="23" ht="14.65" customHeight="1">
      <c r="Q23" s="540"/>
      <c r="R23" s="540"/>
      <c r="S23" s="541"/>
      <c r="T23" s="91"/>
      <c r="U23" s="91"/>
      <c r="V23" s="50"/>
      <c r="W23" s="50"/>
      <c r="X23" s="50"/>
      <c r="Y23" s="50"/>
      <c r="Z23" s="50"/>
      <c r="AA23" s="50"/>
      <c r="AB23" s="50"/>
      <c r="AC23" s="50"/>
      <c r="AD23" s="50"/>
      <c r="AE23" s="50"/>
      <c r="AF23" s="50"/>
      <c r="AG23" s="50"/>
      <c r="AH23" s="50"/>
      <c r="AI23" s="50"/>
      <c r="AQ23" s="50">
        <v>14</v>
      </c>
    </row>
    <row r="24" ht="14.65" customHeight="1">
      <c r="Q24" s="540"/>
      <c r="R24" s="540"/>
      <c r="S24" s="453" t="str">
        <f>IF(TEMPLATE_GROUP="P",PT_P_FORM_COLDVSNA_4_NAME_FORM,PT_R_FORM_COLDVSNA_16_NAME_FORM)</f>
        <v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453"/>
      <c r="U24" s="453"/>
      <c r="V24" s="453"/>
      <c r="W24" s="453"/>
      <c r="X24" s="453"/>
      <c r="Y24" s="453"/>
      <c r="Z24" s="453"/>
      <c r="AA24" s="453"/>
      <c r="AB24" s="453"/>
      <c r="AC24" s="453"/>
      <c r="AD24" s="453"/>
      <c r="AE24" s="453"/>
      <c r="AF24" s="453"/>
      <c r="AG24" s="453"/>
      <c r="AH24" s="453"/>
      <c r="AI24" s="241"/>
      <c r="AQ24" s="50">
        <v>14</v>
      </c>
    </row>
    <row r="25" ht="14.65" customHeight="1">
      <c r="Q25" s="540"/>
      <c r="R25" s="540"/>
      <c r="S25" s="304" t="str">
        <f>IF(org=0,"Не определено",org)</f>
        <v xml:space="preserve">АО "ДГК" СП "Биробиджанская ТЭЦ"</v>
      </c>
      <c r="T25" s="304"/>
      <c r="U25" s="304"/>
      <c r="V25" s="304"/>
      <c r="W25" s="304"/>
      <c r="X25" s="304"/>
      <c r="Y25" s="304"/>
      <c r="Z25" s="304"/>
      <c r="AA25" s="304"/>
      <c r="AB25" s="304"/>
      <c r="AC25" s="304"/>
      <c r="AD25" s="304"/>
      <c r="AE25" s="304"/>
      <c r="AF25" s="304"/>
      <c r="AG25" s="304"/>
      <c r="AH25" s="304"/>
      <c r="AI25" s="241"/>
      <c r="AQ25" s="50">
        <v>14</v>
      </c>
    </row>
    <row r="26" ht="14.25" hidden="1" customHeight="1">
      <c r="Q26" s="540"/>
      <c r="R26" s="540"/>
      <c r="S26" s="541"/>
      <c r="T26" s="91"/>
      <c r="U26" s="91"/>
      <c r="V26" s="542"/>
      <c r="W26" s="542"/>
      <c r="X26" s="542"/>
      <c r="Y26" s="542"/>
      <c r="Z26" s="542"/>
      <c r="AA26" s="542"/>
      <c r="AB26" s="542"/>
      <c r="AC26" s="542"/>
      <c r="AD26" s="542"/>
      <c r="AE26" s="542"/>
      <c r="AF26" s="542"/>
      <c r="AG26" s="542"/>
      <c r="AH26" s="542"/>
      <c r="AI26" s="542"/>
      <c r="AJ26" s="50"/>
      <c r="AQ26" s="50">
        <v>0</v>
      </c>
    </row>
    <row r="27" s="185" customFormat="1" ht="25.5" hidden="1" customHeight="1">
      <c r="A27" s="152"/>
      <c r="B27" s="152"/>
      <c r="C27" s="152"/>
      <c r="D27" s="152"/>
      <c r="E27" s="152"/>
      <c r="F27" s="152"/>
      <c r="G27" s="152"/>
      <c r="H27" s="152"/>
      <c r="I27" s="152"/>
      <c r="J27" s="152"/>
      <c r="K27" s="152"/>
      <c r="L27" s="482"/>
      <c r="M27" s="152"/>
      <c r="N27" s="152"/>
      <c r="O27" s="152"/>
      <c r="S27" s="543" t="s">
        <v>41</v>
      </c>
      <c r="T27" s="543"/>
      <c r="U27" s="544"/>
      <c r="V27" s="545" t="str">
        <f>IF(TITLE_NAME_OR_PR_CHANGE="",IF(TITLE_NAME_OR_PR="","",TITLE_NAME_OR_PR),TITLE_NAME_OR_PR_CHANGE)</f>
        <v/>
      </c>
      <c r="W27" s="545"/>
      <c r="X27" s="545"/>
      <c r="Y27" s="545"/>
      <c r="Z27" s="545"/>
      <c r="AA27" s="545"/>
      <c r="AB27" s="50"/>
      <c r="AC27" s="545" t="str">
        <f>IF(TITLE_NAME_OR_PR_CHANGE="",IF(TITLE_NAME_OR_PR="","",TITLE_NAME_OR_PR),TITLE_NAME_OR_PR_CHANGE)</f>
        <v/>
      </c>
      <c r="AD27" s="545"/>
      <c r="AE27" s="545"/>
      <c r="AF27" s="545"/>
      <c r="AG27" s="545"/>
      <c r="AH27" s="545"/>
      <c r="AI27" s="50"/>
      <c r="AJ27" s="50"/>
      <c r="AK27" s="546"/>
      <c r="AL27" s="130"/>
      <c r="AM27" s="130"/>
      <c r="AN27" s="130"/>
      <c r="AO27" s="130"/>
      <c r="AP27" s="130"/>
      <c r="AQ27" s="185">
        <v>0</v>
      </c>
    </row>
    <row r="28" s="185" customFormat="1" ht="18.75" hidden="1" customHeight="1">
      <c r="A28" s="152"/>
      <c r="B28" s="152"/>
      <c r="C28" s="152"/>
      <c r="D28" s="152"/>
      <c r="E28" s="152"/>
      <c r="F28" s="152"/>
      <c r="G28" s="152"/>
      <c r="H28" s="152"/>
      <c r="I28" s="152"/>
      <c r="J28" s="152"/>
      <c r="K28" s="152"/>
      <c r="L28" s="482"/>
      <c r="M28" s="152"/>
      <c r="N28" s="152"/>
      <c r="O28" s="152"/>
      <c r="S28" s="543" t="s">
        <v>417</v>
      </c>
      <c r="T28" s="543"/>
      <c r="U28" s="544"/>
      <c r="V28" s="547" t="str">
        <f>IF(TITLE_DATE_PR_CHANGE="",IF(TITLE_DATE_PR="","",TITLE_DATE_PR),TITLE_DATE_PR_CHANGE)</f>
        <v/>
      </c>
      <c r="W28" s="547"/>
      <c r="X28" s="547"/>
      <c r="Y28" s="547"/>
      <c r="Z28" s="547"/>
      <c r="AA28" s="547"/>
      <c r="AB28" s="50"/>
      <c r="AC28" s="547" t="str">
        <f>IF(TITLE_DATE_PR_CHANGE="",IF(TITLE_DATE_PR="","",TITLE_DATE_PR),TITLE_DATE_PR_CHANGE)</f>
        <v/>
      </c>
      <c r="AD28" s="547"/>
      <c r="AE28" s="547"/>
      <c r="AF28" s="547"/>
      <c r="AG28" s="547"/>
      <c r="AH28" s="547"/>
      <c r="AI28" s="50"/>
      <c r="AJ28" s="50"/>
      <c r="AK28" s="546"/>
      <c r="AL28" s="130"/>
      <c r="AM28" s="130"/>
      <c r="AN28" s="130"/>
      <c r="AO28" s="130"/>
      <c r="AP28" s="130"/>
      <c r="AQ28" s="185">
        <v>0</v>
      </c>
    </row>
    <row r="29" s="185" customFormat="1" ht="18.75" hidden="1" customHeight="1">
      <c r="A29" s="152"/>
      <c r="B29" s="152"/>
      <c r="C29" s="152"/>
      <c r="D29" s="152"/>
      <c r="E29" s="152"/>
      <c r="F29" s="152"/>
      <c r="G29" s="152"/>
      <c r="H29" s="152"/>
      <c r="I29" s="152"/>
      <c r="J29" s="152"/>
      <c r="K29" s="152"/>
      <c r="L29" s="482"/>
      <c r="M29" s="152"/>
      <c r="N29" s="152"/>
      <c r="O29" s="152"/>
      <c r="S29" s="543" t="s">
        <v>418</v>
      </c>
      <c r="T29" s="543"/>
      <c r="U29" s="544"/>
      <c r="V29" s="545" t="str">
        <f>IF(TITLE_NUMBER_PR_CHANGE="",IF(TITLE_NUMBER_PR="","",TITLE_NUMBER_PR),TITLE_NUMBER_PR_CHANGE)</f>
        <v/>
      </c>
      <c r="W29" s="545"/>
      <c r="X29" s="545"/>
      <c r="Y29" s="545"/>
      <c r="Z29" s="545"/>
      <c r="AA29" s="545"/>
      <c r="AB29" s="50"/>
      <c r="AC29" s="545" t="str">
        <f>IF(TITLE_NUMBER_PR_CHANGE="",IF(TITLE_NUMBER_PR="","",TITLE_NUMBER_PR),TITLE_NUMBER_PR_CHANGE)</f>
        <v/>
      </c>
      <c r="AD29" s="545"/>
      <c r="AE29" s="545"/>
      <c r="AF29" s="545"/>
      <c r="AG29" s="545"/>
      <c r="AH29" s="545"/>
      <c r="AI29" s="50"/>
      <c r="AJ29" s="50"/>
      <c r="AK29" s="546"/>
      <c r="AL29" s="130"/>
      <c r="AM29" s="130"/>
      <c r="AN29" s="130"/>
      <c r="AO29" s="130"/>
      <c r="AP29" s="130"/>
      <c r="AQ29" s="185">
        <v>0</v>
      </c>
    </row>
    <row r="30" s="185" customFormat="1" ht="18.75" hidden="1" customHeight="1">
      <c r="A30" s="152"/>
      <c r="B30" s="152"/>
      <c r="C30" s="152"/>
      <c r="D30" s="152"/>
      <c r="E30" s="152"/>
      <c r="F30" s="152"/>
      <c r="G30" s="152"/>
      <c r="H30" s="152"/>
      <c r="I30" s="152"/>
      <c r="J30" s="152"/>
      <c r="K30" s="152"/>
      <c r="L30" s="482"/>
      <c r="M30" s="152"/>
      <c r="N30" s="152"/>
      <c r="O30" s="152"/>
      <c r="S30" s="543" t="s">
        <v>42</v>
      </c>
      <c r="T30" s="543"/>
      <c r="U30" s="544"/>
      <c r="V30" s="545" t="str">
        <f>IF(TITLE_IST_PUB_CHANGE="",IF(TITLE_IST_PUB="","",TITLE_IST_PUB),TITLE_IST_PUB_CHANGE)</f>
        <v/>
      </c>
      <c r="W30" s="545"/>
      <c r="X30" s="545"/>
      <c r="Y30" s="545"/>
      <c r="Z30" s="545"/>
      <c r="AA30" s="545"/>
      <c r="AB30" s="50"/>
      <c r="AC30" s="545" t="str">
        <f>IF(TITLE_IST_PUB_CHANGE="",IF(TITLE_IST_PUB="","",TITLE_IST_PUB),TITLE_IST_PUB_CHANGE)</f>
        <v/>
      </c>
      <c r="AD30" s="545"/>
      <c r="AE30" s="545"/>
      <c r="AF30" s="545"/>
      <c r="AG30" s="545"/>
      <c r="AH30" s="545"/>
      <c r="AI30" s="50"/>
      <c r="AJ30" s="50"/>
      <c r="AK30" s="546"/>
      <c r="AL30" s="130"/>
      <c r="AM30" s="130"/>
      <c r="AN30" s="130"/>
      <c r="AO30" s="130"/>
      <c r="AP30" s="130"/>
      <c r="AQ30" s="185">
        <v>0</v>
      </c>
    </row>
    <row r="31" ht="14.25" hidden="1" customHeight="1">
      <c r="Q31" s="540"/>
      <c r="R31" s="540"/>
      <c r="S31" s="541"/>
      <c r="T31" s="91"/>
      <c r="U31" s="91"/>
      <c r="V31" s="542"/>
      <c r="W31" s="542"/>
      <c r="X31" s="542"/>
      <c r="Y31" s="542"/>
      <c r="Z31" s="542"/>
      <c r="AA31" s="542"/>
      <c r="AB31" s="542"/>
      <c r="AC31" s="542"/>
      <c r="AD31" s="542"/>
      <c r="AE31" s="542"/>
      <c r="AF31" s="542"/>
      <c r="AG31" s="542"/>
      <c r="AH31" s="542"/>
      <c r="AI31" s="542"/>
      <c r="AJ31" s="50"/>
      <c r="AQ31" s="50">
        <v>0</v>
      </c>
    </row>
    <row r="32" s="185" customFormat="1" ht="18.75" hidden="1" customHeight="1">
      <c r="A32" s="152"/>
      <c r="B32" s="152"/>
      <c r="C32" s="152"/>
      <c r="D32" s="152"/>
      <c r="E32" s="152"/>
      <c r="F32" s="152"/>
      <c r="G32" s="152"/>
      <c r="H32" s="152"/>
      <c r="I32" s="152"/>
      <c r="J32" s="152"/>
      <c r="K32" s="152"/>
      <c r="L32" s="482"/>
      <c r="M32" s="152"/>
      <c r="N32" s="152"/>
      <c r="O32" s="152"/>
      <c r="S32" s="543" t="s">
        <v>419</v>
      </c>
      <c r="T32" s="543"/>
      <c r="U32" s="544"/>
      <c r="V32" s="547" t="str">
        <f>IF(TITLE_DATE_PR_CHANGE="",IF(TITLE_DATE_PR="","",TITLE_DATE_PR),TITLE_DATE_PR_CHANGE)</f>
        <v/>
      </c>
      <c r="W32" s="547"/>
      <c r="X32" s="547"/>
      <c r="Y32" s="547"/>
      <c r="Z32" s="547"/>
      <c r="AA32" s="547"/>
      <c r="AB32" s="50"/>
      <c r="AC32" s="547" t="str">
        <f>IF(TITLE_DATE_PR_CHANGE="",IF(TITLE_DATE_PR="","",TITLE_DATE_PR),TITLE_DATE_PR_CHANGE)</f>
        <v/>
      </c>
      <c r="AD32" s="547"/>
      <c r="AE32" s="547"/>
      <c r="AF32" s="547"/>
      <c r="AG32" s="547"/>
      <c r="AH32" s="547"/>
      <c r="AI32" s="50"/>
      <c r="AJ32" s="50"/>
      <c r="AK32" s="546"/>
      <c r="AL32" s="130"/>
      <c r="AM32" s="130"/>
      <c r="AN32" s="130"/>
      <c r="AO32" s="130"/>
      <c r="AP32" s="130"/>
      <c r="AQ32" s="185">
        <v>0</v>
      </c>
    </row>
    <row r="33" s="185" customFormat="1" ht="18.75" hidden="1" customHeight="1">
      <c r="A33" s="152"/>
      <c r="B33" s="152"/>
      <c r="C33" s="152"/>
      <c r="D33" s="152"/>
      <c r="E33" s="152"/>
      <c r="F33" s="152"/>
      <c r="G33" s="152"/>
      <c r="H33" s="152"/>
      <c r="I33" s="152"/>
      <c r="J33" s="152"/>
      <c r="K33" s="152"/>
      <c r="L33" s="482"/>
      <c r="M33" s="152"/>
      <c r="N33" s="152"/>
      <c r="O33" s="152"/>
      <c r="S33" s="543" t="s">
        <v>420</v>
      </c>
      <c r="T33" s="543"/>
      <c r="U33" s="544"/>
      <c r="V33" s="545" t="str">
        <f>IF(TITLE_NUMBER_PR_CHANGE="",IF(TITLE_NUMBER_PR="","",TITLE_NUMBER_PR),TITLE_NUMBER_PR_CHANGE)</f>
        <v/>
      </c>
      <c r="W33" s="545"/>
      <c r="X33" s="545"/>
      <c r="Y33" s="545"/>
      <c r="Z33" s="545"/>
      <c r="AA33" s="545"/>
      <c r="AB33" s="50"/>
      <c r="AC33" s="545" t="str">
        <f>IF(TITLE_NUMBER_PR_CHANGE="",IF(TITLE_NUMBER_PR="","",TITLE_NUMBER_PR),TITLE_NUMBER_PR_CHANGE)</f>
        <v/>
      </c>
      <c r="AD33" s="545"/>
      <c r="AE33" s="545"/>
      <c r="AF33" s="545"/>
      <c r="AG33" s="545"/>
      <c r="AH33" s="545"/>
      <c r="AI33" s="50"/>
      <c r="AJ33" s="50"/>
      <c r="AK33" s="546"/>
      <c r="AL33" s="130"/>
      <c r="AM33" s="130"/>
      <c r="AN33" s="130"/>
      <c r="AO33" s="130"/>
      <c r="AP33" s="130"/>
      <c r="AQ33" s="185">
        <v>0</v>
      </c>
    </row>
    <row r="34" s="185" customFormat="1" ht="1.05" customHeight="1">
      <c r="A34" s="152"/>
      <c r="B34" s="152"/>
      <c r="C34" s="152"/>
      <c r="D34" s="152"/>
      <c r="E34" s="152"/>
      <c r="F34" s="152"/>
      <c r="G34" s="152"/>
      <c r="H34" s="152"/>
      <c r="I34" s="152"/>
      <c r="J34" s="152"/>
      <c r="K34" s="152"/>
      <c r="L34" s="482"/>
      <c r="M34" s="152"/>
      <c r="N34" s="152"/>
      <c r="O34" s="152"/>
      <c r="S34" s="50"/>
      <c r="T34" s="50"/>
      <c r="U34" s="141"/>
      <c r="V34" s="50"/>
      <c r="W34" s="50"/>
      <c r="X34" s="50"/>
      <c r="Y34" s="50"/>
      <c r="Z34" s="50"/>
      <c r="AA34" s="50"/>
      <c r="AB34" s="57" t="s">
        <v>421</v>
      </c>
      <c r="AC34" s="50"/>
      <c r="AD34" s="50"/>
      <c r="AE34" s="50"/>
      <c r="AF34" s="50"/>
      <c r="AG34" s="50"/>
      <c r="AH34" s="50"/>
      <c r="AI34" s="57" t="s">
        <v>421</v>
      </c>
      <c r="AL34" s="130"/>
      <c r="AM34" s="130"/>
      <c r="AN34" s="130"/>
      <c r="AO34" s="130"/>
      <c r="AP34" s="130"/>
      <c r="AQ34" s="185">
        <v>1</v>
      </c>
    </row>
    <row r="35" ht="14.65" customHeight="1">
      <c r="Q35" s="540"/>
      <c r="R35" s="540"/>
      <c r="S35" s="541"/>
      <c r="T35" s="91"/>
      <c r="U35" s="548"/>
      <c r="V35" s="549"/>
      <c r="W35" s="549"/>
      <c r="X35" s="549"/>
      <c r="Y35" s="549"/>
      <c r="Z35" s="549"/>
      <c r="AA35" s="549"/>
      <c r="AB35" s="549"/>
      <c r="AC35" s="549"/>
      <c r="AD35" s="549"/>
      <c r="AE35" s="549"/>
      <c r="AF35" s="549"/>
      <c r="AG35" s="549"/>
      <c r="AH35" s="549"/>
      <c r="AI35" s="549"/>
      <c r="AQ35" s="50">
        <v>14</v>
      </c>
    </row>
    <row r="36" ht="14.65" customHeight="1">
      <c r="Q36" s="540"/>
      <c r="R36" s="540"/>
      <c r="S36" s="158" t="s">
        <v>294</v>
      </c>
      <c r="T36" s="158"/>
      <c r="U36" s="158"/>
      <c r="V36" s="158"/>
      <c r="W36" s="158"/>
      <c r="X36" s="158"/>
      <c r="Y36" s="158"/>
      <c r="Z36" s="158"/>
      <c r="AA36" s="158"/>
      <c r="AB36" s="158"/>
      <c r="AC36" s="158"/>
      <c r="AD36" s="158"/>
      <c r="AE36" s="158"/>
      <c r="AF36" s="158"/>
      <c r="AG36" s="158"/>
      <c r="AH36" s="158"/>
      <c r="AI36" s="158"/>
      <c r="AJ36" s="158"/>
      <c r="AK36" s="158" t="s">
        <v>295</v>
      </c>
      <c r="AQ36" s="50">
        <v>14</v>
      </c>
    </row>
    <row r="37" ht="14.65" customHeight="1">
      <c r="Q37" s="540"/>
      <c r="R37" s="540"/>
      <c r="S37" s="485" t="s">
        <v>87</v>
      </c>
      <c r="T37" s="348" t="s">
        <v>422</v>
      </c>
      <c r="U37" s="550"/>
      <c r="V37" s="551" t="s">
        <v>423</v>
      </c>
      <c r="W37" s="552"/>
      <c r="X37" s="552"/>
      <c r="Y37" s="552"/>
      <c r="Z37" s="552"/>
      <c r="AA37" s="553"/>
      <c r="AB37" s="554" t="s">
        <v>424</v>
      </c>
      <c r="AC37" s="551" t="s">
        <v>423</v>
      </c>
      <c r="AD37" s="552"/>
      <c r="AE37" s="552"/>
      <c r="AF37" s="552"/>
      <c r="AG37" s="552"/>
      <c r="AH37" s="553"/>
      <c r="AI37" s="554" t="s">
        <v>425</v>
      </c>
      <c r="AJ37" s="555" t="s">
        <v>426</v>
      </c>
      <c r="AK37" s="158"/>
      <c r="AQ37" s="50">
        <v>14</v>
      </c>
    </row>
    <row r="38" ht="35.649999999999999" customHeight="1">
      <c r="Q38" s="540"/>
      <c r="R38" s="540"/>
      <c r="S38" s="485"/>
      <c r="T38" s="348"/>
      <c r="U38" s="556"/>
      <c r="V38" s="308" t="s">
        <v>483</v>
      </c>
      <c r="W38" s="73" t="s">
        <v>429</v>
      </c>
      <c r="X38" s="72"/>
      <c r="Y38" s="73" t="s">
        <v>430</v>
      </c>
      <c r="Z38" s="146"/>
      <c r="AA38" s="72"/>
      <c r="AB38" s="558"/>
      <c r="AC38" s="308" t="s">
        <v>483</v>
      </c>
      <c r="AD38" s="73" t="s">
        <v>429</v>
      </c>
      <c r="AE38" s="72"/>
      <c r="AF38" s="73" t="s">
        <v>430</v>
      </c>
      <c r="AG38" s="146"/>
      <c r="AH38" s="72"/>
      <c r="AI38" s="558"/>
      <c r="AJ38" s="559"/>
      <c r="AK38" s="158"/>
      <c r="AQ38" s="50">
        <v>34</v>
      </c>
    </row>
    <row r="39" ht="35.649999999999999" customHeight="1">
      <c r="A39" s="152"/>
      <c r="B39" s="152" t="s">
        <v>131</v>
      </c>
      <c r="C39" s="152" t="s">
        <v>132</v>
      </c>
      <c r="D39" s="152" t="s">
        <v>133</v>
      </c>
      <c r="E39" s="482" t="s">
        <v>431</v>
      </c>
      <c r="F39" s="482" t="s">
        <v>432</v>
      </c>
      <c r="G39" s="482" t="s">
        <v>433</v>
      </c>
      <c r="H39" s="482"/>
      <c r="I39" s="482" t="s">
        <v>484</v>
      </c>
      <c r="J39" s="482" t="s">
        <v>436</v>
      </c>
      <c r="K39" s="482" t="s">
        <v>485</v>
      </c>
      <c r="L39" s="482" t="s">
        <v>412</v>
      </c>
      <c r="Q39" s="540"/>
      <c r="R39" s="540"/>
      <c r="S39" s="485"/>
      <c r="T39" s="348"/>
      <c r="U39" s="560"/>
      <c r="V39" s="308" t="s">
        <v>486</v>
      </c>
      <c r="W39" s="247" t="s">
        <v>487</v>
      </c>
      <c r="X39" s="247" t="s">
        <v>488</v>
      </c>
      <c r="Y39" s="247" t="s">
        <v>440</v>
      </c>
      <c r="Z39" s="416" t="s">
        <v>441</v>
      </c>
      <c r="AA39" s="418"/>
      <c r="AB39" s="562"/>
      <c r="AC39" s="308" t="s">
        <v>486</v>
      </c>
      <c r="AD39" s="247" t="s">
        <v>487</v>
      </c>
      <c r="AE39" s="247" t="s">
        <v>488</v>
      </c>
      <c r="AF39" s="247" t="s">
        <v>440</v>
      </c>
      <c r="AG39" s="416" t="s">
        <v>441</v>
      </c>
      <c r="AH39" s="418"/>
      <c r="AI39" s="562"/>
      <c r="AJ39" s="563"/>
      <c r="AK39" s="158"/>
      <c r="AQ39" s="50">
        <v>34</v>
      </c>
    </row>
    <row r="40" s="132" customFormat="1" ht="0" customHeight="1">
      <c r="A40" s="152"/>
      <c r="B40" s="152"/>
      <c r="C40" s="152"/>
      <c r="D40" s="152"/>
      <c r="E40" s="152"/>
      <c r="F40" s="152"/>
      <c r="G40" s="152"/>
      <c r="H40" s="152"/>
      <c r="I40" s="152"/>
      <c r="J40" s="152"/>
      <c r="K40" s="152"/>
      <c r="L40" s="482"/>
      <c r="M40" s="61"/>
      <c r="N40" s="61"/>
      <c r="O40" s="61"/>
      <c r="P40" s="564"/>
      <c r="Q40" s="565"/>
      <c r="R40" s="566">
        <v>1</v>
      </c>
      <c r="S40" s="567" t="s">
        <v>105</v>
      </c>
      <c r="T40" s="568" t="s">
        <v>106</v>
      </c>
      <c r="U40" s="569" t="str">
        <f ca="1">OFFSET(U40,0,-1)</f>
        <v>2</v>
      </c>
      <c r="V40" s="570">
        <f ca="1">OFFSET(V40,0,-1)+1</f>
        <v>3</v>
      </c>
      <c r="W40" s="570">
        <f ca="1">OFFSET(W40,0,-1)+1</f>
        <v>4</v>
      </c>
      <c r="X40" s="570">
        <f ca="1">OFFSET(X40,0,-1)+1</f>
        <v>5</v>
      </c>
      <c r="Y40" s="570">
        <f ca="1">OFFSET(Y40,0,-1)+1</f>
        <v>6</v>
      </c>
      <c r="Z40" s="570">
        <f ca="1">OFFSET(Z40,0,-1)+1</f>
        <v>7</v>
      </c>
      <c r="AA40" s="570"/>
      <c r="AB40" s="570">
        <f ca="1">OFFSET(AB40,0,-2)+1</f>
        <v>8</v>
      </c>
      <c r="AC40" s="570">
        <f ca="1">OFFSET(AC40,0,-1)+1</f>
        <v>9</v>
      </c>
      <c r="AD40" s="570">
        <f ca="1">OFFSET(AD40,0,-1)+1</f>
        <v>10</v>
      </c>
      <c r="AE40" s="570">
        <f ca="1">OFFSET(AE40,0,-1)+1</f>
        <v>11</v>
      </c>
      <c r="AF40" s="570">
        <f ca="1">OFFSET(AF40,0,-1)+1</f>
        <v>12</v>
      </c>
      <c r="AG40" s="570">
        <f ca="1">OFFSET(AG40,0,-1)+1</f>
        <v>13</v>
      </c>
      <c r="AH40" s="570"/>
      <c r="AI40" s="570">
        <f ca="1">OFFSET(AI40,0,-2)+1</f>
        <v>14</v>
      </c>
      <c r="AJ40" s="569">
        <f ca="1">OFFSET(AJ40,0,-1)</f>
        <v>14</v>
      </c>
      <c r="AK40" s="570">
        <f ca="1">OFFSET(AK40,0,-1)+1</f>
        <v>15</v>
      </c>
      <c r="AL40" s="57"/>
      <c r="AM40" s="57"/>
      <c r="AN40" s="57"/>
      <c r="AO40" s="57"/>
      <c r="AP40" s="57"/>
      <c r="AQ40" s="132">
        <v>0</v>
      </c>
    </row>
    <row r="41" ht="24" customHeight="1">
      <c r="A41" s="480" t="s">
        <v>225</v>
      </c>
      <c r="B41" s="480"/>
      <c r="C41" s="480"/>
      <c r="D41" s="480"/>
      <c r="E41" s="481">
        <v>1</v>
      </c>
      <c r="F41" s="480"/>
      <c r="G41" s="480"/>
      <c r="H41" s="480"/>
      <c r="I41" s="480"/>
      <c r="J41" s="480"/>
      <c r="K41" s="480"/>
      <c r="L41" s="482"/>
      <c r="M41" s="483"/>
      <c r="N41" s="483"/>
      <c r="O41" s="483"/>
      <c r="P41" s="60"/>
      <c r="Q41" s="144"/>
      <c r="R41" s="484"/>
      <c r="S41" s="485">
        <f>INDEX(PT_DIFFERENTIATION_NUM_NTAR,MATCH(A41,PT_DIFFERENTIATION_NTAR_ID,0))</f>
        <v>0</v>
      </c>
      <c r="T41" s="486" t="s">
        <v>119</v>
      </c>
      <c r="U41" s="487"/>
      <c r="V41" s="488"/>
      <c r="W41" s="489"/>
      <c r="X41" s="489"/>
      <c r="Y41" s="489"/>
      <c r="Z41" s="489"/>
      <c r="AA41" s="489"/>
      <c r="AB41" s="490"/>
      <c r="AC41" s="488" t="str">
        <f>INDEX(PT_DIFFERENTIATION_NTAR,MATCH(A41,PT_DIFFERENTIATION_NTAR_ID,0))</f>
        <v/>
      </c>
      <c r="AD41" s="489"/>
      <c r="AE41" s="489"/>
      <c r="AF41" s="489"/>
      <c r="AG41" s="489"/>
      <c r="AH41" s="489"/>
      <c r="AI41" s="489"/>
      <c r="AJ41" s="490"/>
      <c r="AK41" s="49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130"/>
      <c r="AN41" s="130" t="str">
        <f t="shared" si="26"/>
        <v xml:space="preserve">Наименование тарифа</v>
      </c>
      <c r="AO41" s="130"/>
      <c r="AP41" s="130"/>
      <c r="AQ41" s="50">
        <v>23</v>
      </c>
    </row>
    <row r="42" ht="24" customHeight="1">
      <c r="A42" s="480" t="s">
        <v>225</v>
      </c>
      <c r="B42" s="480" t="s">
        <v>226</v>
      </c>
      <c r="C42" s="480"/>
      <c r="D42" s="480"/>
      <c r="E42" s="492"/>
      <c r="F42" s="481">
        <v>1</v>
      </c>
      <c r="G42" s="480"/>
      <c r="H42" s="480"/>
      <c r="I42" s="480"/>
      <c r="J42" s="480"/>
      <c r="K42" s="480"/>
      <c r="L42" s="482"/>
      <c r="M42" s="483"/>
      <c r="N42" s="483"/>
      <c r="O42" s="483"/>
      <c r="P42" s="51"/>
      <c r="Q42" s="493"/>
      <c r="R42" s="494"/>
      <c r="S42" s="485" t="str">
        <f>INDEX(PT_DIFFERENTIATION_NUM_TER,MATCH(B42,PT_DIFFERENTIATION_TER_ID,0))</f>
        <v>.</v>
      </c>
      <c r="T42" s="495" t="s">
        <v>391</v>
      </c>
      <c r="U42" s="487"/>
      <c r="V42" s="488"/>
      <c r="W42" s="489"/>
      <c r="X42" s="489"/>
      <c r="Y42" s="489"/>
      <c r="Z42" s="489"/>
      <c r="AA42" s="489"/>
      <c r="AB42" s="490"/>
      <c r="AC42" s="488" t="str">
        <f>INDEX(PT_DIFFERENTIATION_TER,MATCH(B42,PT_DIFFERENTIATION_TER_ID,0))</f>
        <v/>
      </c>
      <c r="AD42" s="489"/>
      <c r="AE42" s="489"/>
      <c r="AF42" s="489"/>
      <c r="AG42" s="489"/>
      <c r="AH42" s="489"/>
      <c r="AI42" s="489"/>
      <c r="AJ42" s="490"/>
      <c r="AK42" s="491" t="s">
        <v>392</v>
      </c>
      <c r="AM42" s="130"/>
      <c r="AN42" s="130" t="str">
        <f t="shared" si="26"/>
        <v xml:space="preserve">Территория действия тарифа</v>
      </c>
      <c r="AO42" s="130"/>
      <c r="AP42" s="130"/>
      <c r="AQ42" s="50">
        <v>23</v>
      </c>
    </row>
    <row r="43" ht="24" customHeight="1">
      <c r="A43" s="480" t="s">
        <v>225</v>
      </c>
      <c r="B43" s="480" t="s">
        <v>226</v>
      </c>
      <c r="C43" s="480" t="s">
        <v>227</v>
      </c>
      <c r="D43" s="480"/>
      <c r="E43" s="492"/>
      <c r="F43" s="492"/>
      <c r="G43" s="481">
        <v>1</v>
      </c>
      <c r="H43" s="480"/>
      <c r="I43" s="480"/>
      <c r="J43" s="480"/>
      <c r="K43" s="480"/>
      <c r="L43" s="482"/>
      <c r="M43" s="483"/>
      <c r="N43" s="483"/>
      <c r="O43" s="483"/>
      <c r="P43" s="496"/>
      <c r="Q43" s="493"/>
      <c r="R43" s="494"/>
      <c r="S43" s="485" t="str">
        <f>INDEX(PT_DIFFERENTIATION_NUM_CS,MATCH(C43,PT_DIFFERENTIATION_CS_ID,0))</f>
        <v>..</v>
      </c>
      <c r="T43" s="497" t="s">
        <v>475</v>
      </c>
      <c r="U43" s="487"/>
      <c r="V43" s="488"/>
      <c r="W43" s="489"/>
      <c r="X43" s="489"/>
      <c r="Y43" s="489"/>
      <c r="Z43" s="489"/>
      <c r="AA43" s="489"/>
      <c r="AB43" s="490"/>
      <c r="AC43" s="488" t="str">
        <f>INDEX(PT_DIFFERENTIATION_CS,MATCH(C43,PT_DIFFERENTIATION_CS_ID,0))</f>
        <v/>
      </c>
      <c r="AD43" s="489"/>
      <c r="AE43" s="489"/>
      <c r="AF43" s="489"/>
      <c r="AG43" s="489"/>
      <c r="AH43" s="489"/>
      <c r="AI43" s="489"/>
      <c r="AJ43" s="490"/>
      <c r="AK43" s="491" t="s">
        <v>476</v>
      </c>
      <c r="AM43" s="130"/>
      <c r="AN43" s="130" t="str">
        <f t="shared" si="26"/>
        <v xml:space="preserve">Наименование централизованной системы холодного водоснабжения</v>
      </c>
      <c r="AO43" s="130"/>
      <c r="AP43" s="130"/>
      <c r="AQ43" s="50">
        <v>23</v>
      </c>
    </row>
    <row r="44" ht="24" customHeight="1">
      <c r="A44" s="480" t="s">
        <v>225</v>
      </c>
      <c r="B44" s="480" t="s">
        <v>226</v>
      </c>
      <c r="C44" s="480" t="s">
        <v>227</v>
      </c>
      <c r="D44" s="480" t="s">
        <v>490</v>
      </c>
      <c r="E44" s="492"/>
      <c r="F44" s="492"/>
      <c r="G44" s="492"/>
      <c r="H44" s="492"/>
      <c r="I44" s="499" t="str">
        <f>S43&amp;".1"</f>
        <v>...1</v>
      </c>
      <c r="J44" s="480"/>
      <c r="K44" s="480"/>
      <c r="L44" s="482"/>
      <c r="P44" s="133">
        <v>1</v>
      </c>
      <c r="Q44" s="133"/>
      <c r="R44" s="500"/>
      <c r="S44" s="485" t="str">
        <f>$I44</f>
        <v>...1</v>
      </c>
      <c r="T44" s="501" t="s">
        <v>477</v>
      </c>
      <c r="U44" s="487"/>
      <c r="V44" s="677"/>
      <c r="W44" s="678"/>
      <c r="X44" s="678"/>
      <c r="Y44" s="678"/>
      <c r="Z44" s="678"/>
      <c r="AA44" s="678"/>
      <c r="AB44" s="679"/>
      <c r="AC44" s="680"/>
      <c r="AD44" s="681"/>
      <c r="AE44" s="681"/>
      <c r="AF44" s="681"/>
      <c r="AG44" s="681"/>
      <c r="AH44" s="681"/>
      <c r="AI44" s="681"/>
      <c r="AJ44" s="682"/>
      <c r="AK44" s="491" t="s">
        <v>478</v>
      </c>
      <c r="AM44" s="130"/>
      <c r="AN44" s="130" t="str">
        <f t="shared" si="26"/>
        <v xml:space="preserve">Наименование признака дифференциации</v>
      </c>
      <c r="AO44" s="130"/>
      <c r="AP44" s="130"/>
      <c r="AQ44" s="50">
        <v>23</v>
      </c>
    </row>
    <row r="45" ht="24" customHeight="1">
      <c r="A45" s="480" t="s">
        <v>225</v>
      </c>
      <c r="B45" s="480" t="s">
        <v>226</v>
      </c>
      <c r="C45" s="480" t="s">
        <v>227</v>
      </c>
      <c r="D45" s="480" t="s">
        <v>490</v>
      </c>
      <c r="E45" s="492"/>
      <c r="F45" s="492"/>
      <c r="G45" s="492"/>
      <c r="H45" s="492"/>
      <c r="I45" s="504"/>
      <c r="J45" s="499" t="str">
        <f>I44&amp;".1"</f>
        <v>...1.1</v>
      </c>
      <c r="K45" s="480"/>
      <c r="L45" s="482" t="s">
        <v>400</v>
      </c>
      <c r="P45" s="133"/>
      <c r="Q45" s="133">
        <v>1</v>
      </c>
      <c r="R45" s="505"/>
      <c r="S45" s="485" t="str">
        <f>$J45</f>
        <v>...1.1</v>
      </c>
      <c r="T45" s="506" t="s">
        <v>401</v>
      </c>
      <c r="U45" s="487"/>
      <c r="V45" s="432"/>
      <c r="W45" s="502"/>
      <c r="X45" s="502"/>
      <c r="Y45" s="502"/>
      <c r="Z45" s="502"/>
      <c r="AA45" s="502"/>
      <c r="AB45" s="503"/>
      <c r="AC45" s="432"/>
      <c r="AD45" s="502"/>
      <c r="AE45" s="502"/>
      <c r="AF45" s="502"/>
      <c r="AG45" s="502"/>
      <c r="AH45" s="502"/>
      <c r="AI45" s="502"/>
      <c r="AJ45" s="503"/>
      <c r="AK45" s="618" t="s">
        <v>479</v>
      </c>
      <c r="AM45" s="130"/>
      <c r="AN45" s="130" t="str">
        <f t="shared" si="26"/>
        <v xml:space="preserve">Группа потребителей</v>
      </c>
      <c r="AO45" s="130"/>
      <c r="AP45" s="130"/>
      <c r="AQ45" s="50">
        <v>23</v>
      </c>
    </row>
    <row r="46" ht="24" customHeight="1">
      <c r="A46" s="480" t="s">
        <v>225</v>
      </c>
      <c r="B46" s="480" t="s">
        <v>226</v>
      </c>
      <c r="C46" s="480" t="s">
        <v>227</v>
      </c>
      <c r="D46" s="480" t="s">
        <v>490</v>
      </c>
      <c r="E46" s="492"/>
      <c r="F46" s="492"/>
      <c r="G46" s="492"/>
      <c r="H46" s="492"/>
      <c r="I46" s="504"/>
      <c r="J46" s="504"/>
      <c r="K46" s="499" t="str">
        <f>J45&amp;".1"</f>
        <v>...1.1.1</v>
      </c>
      <c r="L46" s="482"/>
      <c r="P46" s="133"/>
      <c r="Q46" s="133"/>
      <c r="R46" s="505">
        <v>1</v>
      </c>
      <c r="S46" s="485" t="str">
        <f>$K46</f>
        <v>...1.1.1</v>
      </c>
      <c r="T46" s="683"/>
      <c r="U46" s="487"/>
      <c r="V46" s="508"/>
      <c r="W46" s="508"/>
      <c r="X46" s="510"/>
      <c r="Y46" s="511"/>
      <c r="Z46" s="225" t="s">
        <v>64</v>
      </c>
      <c r="AA46" s="511"/>
      <c r="AB46" s="225" t="s">
        <v>64</v>
      </c>
      <c r="AC46" s="508"/>
      <c r="AD46" s="508"/>
      <c r="AE46" s="510"/>
      <c r="AF46" s="511"/>
      <c r="AG46" s="225" t="s">
        <v>64</v>
      </c>
      <c r="AH46" s="571"/>
      <c r="AI46" s="225" t="s">
        <v>64</v>
      </c>
      <c r="AJ46" s="684"/>
      <c r="AK46" s="68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 t="e">
        <f>STRCHECKDATE(V47:AJ47)</f>
        <v>#NAME?</v>
      </c>
      <c r="AM46" s="130"/>
      <c r="AN46" s="130" t="str">
        <f t="shared" si="26"/>
        <v/>
      </c>
      <c r="AO46" s="130"/>
      <c r="AP46" s="130"/>
      <c r="AQ46" s="50">
        <v>23</v>
      </c>
    </row>
    <row r="47" ht="0" customHeight="1">
      <c r="A47" s="480" t="s">
        <v>225</v>
      </c>
      <c r="B47" s="480" t="s">
        <v>226</v>
      </c>
      <c r="C47" s="480" t="s">
        <v>227</v>
      </c>
      <c r="D47" s="480" t="s">
        <v>490</v>
      </c>
      <c r="E47" s="492"/>
      <c r="F47" s="492"/>
      <c r="G47" s="492"/>
      <c r="H47" s="492"/>
      <c r="I47" s="504"/>
      <c r="J47" s="504"/>
      <c r="K47" s="499"/>
      <c r="L47" s="482"/>
      <c r="P47" s="133"/>
      <c r="Q47" s="133"/>
      <c r="R47" s="505"/>
      <c r="S47" s="459"/>
      <c r="T47" s="487"/>
      <c r="U47" s="487"/>
      <c r="V47" s="509"/>
      <c r="W47" s="509"/>
      <c r="X47" s="513" t="str">
        <f>Y46&amp;"-"&amp;AA46</f>
        <v>-</v>
      </c>
      <c r="Y47" s="514"/>
      <c r="Z47" s="225"/>
      <c r="AA47" s="514"/>
      <c r="AB47" s="225"/>
      <c r="AC47" s="509"/>
      <c r="AD47" s="509"/>
      <c r="AE47" s="513" t="str">
        <f>AF46&amp;"-"&amp;AH46</f>
        <v>-</v>
      </c>
      <c r="AF47" s="514"/>
      <c r="AG47" s="225"/>
      <c r="AH47" s="573"/>
      <c r="AI47" s="225"/>
      <c r="AJ47" s="686"/>
      <c r="AK47" s="685"/>
      <c r="AM47" s="130"/>
      <c r="AN47" s="130" t="str">
        <f t="shared" si="26"/>
        <v/>
      </c>
      <c r="AO47" s="130"/>
      <c r="AP47" s="130"/>
      <c r="AQ47" s="50">
        <v>0</v>
      </c>
    </row>
    <row r="48" ht="21" customHeight="1">
      <c r="A48" s="480" t="s">
        <v>225</v>
      </c>
      <c r="B48" s="480" t="s">
        <v>226</v>
      </c>
      <c r="C48" s="480" t="s">
        <v>227</v>
      </c>
      <c r="D48" s="480" t="s">
        <v>490</v>
      </c>
      <c r="E48" s="492"/>
      <c r="F48" s="492"/>
      <c r="G48" s="492"/>
      <c r="H48" s="492"/>
      <c r="I48" s="504"/>
      <c r="J48" s="499"/>
      <c r="K48" s="480"/>
      <c r="L48" s="482"/>
      <c r="P48" s="133"/>
      <c r="Q48" s="133"/>
      <c r="R48" s="500"/>
      <c r="S48" s="516"/>
      <c r="T48" s="520" t="s">
        <v>480</v>
      </c>
      <c r="U48" s="215"/>
      <c r="V48" s="215"/>
      <c r="W48" s="215"/>
      <c r="X48" s="215"/>
      <c r="Y48" s="215"/>
      <c r="Z48" s="215"/>
      <c r="AA48" s="215"/>
      <c r="AB48" s="215"/>
      <c r="AC48" s="215"/>
      <c r="AD48" s="215"/>
      <c r="AE48" s="215"/>
      <c r="AF48" s="215"/>
      <c r="AG48" s="215"/>
      <c r="AH48" s="215"/>
      <c r="AI48" s="215"/>
      <c r="AJ48" s="215"/>
      <c r="AK48" s="491" t="s">
        <v>481</v>
      </c>
      <c r="AM48" s="130"/>
      <c r="AN48" s="130" t="str">
        <f t="shared" si="26"/>
        <v xml:space="preserve">Добавить значение признака дифференциации</v>
      </c>
      <c r="AO48" s="130"/>
      <c r="AP48" s="130"/>
      <c r="AQ48" s="50">
        <v>20</v>
      </c>
    </row>
    <row r="49" ht="22" customHeight="1">
      <c r="A49" s="480" t="s">
        <v>225</v>
      </c>
      <c r="B49" s="480" t="s">
        <v>226</v>
      </c>
      <c r="C49" s="480" t="s">
        <v>227</v>
      </c>
      <c r="D49" s="480" t="s">
        <v>490</v>
      </c>
      <c r="E49" s="492"/>
      <c r="F49" s="492"/>
      <c r="G49" s="492"/>
      <c r="H49" s="492"/>
      <c r="I49" s="499"/>
      <c r="J49" s="480"/>
      <c r="K49" s="480"/>
      <c r="L49" s="482"/>
      <c r="P49" s="133"/>
      <c r="Q49" s="133"/>
      <c r="R49" s="500"/>
      <c r="S49" s="516"/>
      <c r="T49" s="524" t="s">
        <v>406</v>
      </c>
      <c r="U49" s="215"/>
      <c r="V49" s="215"/>
      <c r="W49" s="215"/>
      <c r="X49" s="215"/>
      <c r="Y49" s="215"/>
      <c r="Z49" s="215"/>
      <c r="AA49" s="215"/>
      <c r="AB49" s="521"/>
      <c r="AC49" s="215"/>
      <c r="AD49" s="215"/>
      <c r="AE49" s="215"/>
      <c r="AF49" s="215"/>
      <c r="AG49" s="215"/>
      <c r="AH49" s="215"/>
      <c r="AI49" s="521"/>
      <c r="AJ49" s="215"/>
      <c r="AK49" s="687"/>
      <c r="AM49" s="130"/>
      <c r="AN49" s="130" t="str">
        <f t="shared" si="26"/>
        <v xml:space="preserve">Добавить группу потребителей</v>
      </c>
      <c r="AO49" s="130"/>
      <c r="AP49" s="130"/>
      <c r="AQ49" s="50">
        <v>21</v>
      </c>
    </row>
    <row r="50" ht="22" customHeight="1">
      <c r="A50" s="480" t="s">
        <v>225</v>
      </c>
      <c r="B50" s="480" t="s">
        <v>226</v>
      </c>
      <c r="C50" s="480" t="s">
        <v>227</v>
      </c>
      <c r="D50" s="480" t="s">
        <v>490</v>
      </c>
      <c r="E50" s="492"/>
      <c r="F50" s="492"/>
      <c r="G50" s="492"/>
      <c r="H50" s="481"/>
      <c r="I50" s="480"/>
      <c r="J50" s="480"/>
      <c r="K50" s="480"/>
      <c r="L50" s="482"/>
      <c r="M50" s="483"/>
      <c r="N50" s="483"/>
      <c r="O50" s="53"/>
      <c r="P50" s="144"/>
      <c r="Q50" s="523"/>
      <c r="R50" s="484"/>
      <c r="S50" s="516"/>
      <c r="T50" s="688" t="s">
        <v>482</v>
      </c>
      <c r="U50" s="215"/>
      <c r="V50" s="215"/>
      <c r="W50" s="215"/>
      <c r="X50" s="215"/>
      <c r="Y50" s="215"/>
      <c r="Z50" s="215"/>
      <c r="AA50" s="215"/>
      <c r="AB50" s="521"/>
      <c r="AC50" s="215"/>
      <c r="AD50" s="215"/>
      <c r="AE50" s="215"/>
      <c r="AF50" s="215"/>
      <c r="AG50" s="215"/>
      <c r="AH50" s="215"/>
      <c r="AI50" s="521"/>
      <c r="AJ50" s="215"/>
      <c r="AK50" s="522"/>
      <c r="AM50" s="130"/>
      <c r="AN50" s="130" t="str">
        <f t="shared" si="26"/>
        <v xml:space="preserve">Добавить наименование признака дифференциации</v>
      </c>
      <c r="AO50" s="130"/>
      <c r="AP50" s="130"/>
      <c r="AQ50" s="50">
        <v>21</v>
      </c>
    </row>
    <row r="51" s="57" customFormat="1" ht="0" customHeight="1">
      <c r="A51" s="134" t="s">
        <v>225</v>
      </c>
      <c r="B51" s="134" t="s">
        <v>226</v>
      </c>
      <c r="C51" s="134"/>
      <c r="D51" s="134"/>
      <c r="E51" s="492"/>
      <c r="F51" s="481"/>
      <c r="G51" s="134"/>
      <c r="H51" s="134"/>
      <c r="I51" s="134"/>
      <c r="J51" s="134"/>
      <c r="K51" s="134"/>
      <c r="L51" s="213"/>
      <c r="M51" s="529"/>
      <c r="N51" s="529"/>
      <c r="P51" s="168"/>
      <c r="Q51" s="525"/>
      <c r="R51" s="168"/>
      <c r="S51" s="530"/>
      <c r="T51" s="533" t="s">
        <v>409</v>
      </c>
      <c r="U51" s="532"/>
      <c r="V51" s="532"/>
      <c r="W51" s="532"/>
      <c r="X51" s="532"/>
      <c r="Y51" s="532"/>
      <c r="Z51" s="532"/>
      <c r="AA51" s="532"/>
      <c r="AB51" s="532"/>
      <c r="AC51" s="532"/>
      <c r="AD51" s="532"/>
      <c r="AE51" s="532"/>
      <c r="AF51" s="532"/>
      <c r="AG51" s="532"/>
      <c r="AH51" s="532"/>
      <c r="AI51" s="532"/>
      <c r="AJ51" s="532"/>
      <c r="AK51" s="532"/>
      <c r="AM51" s="130"/>
      <c r="AN51" s="130" t="str">
        <f t="shared" si="26"/>
        <v xml:space="preserve">Добавить централизованную систему для дифференциации</v>
      </c>
      <c r="AO51" s="130"/>
      <c r="AP51" s="130"/>
      <c r="AQ51" s="57">
        <v>0</v>
      </c>
    </row>
    <row r="52" s="57" customFormat="1" ht="0" customHeight="1">
      <c r="A52" s="134" t="s">
        <v>225</v>
      </c>
      <c r="B52" s="134"/>
      <c r="C52" s="134"/>
      <c r="D52" s="134"/>
      <c r="E52" s="481"/>
      <c r="F52" s="134"/>
      <c r="G52" s="134"/>
      <c r="H52" s="134"/>
      <c r="I52" s="134"/>
      <c r="J52" s="134"/>
      <c r="K52" s="134"/>
      <c r="L52" s="213"/>
      <c r="M52" s="529"/>
      <c r="N52" s="529"/>
      <c r="O52" s="57"/>
      <c r="P52" s="168"/>
      <c r="Q52" s="525"/>
      <c r="R52" s="168"/>
      <c r="S52" s="530"/>
      <c r="T52" s="533" t="s">
        <v>410</v>
      </c>
      <c r="U52" s="532"/>
      <c r="V52" s="532"/>
      <c r="W52" s="532"/>
      <c r="X52" s="532"/>
      <c r="Y52" s="532"/>
      <c r="Z52" s="532"/>
      <c r="AA52" s="532"/>
      <c r="AB52" s="532"/>
      <c r="AC52" s="532"/>
      <c r="AD52" s="532"/>
      <c r="AE52" s="532"/>
      <c r="AF52" s="532"/>
      <c r="AG52" s="532"/>
      <c r="AH52" s="532"/>
      <c r="AI52" s="532"/>
      <c r="AJ52" s="532"/>
      <c r="AK52" s="532"/>
      <c r="AM52" s="130"/>
      <c r="AN52" s="130" t="str">
        <f t="shared" si="26"/>
        <v xml:space="preserve">Добавить территорию для дифференциации</v>
      </c>
      <c r="AO52" s="130"/>
      <c r="AP52" s="130"/>
      <c r="AQ52" s="57">
        <v>0</v>
      </c>
    </row>
    <row r="53" s="57" customFormat="1" ht="0" customHeight="1">
      <c r="A53" s="134"/>
      <c r="B53" s="134"/>
      <c r="C53" s="134"/>
      <c r="D53" s="134"/>
      <c r="E53" s="134"/>
      <c r="F53" s="134"/>
      <c r="G53" s="134"/>
      <c r="H53" s="134"/>
      <c r="I53" s="134"/>
      <c r="J53" s="134"/>
      <c r="K53" s="134"/>
      <c r="L53" s="213"/>
      <c r="M53" s="529"/>
      <c r="N53" s="529"/>
      <c r="P53" s="168"/>
      <c r="Q53" s="525"/>
      <c r="R53" s="168"/>
      <c r="S53" s="530"/>
      <c r="T53" s="533" t="s">
        <v>442</v>
      </c>
      <c r="U53" s="532"/>
      <c r="V53" s="532"/>
      <c r="W53" s="532"/>
      <c r="X53" s="532"/>
      <c r="Y53" s="532"/>
      <c r="Z53" s="532"/>
      <c r="AA53" s="532"/>
      <c r="AB53" s="532"/>
      <c r="AC53" s="532"/>
      <c r="AD53" s="532"/>
      <c r="AE53" s="532"/>
      <c r="AF53" s="532"/>
      <c r="AG53" s="532"/>
      <c r="AH53" s="532"/>
      <c r="AI53" s="532"/>
      <c r="AJ53" s="532"/>
      <c r="AK53" s="532"/>
      <c r="AM53" s="130"/>
      <c r="AN53" s="130" t="str">
        <f t="shared" si="26"/>
        <v xml:space="preserve">Добавить наименование тарифа</v>
      </c>
      <c r="AO53" s="130"/>
      <c r="AP53" s="130"/>
      <c r="AQ53" s="57">
        <v>0</v>
      </c>
    </row>
    <row r="54" ht="11.5" customHeight="1">
      <c r="M54" s="53"/>
      <c r="N54" s="53"/>
      <c r="O54" s="53"/>
      <c r="P54" s="50"/>
      <c r="Q54" s="50"/>
      <c r="R54" s="50"/>
      <c r="S54" s="50"/>
      <c r="AL54" s="50"/>
      <c r="AM54" s="50"/>
      <c r="AN54" s="50"/>
      <c r="AO54" s="50"/>
      <c r="AP54" s="50"/>
      <c r="AQ54" s="50">
        <v>11</v>
      </c>
    </row>
    <row r="55" ht="14.65" customHeight="1">
      <c r="O55" s="53"/>
      <c r="S55" s="477"/>
      <c r="T55" s="575"/>
      <c r="U55" s="575"/>
      <c r="V55" s="575"/>
      <c r="W55" s="575"/>
      <c r="X55" s="575"/>
      <c r="Y55" s="575"/>
      <c r="Z55" s="575"/>
      <c r="AA55" s="575"/>
      <c r="AB55" s="575"/>
      <c r="AC55" s="575"/>
      <c r="AD55" s="575"/>
      <c r="AE55" s="575"/>
      <c r="AF55" s="575"/>
      <c r="AG55" s="575"/>
      <c r="AH55" s="575"/>
      <c r="AI55" s="575"/>
      <c r="AJ55" s="575"/>
      <c r="AK55" s="575"/>
      <c r="AQ55" s="50">
        <v>14</v>
      </c>
    </row>
    <row r="56" ht="14.65" customHeight="1">
      <c r="O56" s="53"/>
      <c r="AQ56" s="50">
        <v>14</v>
      </c>
    </row>
    <row r="57" ht="14.65" customHeight="1">
      <c r="O57" s="53"/>
      <c r="S57" s="477"/>
      <c r="T57" s="575"/>
      <c r="U57" s="575"/>
      <c r="V57" s="575"/>
      <c r="W57" s="575"/>
      <c r="X57" s="575"/>
      <c r="Y57" s="575"/>
      <c r="Z57" s="575"/>
      <c r="AA57" s="575"/>
      <c r="AB57" s="575"/>
      <c r="AC57" s="575"/>
      <c r="AD57" s="575"/>
      <c r="AE57" s="575"/>
      <c r="AF57" s="575"/>
      <c r="AG57" s="575"/>
      <c r="AH57" s="575"/>
      <c r="AI57" s="575"/>
      <c r="AJ57" s="575"/>
      <c r="AK57" s="575"/>
      <c r="AQ57" s="50">
        <v>14</v>
      </c>
    </row>
    <row r="58" ht="22.5" hidden="1" customHeight="1">
      <c r="A58" s="53" t="s">
        <v>81</v>
      </c>
      <c r="B58" s="53">
        <v>0</v>
      </c>
      <c r="C58" s="53">
        <v>0</v>
      </c>
      <c r="D58" s="53">
        <v>0</v>
      </c>
      <c r="E58" s="53">
        <v>0</v>
      </c>
      <c r="F58" s="53">
        <v>0</v>
      </c>
      <c r="G58" s="53">
        <v>0</v>
      </c>
      <c r="H58" s="53">
        <v>0</v>
      </c>
      <c r="I58" s="53">
        <v>0</v>
      </c>
      <c r="J58" s="53">
        <v>0</v>
      </c>
      <c r="K58" s="53">
        <v>0</v>
      </c>
      <c r="L58" s="114">
        <v>0</v>
      </c>
      <c r="M58" s="61">
        <v>0</v>
      </c>
      <c r="N58" s="61">
        <v>0</v>
      </c>
      <c r="O58" s="61">
        <v>0</v>
      </c>
      <c r="P58" s="60">
        <v>3</v>
      </c>
      <c r="Q58" s="479">
        <v>3</v>
      </c>
      <c r="R58" s="479">
        <v>3</v>
      </c>
      <c r="S58" s="86">
        <v>12</v>
      </c>
      <c r="T58" s="50">
        <v>35</v>
      </c>
      <c r="U58" s="50">
        <v>0</v>
      </c>
      <c r="V58" s="50">
        <v>0</v>
      </c>
      <c r="W58" s="50">
        <v>0</v>
      </c>
      <c r="X58" s="50">
        <v>0</v>
      </c>
      <c r="Y58" s="50">
        <v>0</v>
      </c>
      <c r="Z58" s="50">
        <v>0</v>
      </c>
      <c r="AA58" s="50">
        <v>0</v>
      </c>
      <c r="AB58" s="50">
        <v>0</v>
      </c>
      <c r="AC58" s="50">
        <v>24</v>
      </c>
      <c r="AD58" s="50">
        <v>24</v>
      </c>
      <c r="AE58" s="50">
        <v>24</v>
      </c>
      <c r="AF58" s="50">
        <v>11</v>
      </c>
      <c r="AG58" s="50">
        <v>3</v>
      </c>
      <c r="AH58" s="50">
        <v>11</v>
      </c>
      <c r="AI58" s="50">
        <v>0</v>
      </c>
      <c r="AJ58" s="50">
        <v>4</v>
      </c>
      <c r="AK58" s="50">
        <v>115</v>
      </c>
      <c r="AL58" s="57">
        <v>10</v>
      </c>
      <c r="AM58" s="57">
        <v>10</v>
      </c>
      <c r="AN58" s="57">
        <v>10</v>
      </c>
      <c r="AO58" s="57">
        <v>10</v>
      </c>
      <c r="AP58" s="57">
        <v>10</v>
      </c>
      <c r="AQ58" s="50">
        <v>23</v>
      </c>
    </row>
  </sheetData>
  <sheetProtection autoFilter="0" deleteColumns="1" deleteRows="1" formatCells="1" formatColumns="0" formatRows="0" insertColumns="1" insertHyperlinks="1" insertRows="1" objects="0" pivotTables="1" scenarios="0" selectLockedCells="0" selectUnlockedCells="0" sheet="1" sort="1"/>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Z7:Z8"/>
    <mergeCell ref="AA7:AA8"/>
    <mergeCell ref="AB7:AB8"/>
    <mergeCell ref="AF7:AF8"/>
    <mergeCell ref="AG7:AG8"/>
    <mergeCell ref="AH7:AH8"/>
    <mergeCell ref="AI7:AI8"/>
    <mergeCell ref="AK7:AK8"/>
    <mergeCell ref="AF15:AF16"/>
    <mergeCell ref="AG15:AG16"/>
    <mergeCell ref="AH15:AH16"/>
    <mergeCell ref="AI15:AI16"/>
    <mergeCell ref="S24:AH24"/>
    <mergeCell ref="S25:AH25"/>
    <mergeCell ref="S27:T27"/>
    <mergeCell ref="V27:AA27"/>
    <mergeCell ref="AC27:AH27"/>
    <mergeCell ref="S28:T28"/>
    <mergeCell ref="V28:AA28"/>
    <mergeCell ref="AC28:AH28"/>
    <mergeCell ref="S29:T29"/>
    <mergeCell ref="V29:AA29"/>
    <mergeCell ref="AC29:AH29"/>
    <mergeCell ref="S30:T30"/>
    <mergeCell ref="V30:AA30"/>
    <mergeCell ref="AC30:AH30"/>
    <mergeCell ref="S32:T32"/>
    <mergeCell ref="V32:AA32"/>
    <mergeCell ref="AC32:AH32"/>
    <mergeCell ref="S33:T33"/>
    <mergeCell ref="V33:AA33"/>
    <mergeCell ref="AC33:AH33"/>
    <mergeCell ref="V35:AB35"/>
    <mergeCell ref="AC35:AI35"/>
    <mergeCell ref="S36:AJ36"/>
    <mergeCell ref="AK36:AK39"/>
    <mergeCell ref="S37:S39"/>
    <mergeCell ref="T37:T39"/>
    <mergeCell ref="V37:AA37"/>
    <mergeCell ref="AB37:AB39"/>
    <mergeCell ref="AC37:AH37"/>
    <mergeCell ref="AI37:AI39"/>
    <mergeCell ref="AJ37:AJ39"/>
    <mergeCell ref="W38:X38"/>
    <mergeCell ref="Y38:AA38"/>
    <mergeCell ref="AD38:AE38"/>
    <mergeCell ref="AF38:AH38"/>
    <mergeCell ref="Z39:AA39"/>
    <mergeCell ref="AG39:AH39"/>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K46:K47"/>
    <mergeCell ref="Y46:Y47"/>
    <mergeCell ref="Z46:Z47"/>
    <mergeCell ref="AA46:AA47"/>
    <mergeCell ref="AB46:AB47"/>
    <mergeCell ref="AF46:AF47"/>
    <mergeCell ref="AG46:AG47"/>
    <mergeCell ref="AH46:AH47"/>
    <mergeCell ref="AI46:AI47"/>
    <mergeCell ref="AK46:AK47"/>
    <mergeCell ref="T55:AK55"/>
    <mergeCell ref="T57:AK57"/>
  </mergeCells>
  <dataValidations count="4" disablePrompts="0">
    <dataValidation sqref="S131116:AK131122 S196652:AK196658 S262188:AK262194 S327724:AK327730 S393260:AK393266 S458796:AK458802 S524332:AK524338 S589868:AK589874 S655404:AK655410 S720940:AK720946 S786476:AK786482 S852012:AK852018 S917548:AK917554 S983084:AK983090 S65580:AK65586" type="none" allowBlank="1" errorStyle="stop" imeMode="noControl" operator="between" showDropDown="0" showErrorMessage="0" showInputMessage="0"/>
    <dataValidation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type="none" allowBlank="1" errorStyle="stop" imeMode="noControl" operator="between" promptTitle="checkPeriodRange" showDropDown="0" showErrorMessage="0" showInputMessage="0"/>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6E0079-005E-4965-835A-005B003000EB}"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 xr:uid="{008800F3-0066-493B-9590-002000B40077}" type="list" allowBlank="1" error="Выберите значение из списка" errorStyle="stop" errorTitle="Ошибка" imeMode="noControl" operator="between" showDropDown="0"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 xr:uid="{002E007D-009D-4C15-A296-0062000A0089}" type="textLength" allowBlank="1" error="Допускается ввод не более 900 символов!" errorStyle="stop" errorTitle="Ошибка" imeMode="noControl" operator="lessThanOrEqual" showDropDown="0"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xm:sqref>
        </x14:dataValidation>
        <x14:dataValidation xr:uid="{004F0003-000B-4264-98A2-00AF00FC002F}" type="list" allowBlank="1" error="Выберите значение из списка" errorStyle="stop" errorTitle="Ошибка" imeMode="noControl" operator="between" showDropDown="0" showErrorMessage="1" showInputMessage="1">
          <x14:formula1>
            <xm:f>kind_of_heat_transfer</xm:f>
          </x14:formula1>
          <xm:sqref>T65578 T131114 T196650 T262186 T327722 T393258 T458794 T524330 T589866 T655402 T720938 T786474 T852010 T917546 T983082</xm:sqref>
        </x14:dataValidation>
      </x14:dataValidations>
    </ext>
  </extLst>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8" ySplit="40" topLeftCell="AC41"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4.140625"/>
    <col customWidth="1" hidden="1" min="10" max="10" style="53" width="9.8515625"/>
    <col customWidth="1" hidden="1" min="11" max="11" style="53" width="14.7109375"/>
    <col customWidth="1" hidden="1" min="12" max="12" style="114" width="19.140625"/>
    <col customWidth="1" hidden="1" min="13" max="14" style="61" width="12.28125"/>
    <col customWidth="1" hidden="1" min="15" max="15" style="61" width="23.421875"/>
    <col customWidth="1" min="16" max="16" style="60" width="3.00390625"/>
    <col customWidth="1" min="17" max="18" style="479" width="3.00390625"/>
    <col customWidth="1" min="19" max="19" style="86" width="12.00390625"/>
    <col customWidth="1" min="20" max="20" style="50" width="35.00390625"/>
    <col customWidth="1" min="21" max="21" style="50" width="0.140625"/>
    <col customWidth="1" hidden="1" min="22" max="24" style="50" width="24.7109375"/>
    <col customWidth="1" hidden="1" min="25" max="25" style="50" width="11.7109375"/>
    <col customWidth="1" hidden="1" min="26" max="26" style="50" width="3.7109375"/>
    <col customWidth="1" hidden="1" min="27" max="27" style="50" width="11.7109375"/>
    <col customWidth="1" hidden="1" min="28" max="28" style="50" width="8.57421875"/>
    <col customWidth="1" min="29" max="29" style="50" width="24.7109375"/>
    <col customWidth="1" min="30" max="31" style="50" width="24.00390625"/>
    <col customWidth="1" min="32" max="32" style="50" width="11.00390625"/>
    <col customWidth="1" min="33" max="33" style="50" width="3.7109375"/>
    <col customWidth="1" min="34" max="34" style="50" width="11.00390625"/>
    <col customWidth="1" hidden="1" min="35" max="35" style="50" width="8.57421875"/>
    <col customWidth="1" min="36" max="36" style="50" width="4.00390625"/>
    <col customWidth="1" min="37" max="37" style="50" width="115.00390625"/>
    <col customWidth="1" min="38" max="42" style="57" width="10.00390625"/>
    <col hidden="1" min="43" max="43" style="50" width="10.57421875"/>
  </cols>
  <sheetData>
    <row r="1" ht="22.5" hidden="1" customHeight="1">
      <c r="X1" s="50"/>
      <c r="Y1" s="50"/>
      <c r="AE1" s="50"/>
      <c r="AF1" s="50"/>
      <c r="AQ1" s="50" t="s">
        <v>14</v>
      </c>
    </row>
    <row r="2" ht="23.25" hidden="1" customHeight="1">
      <c r="A2" s="480"/>
      <c r="B2" s="480"/>
      <c r="C2" s="480"/>
      <c r="D2" s="480"/>
      <c r="E2" s="481">
        <v>1</v>
      </c>
      <c r="F2" s="480"/>
      <c r="G2" s="480"/>
      <c r="H2" s="480"/>
      <c r="I2" s="480"/>
      <c r="J2" s="480"/>
      <c r="K2" s="480"/>
      <c r="L2" s="482"/>
      <c r="M2" s="483"/>
      <c r="N2" s="483"/>
      <c r="O2" s="483"/>
      <c r="P2" s="60"/>
      <c r="Q2" s="144"/>
      <c r="R2" s="484"/>
      <c r="S2" s="485" t="e">
        <f>INDEX(PT_DIFFERENTIATION_NUM_NTAR,MATCH(A2,PT_DIFFERENTIATION_NTAR_ID,0))</f>
        <v>#VALUE!</v>
      </c>
      <c r="T2" s="486" t="s">
        <v>119</v>
      </c>
      <c r="U2" s="487"/>
      <c r="V2" s="488"/>
      <c r="W2" s="489"/>
      <c r="X2" s="489"/>
      <c r="Y2" s="489"/>
      <c r="Z2" s="489"/>
      <c r="AA2" s="489"/>
      <c r="AB2" s="490"/>
      <c r="AC2" s="488" t="e">
        <f>INDEX(PT_DIFFERENTIATION_NTAR,MATCH(A2,PT_DIFFERENTIATION_NTAR_ID,0))</f>
        <v>#VALUE!</v>
      </c>
      <c r="AD2" s="489"/>
      <c r="AE2" s="489"/>
      <c r="AF2" s="489"/>
      <c r="AG2" s="489"/>
      <c r="AH2" s="489"/>
      <c r="AI2" s="489"/>
      <c r="AJ2" s="490"/>
      <c r="AK2" s="49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130"/>
      <c r="AN2" s="130" t="str">
        <f t="shared" ref="AN2:AN9" si="27">IF(T2="","",T2)</f>
        <v xml:space="preserve">Наименование тарифа</v>
      </c>
      <c r="AO2" s="130"/>
      <c r="AP2" s="130"/>
      <c r="AQ2" s="50">
        <v>0</v>
      </c>
    </row>
    <row r="3" ht="23.25" hidden="1" customHeight="1">
      <c r="A3" s="480"/>
      <c r="B3" s="480"/>
      <c r="C3" s="480"/>
      <c r="D3" s="480"/>
      <c r="E3" s="492"/>
      <c r="F3" s="481">
        <v>1</v>
      </c>
      <c r="G3" s="480"/>
      <c r="H3" s="480"/>
      <c r="I3" s="480"/>
      <c r="J3" s="480"/>
      <c r="K3" s="480"/>
      <c r="L3" s="482"/>
      <c r="M3" s="483"/>
      <c r="N3" s="483"/>
      <c r="O3" s="483"/>
      <c r="P3" s="51"/>
      <c r="Q3" s="493"/>
      <c r="R3" s="494"/>
      <c r="S3" s="485" t="e">
        <f>INDEX(PT_DIFFERENTIATION_NUM_TER,MATCH(B3,PT_DIFFERENTIATION_TER_ID,0))</f>
        <v>#VALUE!</v>
      </c>
      <c r="T3" s="495" t="s">
        <v>391</v>
      </c>
      <c r="U3" s="487"/>
      <c r="V3" s="488"/>
      <c r="W3" s="489"/>
      <c r="X3" s="489"/>
      <c r="Y3" s="489"/>
      <c r="Z3" s="489"/>
      <c r="AA3" s="489"/>
      <c r="AB3" s="490"/>
      <c r="AC3" s="488" t="e">
        <f>INDEX(PT_DIFFERENTIATION_TER,MATCH(B3,PT_DIFFERENTIATION_TER_ID,0))</f>
        <v>#VALUE!</v>
      </c>
      <c r="AD3" s="489"/>
      <c r="AE3" s="489"/>
      <c r="AF3" s="489"/>
      <c r="AG3" s="489"/>
      <c r="AH3" s="489"/>
      <c r="AI3" s="489"/>
      <c r="AJ3" s="490"/>
      <c r="AK3" s="491" t="s">
        <v>392</v>
      </c>
      <c r="AM3" s="130"/>
      <c r="AN3" s="130" t="str">
        <f t="shared" si="27"/>
        <v xml:space="preserve">Территория действия тарифа</v>
      </c>
      <c r="AO3" s="130"/>
      <c r="AP3" s="130"/>
      <c r="AQ3" s="50">
        <v>0</v>
      </c>
    </row>
    <row r="4" ht="23.25" hidden="1" customHeight="1">
      <c r="A4" s="480"/>
      <c r="B4" s="480"/>
      <c r="C4" s="480"/>
      <c r="D4" s="480"/>
      <c r="E4" s="492"/>
      <c r="F4" s="492"/>
      <c r="G4" s="481">
        <v>1</v>
      </c>
      <c r="H4" s="480"/>
      <c r="I4" s="480"/>
      <c r="J4" s="480"/>
      <c r="K4" s="480"/>
      <c r="L4" s="482"/>
      <c r="M4" s="483"/>
      <c r="N4" s="483"/>
      <c r="O4" s="483"/>
      <c r="P4" s="496"/>
      <c r="Q4" s="493"/>
      <c r="R4" s="494"/>
      <c r="S4" s="485" t="e">
        <f>INDEX(PT_DIFFERENTIATION_NUM_CS,MATCH(C4,PT_DIFFERENTIATION_CS_ID,0))</f>
        <v>#VALUE!</v>
      </c>
      <c r="T4" s="497" t="s">
        <v>475</v>
      </c>
      <c r="U4" s="487"/>
      <c r="V4" s="488"/>
      <c r="W4" s="489"/>
      <c r="X4" s="489"/>
      <c r="Y4" s="489"/>
      <c r="Z4" s="489"/>
      <c r="AA4" s="489"/>
      <c r="AB4" s="490"/>
      <c r="AC4" s="488" t="e">
        <f>INDEX(PT_DIFFERENTIATION_CS,MATCH(C4,PT_DIFFERENTIATION_CS_ID,0))</f>
        <v>#VALUE!</v>
      </c>
      <c r="AD4" s="489"/>
      <c r="AE4" s="489"/>
      <c r="AF4" s="489"/>
      <c r="AG4" s="489"/>
      <c r="AH4" s="489"/>
      <c r="AI4" s="489"/>
      <c r="AJ4" s="490"/>
      <c r="AK4" s="491" t="s">
        <v>476</v>
      </c>
      <c r="AM4" s="130"/>
      <c r="AN4" s="130" t="str">
        <f t="shared" si="27"/>
        <v xml:space="preserve">Наименование централизованной системы холодного водоснабжения</v>
      </c>
      <c r="AO4" s="130"/>
      <c r="AP4" s="130"/>
      <c r="AQ4" s="50">
        <v>0</v>
      </c>
    </row>
    <row r="5" ht="23.25" hidden="1" customHeight="1">
      <c r="A5" s="480"/>
      <c r="B5" s="480"/>
      <c r="C5" s="480"/>
      <c r="D5" s="480"/>
      <c r="E5" s="492"/>
      <c r="F5" s="492"/>
      <c r="G5" s="492"/>
      <c r="H5" s="492"/>
      <c r="I5" s="499" t="e">
        <f>S4&amp;".1"</f>
        <v>#VALUE!</v>
      </c>
      <c r="J5" s="480"/>
      <c r="K5" s="480"/>
      <c r="L5" s="482"/>
      <c r="P5" s="133">
        <v>1</v>
      </c>
      <c r="Q5" s="133"/>
      <c r="R5" s="500"/>
      <c r="S5" s="485" t="e">
        <f>$I5</f>
        <v>#VALUE!</v>
      </c>
      <c r="T5" s="501" t="s">
        <v>477</v>
      </c>
      <c r="U5" s="487"/>
      <c r="V5" s="677"/>
      <c r="W5" s="678"/>
      <c r="X5" s="678"/>
      <c r="Y5" s="678"/>
      <c r="Z5" s="678"/>
      <c r="AA5" s="678"/>
      <c r="AB5" s="679"/>
      <c r="AC5" s="680"/>
      <c r="AD5" s="681"/>
      <c r="AE5" s="681"/>
      <c r="AF5" s="681"/>
      <c r="AG5" s="681"/>
      <c r="AH5" s="681"/>
      <c r="AI5" s="681"/>
      <c r="AJ5" s="682"/>
      <c r="AK5" s="491" t="s">
        <v>478</v>
      </c>
      <c r="AM5" s="130"/>
      <c r="AN5" s="130" t="str">
        <f t="shared" si="27"/>
        <v xml:space="preserve">Наименование признака дифференциации</v>
      </c>
      <c r="AO5" s="130"/>
      <c r="AP5" s="130"/>
      <c r="AQ5" s="50">
        <v>0</v>
      </c>
    </row>
    <row r="6" ht="23.25" hidden="1" customHeight="1">
      <c r="A6" s="480"/>
      <c r="B6" s="480"/>
      <c r="C6" s="480"/>
      <c r="D6" s="480"/>
      <c r="E6" s="492"/>
      <c r="F6" s="492"/>
      <c r="G6" s="492"/>
      <c r="H6" s="492"/>
      <c r="I6" s="504"/>
      <c r="J6" s="499" t="e">
        <f>I5&amp;".1"</f>
        <v>#VALUE!</v>
      </c>
      <c r="K6" s="480"/>
      <c r="L6" s="482" t="s">
        <v>400</v>
      </c>
      <c r="P6" s="133"/>
      <c r="Q6" s="133">
        <v>1</v>
      </c>
      <c r="R6" s="505"/>
      <c r="S6" s="485" t="e">
        <f>$J6</f>
        <v>#VALUE!</v>
      </c>
      <c r="T6" s="506" t="s">
        <v>401</v>
      </c>
      <c r="U6" s="487"/>
      <c r="V6" s="432"/>
      <c r="W6" s="502"/>
      <c r="X6" s="502"/>
      <c r="Y6" s="502"/>
      <c r="Z6" s="502"/>
      <c r="AA6" s="502"/>
      <c r="AB6" s="503"/>
      <c r="AC6" s="432"/>
      <c r="AD6" s="502"/>
      <c r="AE6" s="502"/>
      <c r="AF6" s="502"/>
      <c r="AG6" s="502"/>
      <c r="AH6" s="502"/>
      <c r="AI6" s="502"/>
      <c r="AJ6" s="503"/>
      <c r="AK6" s="618" t="s">
        <v>479</v>
      </c>
      <c r="AM6" s="130"/>
      <c r="AN6" s="130" t="str">
        <f t="shared" si="27"/>
        <v xml:space="preserve">Группа потребителей</v>
      </c>
      <c r="AO6" s="130"/>
      <c r="AP6" s="130"/>
      <c r="AQ6" s="50">
        <v>0</v>
      </c>
    </row>
    <row r="7" ht="23.25" hidden="1" customHeight="1">
      <c r="A7" s="480"/>
      <c r="B7" s="480"/>
      <c r="C7" s="480"/>
      <c r="D7" s="480"/>
      <c r="E7" s="492"/>
      <c r="F7" s="492"/>
      <c r="G7" s="492"/>
      <c r="H7" s="492"/>
      <c r="I7" s="504"/>
      <c r="J7" s="504"/>
      <c r="K7" s="499" t="e">
        <f>J6&amp;".1"</f>
        <v>#VALUE!</v>
      </c>
      <c r="L7" s="482"/>
      <c r="P7" s="133"/>
      <c r="Q7" s="133"/>
      <c r="R7" s="505">
        <v>1</v>
      </c>
      <c r="S7" s="485" t="e">
        <f>$K7</f>
        <v>#VALUE!</v>
      </c>
      <c r="T7" s="683"/>
      <c r="U7" s="487"/>
      <c r="V7" s="508"/>
      <c r="W7" s="508"/>
      <c r="X7" s="510"/>
      <c r="Y7" s="511"/>
      <c r="Z7" s="225" t="s">
        <v>64</v>
      </c>
      <c r="AA7" s="511"/>
      <c r="AB7" s="225" t="s">
        <v>64</v>
      </c>
      <c r="AC7" s="508"/>
      <c r="AD7" s="508"/>
      <c r="AE7" s="510"/>
      <c r="AF7" s="511"/>
      <c r="AG7" s="225" t="s">
        <v>64</v>
      </c>
      <c r="AH7" s="571"/>
      <c r="AI7" s="225" t="s">
        <v>64</v>
      </c>
      <c r="AJ7" s="684"/>
      <c r="AK7" s="68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 t="e">
        <f>STRCHECKDATE(V8:AJ8)</f>
        <v>#NAME?</v>
      </c>
      <c r="AM7" s="130"/>
      <c r="AN7" s="130" t="str">
        <f t="shared" si="27"/>
        <v/>
      </c>
      <c r="AO7" s="130"/>
      <c r="AP7" s="130"/>
      <c r="AQ7" s="50">
        <v>0</v>
      </c>
    </row>
    <row r="8" ht="14.25" hidden="1" customHeight="1">
      <c r="A8" s="480"/>
      <c r="B8" s="480"/>
      <c r="C8" s="480"/>
      <c r="D8" s="480"/>
      <c r="E8" s="492"/>
      <c r="F8" s="492"/>
      <c r="G8" s="492"/>
      <c r="H8" s="492"/>
      <c r="I8" s="504"/>
      <c r="J8" s="504"/>
      <c r="K8" s="499"/>
      <c r="L8" s="482"/>
      <c r="P8" s="133"/>
      <c r="Q8" s="133"/>
      <c r="R8" s="505"/>
      <c r="S8" s="459"/>
      <c r="T8" s="487"/>
      <c r="U8" s="487"/>
      <c r="V8" s="509"/>
      <c r="W8" s="509"/>
      <c r="X8" s="513" t="str">
        <f>Y7&amp;"-"&amp;AA7</f>
        <v>-</v>
      </c>
      <c r="Y8" s="514"/>
      <c r="Z8" s="225"/>
      <c r="AA8" s="514"/>
      <c r="AB8" s="225"/>
      <c r="AC8" s="509"/>
      <c r="AD8" s="509"/>
      <c r="AE8" s="513" t="str">
        <f>AF7&amp;"-"&amp;AH7</f>
        <v>-</v>
      </c>
      <c r="AF8" s="514"/>
      <c r="AG8" s="225"/>
      <c r="AH8" s="573"/>
      <c r="AI8" s="225"/>
      <c r="AJ8" s="686"/>
      <c r="AK8" s="685"/>
      <c r="AM8" s="130"/>
      <c r="AN8" s="130" t="str">
        <f t="shared" si="27"/>
        <v/>
      </c>
      <c r="AO8" s="130"/>
      <c r="AP8" s="130"/>
      <c r="AQ8" s="50">
        <v>0</v>
      </c>
    </row>
    <row r="9" ht="21" hidden="1" customHeight="1">
      <c r="A9" s="480"/>
      <c r="B9" s="480"/>
      <c r="C9" s="480"/>
      <c r="D9" s="480"/>
      <c r="E9" s="492"/>
      <c r="F9" s="492"/>
      <c r="G9" s="492"/>
      <c r="H9" s="492"/>
      <c r="I9" s="504"/>
      <c r="J9" s="499"/>
      <c r="K9" s="480"/>
      <c r="L9" s="482"/>
      <c r="P9" s="133"/>
      <c r="Q9" s="133"/>
      <c r="R9" s="500"/>
      <c r="S9" s="516"/>
      <c r="T9" s="520" t="s">
        <v>480</v>
      </c>
      <c r="U9" s="215"/>
      <c r="V9" s="215"/>
      <c r="W9" s="215"/>
      <c r="X9" s="215"/>
      <c r="Y9" s="215"/>
      <c r="Z9" s="215"/>
      <c r="AA9" s="215"/>
      <c r="AB9" s="215"/>
      <c r="AC9" s="215"/>
      <c r="AD9" s="215"/>
      <c r="AE9" s="215"/>
      <c r="AF9" s="215"/>
      <c r="AG9" s="215"/>
      <c r="AH9" s="215"/>
      <c r="AI9" s="215"/>
      <c r="AJ9" s="215"/>
      <c r="AK9" s="491" t="s">
        <v>481</v>
      </c>
      <c r="AM9" s="130"/>
      <c r="AN9" s="130" t="str">
        <f t="shared" si="27"/>
        <v xml:space="preserve">Добавить значение признака дифференциации</v>
      </c>
      <c r="AO9" s="130"/>
      <c r="AP9" s="130"/>
      <c r="AQ9" s="50">
        <v>0</v>
      </c>
    </row>
    <row r="10" ht="21" hidden="1" customHeight="1">
      <c r="A10" s="480"/>
      <c r="B10" s="480"/>
      <c r="C10" s="480"/>
      <c r="D10" s="480"/>
      <c r="E10" s="492"/>
      <c r="F10" s="492"/>
      <c r="G10" s="492"/>
      <c r="H10" s="492"/>
      <c r="I10" s="499"/>
      <c r="J10" s="480"/>
      <c r="K10" s="480"/>
      <c r="L10" s="482"/>
      <c r="P10" s="133"/>
      <c r="Q10" s="133"/>
      <c r="R10" s="500"/>
      <c r="S10" s="516"/>
      <c r="T10" s="524" t="s">
        <v>406</v>
      </c>
      <c r="U10" s="215"/>
      <c r="V10" s="215"/>
      <c r="W10" s="215"/>
      <c r="X10" s="215"/>
      <c r="Y10" s="215"/>
      <c r="Z10" s="215"/>
      <c r="AA10" s="215"/>
      <c r="AB10" s="521"/>
      <c r="AC10" s="215"/>
      <c r="AD10" s="215"/>
      <c r="AE10" s="215"/>
      <c r="AF10" s="215"/>
      <c r="AG10" s="215"/>
      <c r="AH10" s="215"/>
      <c r="AI10" s="521"/>
      <c r="AJ10" s="215"/>
      <c r="AK10" s="687"/>
      <c r="AM10" s="130"/>
      <c r="AN10" s="130" t="str">
        <f t="shared" ref="AN10:AN53" si="28">IF(T10="","",T10)</f>
        <v xml:space="preserve">Добавить группу потребителей</v>
      </c>
      <c r="AO10" s="130"/>
      <c r="AP10" s="130"/>
      <c r="AQ10" s="50">
        <v>0</v>
      </c>
    </row>
    <row r="11" ht="21" hidden="1" customHeight="1">
      <c r="A11" s="480"/>
      <c r="B11" s="480"/>
      <c r="C11" s="480"/>
      <c r="D11" s="480"/>
      <c r="E11" s="492"/>
      <c r="F11" s="492"/>
      <c r="G11" s="492"/>
      <c r="H11" s="481"/>
      <c r="I11" s="480"/>
      <c r="J11" s="480"/>
      <c r="K11" s="480"/>
      <c r="L11" s="482"/>
      <c r="M11" s="483"/>
      <c r="N11" s="483"/>
      <c r="O11" s="53"/>
      <c r="P11" s="144"/>
      <c r="Q11" s="523"/>
      <c r="R11" s="484"/>
      <c r="S11" s="516"/>
      <c r="T11" s="688" t="s">
        <v>482</v>
      </c>
      <c r="U11" s="215"/>
      <c r="V11" s="215"/>
      <c r="W11" s="215"/>
      <c r="X11" s="215"/>
      <c r="Y11" s="215"/>
      <c r="Z11" s="215"/>
      <c r="AA11" s="215"/>
      <c r="AB11" s="521"/>
      <c r="AC11" s="215"/>
      <c r="AD11" s="215"/>
      <c r="AE11" s="215"/>
      <c r="AF11" s="215"/>
      <c r="AG11" s="215"/>
      <c r="AH11" s="215"/>
      <c r="AI11" s="521"/>
      <c r="AJ11" s="215"/>
      <c r="AK11" s="522"/>
      <c r="AM11" s="130"/>
      <c r="AN11" s="130" t="str">
        <f t="shared" si="28"/>
        <v xml:space="preserve">Добавить наименование признака дифференциации</v>
      </c>
      <c r="AO11" s="130"/>
      <c r="AP11" s="130"/>
      <c r="AQ11" s="50">
        <v>0</v>
      </c>
    </row>
    <row r="12" s="57" customFormat="1" ht="14.25" hidden="1" customHeight="1">
      <c r="A12" s="134"/>
      <c r="B12" s="134"/>
      <c r="C12" s="134"/>
      <c r="D12" s="134"/>
      <c r="E12" s="492"/>
      <c r="F12" s="481"/>
      <c r="G12" s="134"/>
      <c r="H12" s="134"/>
      <c r="I12" s="134"/>
      <c r="J12" s="134"/>
      <c r="K12" s="134"/>
      <c r="L12" s="213"/>
      <c r="M12" s="529"/>
      <c r="N12" s="529"/>
      <c r="P12" s="168"/>
      <c r="Q12" s="525"/>
      <c r="R12" s="168"/>
      <c r="S12" s="530"/>
      <c r="T12" s="533" t="s">
        <v>409</v>
      </c>
      <c r="U12" s="532"/>
      <c r="V12" s="532"/>
      <c r="W12" s="532"/>
      <c r="X12" s="532"/>
      <c r="Y12" s="532"/>
      <c r="Z12" s="532"/>
      <c r="AA12" s="532"/>
      <c r="AB12" s="532"/>
      <c r="AC12" s="532"/>
      <c r="AD12" s="532"/>
      <c r="AE12" s="532"/>
      <c r="AF12" s="532"/>
      <c r="AG12" s="532"/>
      <c r="AH12" s="532"/>
      <c r="AI12" s="532"/>
      <c r="AJ12" s="532"/>
      <c r="AK12" s="532"/>
      <c r="AM12" s="130"/>
      <c r="AN12" s="130" t="str">
        <f t="shared" si="28"/>
        <v xml:space="preserve">Добавить централизованную систему для дифференциации</v>
      </c>
      <c r="AO12" s="130"/>
      <c r="AP12" s="130"/>
      <c r="AQ12" s="57">
        <v>0</v>
      </c>
    </row>
    <row r="13" s="57" customFormat="1" ht="14.25" hidden="1" customHeight="1">
      <c r="A13" s="134"/>
      <c r="B13" s="134"/>
      <c r="C13" s="134"/>
      <c r="D13" s="134"/>
      <c r="E13" s="481"/>
      <c r="F13" s="134"/>
      <c r="G13" s="134"/>
      <c r="H13" s="134"/>
      <c r="I13" s="134"/>
      <c r="J13" s="134"/>
      <c r="K13" s="134"/>
      <c r="L13" s="213"/>
      <c r="M13" s="529"/>
      <c r="N13" s="529"/>
      <c r="O13" s="57"/>
      <c r="P13" s="168"/>
      <c r="Q13" s="525"/>
      <c r="R13" s="168"/>
      <c r="S13" s="530"/>
      <c r="T13" s="533" t="s">
        <v>410</v>
      </c>
      <c r="U13" s="532"/>
      <c r="V13" s="532"/>
      <c r="W13" s="532"/>
      <c r="X13" s="532"/>
      <c r="Y13" s="532"/>
      <c r="Z13" s="532"/>
      <c r="AA13" s="532"/>
      <c r="AB13" s="532"/>
      <c r="AC13" s="532"/>
      <c r="AD13" s="532"/>
      <c r="AE13" s="532"/>
      <c r="AF13" s="532"/>
      <c r="AG13" s="532"/>
      <c r="AH13" s="532"/>
      <c r="AI13" s="532"/>
      <c r="AJ13" s="532"/>
      <c r="AK13" s="532"/>
      <c r="AM13" s="130"/>
      <c r="AN13" s="130" t="str">
        <f t="shared" si="28"/>
        <v xml:space="preserve">Добавить территорию для дифференциации</v>
      </c>
      <c r="AO13" s="130"/>
      <c r="AP13" s="130"/>
      <c r="AQ13" s="57">
        <v>0</v>
      </c>
    </row>
    <row r="14" ht="14.25" hidden="1" customHeight="1">
      <c r="AB14" s="50"/>
      <c r="AI14" s="50"/>
      <c r="AQ14" s="50">
        <v>0</v>
      </c>
    </row>
    <row r="15" ht="14.25" hidden="1" customHeight="1">
      <c r="AC15" s="534"/>
      <c r="AD15" s="534"/>
      <c r="AE15" s="535"/>
      <c r="AF15" s="536"/>
      <c r="AG15" s="537" t="s">
        <v>64</v>
      </c>
      <c r="AH15" s="536"/>
      <c r="AI15" s="537" t="s">
        <v>64</v>
      </c>
      <c r="AQ15" s="50">
        <v>0</v>
      </c>
    </row>
    <row r="16" ht="14.25" hidden="1" customHeight="1">
      <c r="AC16" s="534"/>
      <c r="AD16" s="534"/>
      <c r="AE16" s="513" t="str">
        <f>AF15&amp;"-"&amp;AH15</f>
        <v>-</v>
      </c>
      <c r="AF16" s="537"/>
      <c r="AG16" s="537"/>
      <c r="AH16" s="537"/>
      <c r="AI16" s="537"/>
      <c r="AQ16" s="50">
        <v>0</v>
      </c>
    </row>
    <row r="17" ht="14.25" hidden="1" customHeight="1">
      <c r="AI17" s="50"/>
      <c r="AQ17" s="50">
        <v>0</v>
      </c>
    </row>
    <row r="18" s="53" customFormat="1" ht="22.5" hidden="1" customHeight="1">
      <c r="L18" s="114"/>
      <c r="M18" s="61"/>
      <c r="N18" s="61"/>
      <c r="O18" s="538" t="s">
        <v>411</v>
      </c>
      <c r="P18" s="61"/>
      <c r="Q18" s="539"/>
      <c r="R18" s="539"/>
      <c r="S18" s="483"/>
      <c r="Y18" s="538"/>
      <c r="AA18" s="538"/>
      <c r="AB18" s="53"/>
      <c r="AF18" s="538"/>
      <c r="AH18" s="538"/>
      <c r="AI18" s="53"/>
      <c r="AL18" s="57"/>
      <c r="AM18" s="57"/>
      <c r="AN18" s="57"/>
      <c r="AO18" s="57"/>
      <c r="AP18" s="57"/>
      <c r="AQ18" s="53">
        <v>0</v>
      </c>
    </row>
    <row r="19" s="53" customFormat="1" ht="14.25" hidden="1" customHeight="1">
      <c r="L19" s="114"/>
      <c r="M19" s="61"/>
      <c r="N19" s="61"/>
      <c r="O19" s="61"/>
      <c r="P19" s="61"/>
      <c r="Q19" s="539"/>
      <c r="R19" s="539"/>
      <c r="S19" s="483"/>
      <c r="AB19" s="53"/>
      <c r="AI19" s="53"/>
      <c r="AL19" s="57"/>
      <c r="AM19" s="57"/>
      <c r="AN19" s="57"/>
      <c r="AO19" s="57"/>
      <c r="AP19" s="57"/>
      <c r="AQ19" s="53">
        <v>0</v>
      </c>
    </row>
    <row r="20" s="53" customFormat="1" ht="12" hidden="1" customHeight="1">
      <c r="L20" s="114"/>
      <c r="M20" s="61"/>
      <c r="N20" s="61"/>
      <c r="O20" s="482" t="s">
        <v>412</v>
      </c>
      <c r="P20" s="61"/>
      <c r="Q20" s="689"/>
      <c r="R20" s="689"/>
      <c r="S20" s="483"/>
      <c r="T20" s="53" t="s">
        <v>413</v>
      </c>
      <c r="Z20" s="152" t="s">
        <v>414</v>
      </c>
      <c r="AB20" s="152" t="s">
        <v>415</v>
      </c>
      <c r="AC20" s="53" t="s">
        <v>413</v>
      </c>
      <c r="AG20" s="152" t="s">
        <v>416</v>
      </c>
      <c r="AI20" s="152" t="s">
        <v>415</v>
      </c>
      <c r="AQ20" s="53">
        <v>0</v>
      </c>
    </row>
    <row r="21" ht="14.25" hidden="1" customHeight="1">
      <c r="O21" s="482"/>
      <c r="AQ21" s="50">
        <v>0</v>
      </c>
    </row>
    <row r="22" ht="14.25" hidden="1" customHeight="1">
      <c r="O22" s="482"/>
      <c r="AQ22" s="50">
        <v>0</v>
      </c>
    </row>
    <row r="23" ht="14.65" customHeight="1">
      <c r="Q23" s="540"/>
      <c r="R23" s="540"/>
      <c r="S23" s="541"/>
      <c r="T23" s="91"/>
      <c r="U23" s="91"/>
      <c r="V23" s="50"/>
      <c r="W23" s="50"/>
      <c r="X23" s="50"/>
      <c r="Y23" s="50"/>
      <c r="Z23" s="50"/>
      <c r="AA23" s="50"/>
      <c r="AB23" s="50"/>
      <c r="AC23" s="50"/>
      <c r="AD23" s="50"/>
      <c r="AE23" s="50"/>
      <c r="AF23" s="50"/>
      <c r="AG23" s="50"/>
      <c r="AH23" s="50"/>
      <c r="AI23" s="50"/>
      <c r="AQ23" s="50">
        <v>14</v>
      </c>
    </row>
    <row r="24" ht="14.65" customHeight="1">
      <c r="Q24" s="540"/>
      <c r="R24" s="540"/>
      <c r="S24" s="453" t="str">
        <f>IF(TEMPLATE_GROUP="P",PT_P_FORM_COLDVSNA_4_NAME_FORM,PT_R_FORM_COLDVSNA_16_NAME_FORM)</f>
        <v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453"/>
      <c r="U24" s="453"/>
      <c r="V24" s="453"/>
      <c r="W24" s="453"/>
      <c r="X24" s="453"/>
      <c r="Y24" s="453"/>
      <c r="Z24" s="453"/>
      <c r="AA24" s="453"/>
      <c r="AB24" s="453"/>
      <c r="AC24" s="453"/>
      <c r="AD24" s="453"/>
      <c r="AE24" s="453"/>
      <c r="AF24" s="453"/>
      <c r="AG24" s="453"/>
      <c r="AH24" s="453"/>
      <c r="AI24" s="241"/>
      <c r="AQ24" s="50">
        <v>14</v>
      </c>
    </row>
    <row r="25" ht="14.65" customHeight="1">
      <c r="Q25" s="540"/>
      <c r="R25" s="540"/>
      <c r="S25" s="304" t="str">
        <f>IF(org=0,"Не определено",org)</f>
        <v xml:space="preserve">АО "ДГК" СП "Биробиджанская ТЭЦ"</v>
      </c>
      <c r="T25" s="304"/>
      <c r="U25" s="304"/>
      <c r="V25" s="304"/>
      <c r="W25" s="304"/>
      <c r="X25" s="304"/>
      <c r="Y25" s="304"/>
      <c r="Z25" s="304"/>
      <c r="AA25" s="304"/>
      <c r="AB25" s="304"/>
      <c r="AC25" s="304"/>
      <c r="AD25" s="304"/>
      <c r="AE25" s="304"/>
      <c r="AF25" s="304"/>
      <c r="AG25" s="304"/>
      <c r="AH25" s="304"/>
      <c r="AI25" s="241"/>
      <c r="AQ25" s="50">
        <v>14</v>
      </c>
    </row>
    <row r="26" ht="14.25" hidden="1" customHeight="1">
      <c r="Q26" s="540"/>
      <c r="R26" s="540"/>
      <c r="S26" s="541"/>
      <c r="T26" s="91"/>
      <c r="U26" s="91"/>
      <c r="V26" s="542"/>
      <c r="W26" s="542"/>
      <c r="X26" s="542"/>
      <c r="Y26" s="542"/>
      <c r="Z26" s="542"/>
      <c r="AA26" s="542"/>
      <c r="AB26" s="542"/>
      <c r="AC26" s="542"/>
      <c r="AD26" s="542"/>
      <c r="AE26" s="542"/>
      <c r="AF26" s="542"/>
      <c r="AG26" s="542"/>
      <c r="AH26" s="542"/>
      <c r="AI26" s="542"/>
      <c r="AJ26" s="50"/>
      <c r="AQ26" s="50">
        <v>0</v>
      </c>
    </row>
    <row r="27" s="185" customFormat="1" ht="25.5" hidden="1" customHeight="1">
      <c r="A27" s="152"/>
      <c r="B27" s="152"/>
      <c r="C27" s="152"/>
      <c r="D27" s="152"/>
      <c r="E27" s="152"/>
      <c r="F27" s="152"/>
      <c r="G27" s="152"/>
      <c r="H27" s="152"/>
      <c r="I27" s="152"/>
      <c r="J27" s="152"/>
      <c r="K27" s="152"/>
      <c r="L27" s="482"/>
      <c r="M27" s="152"/>
      <c r="N27" s="152"/>
      <c r="O27" s="152"/>
      <c r="S27" s="543" t="s">
        <v>41</v>
      </c>
      <c r="T27" s="543"/>
      <c r="U27" s="544"/>
      <c r="V27" s="545" t="str">
        <f>IF(TITLE_NAME_OR_PR_CHANGE="",IF(TITLE_NAME_OR_PR="","",TITLE_NAME_OR_PR),TITLE_NAME_OR_PR_CHANGE)</f>
        <v/>
      </c>
      <c r="W27" s="545"/>
      <c r="X27" s="545"/>
      <c r="Y27" s="545"/>
      <c r="Z27" s="545"/>
      <c r="AA27" s="545"/>
      <c r="AB27" s="50"/>
      <c r="AC27" s="545" t="str">
        <f>IF(TITLE_NAME_OR_PR_CHANGE="",IF(TITLE_NAME_OR_PR="","",TITLE_NAME_OR_PR),TITLE_NAME_OR_PR_CHANGE)</f>
        <v/>
      </c>
      <c r="AD27" s="545"/>
      <c r="AE27" s="545"/>
      <c r="AF27" s="545"/>
      <c r="AG27" s="545"/>
      <c r="AH27" s="545"/>
      <c r="AI27" s="50"/>
      <c r="AJ27" s="50"/>
      <c r="AK27" s="546"/>
      <c r="AL27" s="130"/>
      <c r="AM27" s="130"/>
      <c r="AN27" s="130"/>
      <c r="AO27" s="130"/>
      <c r="AP27" s="130"/>
      <c r="AQ27" s="185">
        <v>0</v>
      </c>
    </row>
    <row r="28" s="185" customFormat="1" ht="18.75" hidden="1" customHeight="1">
      <c r="A28" s="152"/>
      <c r="B28" s="152"/>
      <c r="C28" s="152"/>
      <c r="D28" s="152"/>
      <c r="E28" s="152"/>
      <c r="F28" s="152"/>
      <c r="G28" s="152"/>
      <c r="H28" s="152"/>
      <c r="I28" s="152"/>
      <c r="J28" s="152"/>
      <c r="K28" s="152"/>
      <c r="L28" s="482"/>
      <c r="M28" s="152"/>
      <c r="N28" s="152"/>
      <c r="O28" s="152"/>
      <c r="S28" s="543" t="s">
        <v>417</v>
      </c>
      <c r="T28" s="543"/>
      <c r="U28" s="544"/>
      <c r="V28" s="547" t="str">
        <f>IF(TITLE_DATE_PR_CHANGE="",IF(TITLE_DATE_PR="","",TITLE_DATE_PR),TITLE_DATE_PR_CHANGE)</f>
        <v/>
      </c>
      <c r="W28" s="547"/>
      <c r="X28" s="547"/>
      <c r="Y28" s="547"/>
      <c r="Z28" s="547"/>
      <c r="AA28" s="547"/>
      <c r="AB28" s="50"/>
      <c r="AC28" s="547" t="str">
        <f>IF(TITLE_DATE_PR_CHANGE="",IF(TITLE_DATE_PR="","",TITLE_DATE_PR),TITLE_DATE_PR_CHANGE)</f>
        <v/>
      </c>
      <c r="AD28" s="547"/>
      <c r="AE28" s="547"/>
      <c r="AF28" s="547"/>
      <c r="AG28" s="547"/>
      <c r="AH28" s="547"/>
      <c r="AI28" s="50"/>
      <c r="AJ28" s="50"/>
      <c r="AK28" s="546"/>
      <c r="AL28" s="130"/>
      <c r="AM28" s="130"/>
      <c r="AN28" s="130"/>
      <c r="AO28" s="130"/>
      <c r="AP28" s="130"/>
      <c r="AQ28" s="185">
        <v>0</v>
      </c>
    </row>
    <row r="29" s="185" customFormat="1" ht="18.75" hidden="1" customHeight="1">
      <c r="A29" s="152"/>
      <c r="B29" s="152"/>
      <c r="C29" s="152"/>
      <c r="D29" s="152"/>
      <c r="E29" s="152"/>
      <c r="F29" s="152"/>
      <c r="G29" s="152"/>
      <c r="H29" s="152"/>
      <c r="I29" s="152"/>
      <c r="J29" s="152"/>
      <c r="K29" s="152"/>
      <c r="L29" s="482"/>
      <c r="M29" s="152"/>
      <c r="N29" s="152"/>
      <c r="O29" s="152"/>
      <c r="S29" s="543" t="s">
        <v>418</v>
      </c>
      <c r="T29" s="543"/>
      <c r="U29" s="544"/>
      <c r="V29" s="545" t="str">
        <f>IF(TITLE_NUMBER_PR_CHANGE="",IF(TITLE_NUMBER_PR="","",TITLE_NUMBER_PR),TITLE_NUMBER_PR_CHANGE)</f>
        <v/>
      </c>
      <c r="W29" s="545"/>
      <c r="X29" s="545"/>
      <c r="Y29" s="545"/>
      <c r="Z29" s="545"/>
      <c r="AA29" s="545"/>
      <c r="AB29" s="50"/>
      <c r="AC29" s="545" t="str">
        <f>IF(TITLE_NUMBER_PR_CHANGE="",IF(TITLE_NUMBER_PR="","",TITLE_NUMBER_PR),TITLE_NUMBER_PR_CHANGE)</f>
        <v/>
      </c>
      <c r="AD29" s="545"/>
      <c r="AE29" s="545"/>
      <c r="AF29" s="545"/>
      <c r="AG29" s="545"/>
      <c r="AH29" s="545"/>
      <c r="AI29" s="50"/>
      <c r="AJ29" s="50"/>
      <c r="AK29" s="546"/>
      <c r="AL29" s="130"/>
      <c r="AM29" s="130"/>
      <c r="AN29" s="130"/>
      <c r="AO29" s="130"/>
      <c r="AP29" s="130"/>
      <c r="AQ29" s="185">
        <v>0</v>
      </c>
    </row>
    <row r="30" s="185" customFormat="1" ht="18.75" hidden="1" customHeight="1">
      <c r="A30" s="152"/>
      <c r="B30" s="152"/>
      <c r="C30" s="152"/>
      <c r="D30" s="152"/>
      <c r="E30" s="152"/>
      <c r="F30" s="152"/>
      <c r="G30" s="152"/>
      <c r="H30" s="152"/>
      <c r="I30" s="152"/>
      <c r="J30" s="152"/>
      <c r="K30" s="152"/>
      <c r="L30" s="482"/>
      <c r="M30" s="152"/>
      <c r="N30" s="152"/>
      <c r="O30" s="152"/>
      <c r="S30" s="543" t="s">
        <v>42</v>
      </c>
      <c r="T30" s="543"/>
      <c r="U30" s="544"/>
      <c r="V30" s="545" t="str">
        <f>IF(TITLE_IST_PUB_CHANGE="",IF(TITLE_IST_PUB="","",TITLE_IST_PUB),TITLE_IST_PUB_CHANGE)</f>
        <v/>
      </c>
      <c r="W30" s="545"/>
      <c r="X30" s="545"/>
      <c r="Y30" s="545"/>
      <c r="Z30" s="545"/>
      <c r="AA30" s="545"/>
      <c r="AB30" s="50"/>
      <c r="AC30" s="545" t="str">
        <f>IF(TITLE_IST_PUB_CHANGE="",IF(TITLE_IST_PUB="","",TITLE_IST_PUB),TITLE_IST_PUB_CHANGE)</f>
        <v/>
      </c>
      <c r="AD30" s="545"/>
      <c r="AE30" s="545"/>
      <c r="AF30" s="545"/>
      <c r="AG30" s="545"/>
      <c r="AH30" s="545"/>
      <c r="AI30" s="50"/>
      <c r="AJ30" s="50"/>
      <c r="AK30" s="546"/>
      <c r="AL30" s="130"/>
      <c r="AM30" s="130"/>
      <c r="AN30" s="130"/>
      <c r="AO30" s="130"/>
      <c r="AP30" s="130"/>
      <c r="AQ30" s="185">
        <v>0</v>
      </c>
    </row>
    <row r="31" ht="14.25" hidden="1" customHeight="1">
      <c r="Q31" s="540"/>
      <c r="R31" s="540"/>
      <c r="S31" s="541"/>
      <c r="T31" s="91"/>
      <c r="U31" s="91"/>
      <c r="V31" s="542"/>
      <c r="W31" s="542"/>
      <c r="X31" s="542"/>
      <c r="Y31" s="542"/>
      <c r="Z31" s="542"/>
      <c r="AA31" s="542"/>
      <c r="AB31" s="542"/>
      <c r="AC31" s="542"/>
      <c r="AD31" s="542"/>
      <c r="AE31" s="542"/>
      <c r="AF31" s="542"/>
      <c r="AG31" s="542"/>
      <c r="AH31" s="542"/>
      <c r="AI31" s="542"/>
      <c r="AJ31" s="50"/>
      <c r="AQ31" s="50">
        <v>0</v>
      </c>
    </row>
    <row r="32" s="185" customFormat="1" ht="18.75" hidden="1" customHeight="1">
      <c r="A32" s="152"/>
      <c r="B32" s="152"/>
      <c r="C32" s="152"/>
      <c r="D32" s="152"/>
      <c r="E32" s="152"/>
      <c r="F32" s="152"/>
      <c r="G32" s="152"/>
      <c r="H32" s="152"/>
      <c r="I32" s="152"/>
      <c r="J32" s="152"/>
      <c r="K32" s="152"/>
      <c r="L32" s="482"/>
      <c r="M32" s="152"/>
      <c r="N32" s="152"/>
      <c r="O32" s="152"/>
      <c r="S32" s="543" t="s">
        <v>419</v>
      </c>
      <c r="T32" s="543"/>
      <c r="U32" s="544"/>
      <c r="V32" s="547" t="str">
        <f>IF(TITLE_DATE_PR_CHANGE="",IF(TITLE_DATE_PR="","",TITLE_DATE_PR),TITLE_DATE_PR_CHANGE)</f>
        <v/>
      </c>
      <c r="W32" s="547"/>
      <c r="X32" s="547"/>
      <c r="Y32" s="547"/>
      <c r="Z32" s="547"/>
      <c r="AA32" s="547"/>
      <c r="AB32" s="50"/>
      <c r="AC32" s="547" t="str">
        <f>IF(TITLE_DATE_PR_CHANGE="",IF(TITLE_DATE_PR="","",TITLE_DATE_PR),TITLE_DATE_PR_CHANGE)</f>
        <v/>
      </c>
      <c r="AD32" s="547"/>
      <c r="AE32" s="547"/>
      <c r="AF32" s="547"/>
      <c r="AG32" s="547"/>
      <c r="AH32" s="547"/>
      <c r="AI32" s="50"/>
      <c r="AJ32" s="50"/>
      <c r="AK32" s="546"/>
      <c r="AL32" s="130"/>
      <c r="AM32" s="130"/>
      <c r="AN32" s="130"/>
      <c r="AO32" s="130"/>
      <c r="AP32" s="130"/>
      <c r="AQ32" s="185">
        <v>0</v>
      </c>
    </row>
    <row r="33" s="185" customFormat="1" ht="18.75" hidden="1" customHeight="1">
      <c r="A33" s="152"/>
      <c r="B33" s="152"/>
      <c r="C33" s="152"/>
      <c r="D33" s="152"/>
      <c r="E33" s="152"/>
      <c r="F33" s="152"/>
      <c r="G33" s="152"/>
      <c r="H33" s="152"/>
      <c r="I33" s="152"/>
      <c r="J33" s="152"/>
      <c r="K33" s="152"/>
      <c r="L33" s="482"/>
      <c r="M33" s="152"/>
      <c r="N33" s="152"/>
      <c r="O33" s="152"/>
      <c r="S33" s="543" t="s">
        <v>420</v>
      </c>
      <c r="T33" s="543"/>
      <c r="U33" s="544"/>
      <c r="V33" s="545" t="str">
        <f>IF(TITLE_NUMBER_PR_CHANGE="",IF(TITLE_NUMBER_PR="","",TITLE_NUMBER_PR),TITLE_NUMBER_PR_CHANGE)</f>
        <v/>
      </c>
      <c r="W33" s="545"/>
      <c r="X33" s="545"/>
      <c r="Y33" s="545"/>
      <c r="Z33" s="545"/>
      <c r="AA33" s="545"/>
      <c r="AB33" s="50"/>
      <c r="AC33" s="545" t="str">
        <f>IF(TITLE_NUMBER_PR_CHANGE="",IF(TITLE_NUMBER_PR="","",TITLE_NUMBER_PR),TITLE_NUMBER_PR_CHANGE)</f>
        <v/>
      </c>
      <c r="AD33" s="545"/>
      <c r="AE33" s="545"/>
      <c r="AF33" s="545"/>
      <c r="AG33" s="545"/>
      <c r="AH33" s="545"/>
      <c r="AI33" s="50"/>
      <c r="AJ33" s="50"/>
      <c r="AK33" s="546"/>
      <c r="AL33" s="130"/>
      <c r="AM33" s="130"/>
      <c r="AN33" s="130"/>
      <c r="AO33" s="130"/>
      <c r="AP33" s="130"/>
      <c r="AQ33" s="185">
        <v>0</v>
      </c>
    </row>
    <row r="34" s="185" customFormat="1" ht="1.05" customHeight="1">
      <c r="A34" s="152"/>
      <c r="B34" s="152"/>
      <c r="C34" s="152"/>
      <c r="D34" s="152"/>
      <c r="E34" s="152"/>
      <c r="F34" s="152"/>
      <c r="G34" s="152"/>
      <c r="H34" s="152"/>
      <c r="I34" s="152"/>
      <c r="J34" s="152"/>
      <c r="K34" s="152"/>
      <c r="L34" s="482"/>
      <c r="M34" s="152"/>
      <c r="N34" s="152"/>
      <c r="O34" s="152"/>
      <c r="S34" s="50"/>
      <c r="T34" s="50"/>
      <c r="U34" s="141"/>
      <c r="V34" s="50"/>
      <c r="W34" s="50"/>
      <c r="X34" s="50"/>
      <c r="Y34" s="50"/>
      <c r="Z34" s="50"/>
      <c r="AA34" s="50"/>
      <c r="AB34" s="57" t="s">
        <v>421</v>
      </c>
      <c r="AC34" s="50"/>
      <c r="AD34" s="50"/>
      <c r="AE34" s="50"/>
      <c r="AF34" s="50"/>
      <c r="AG34" s="50"/>
      <c r="AH34" s="50"/>
      <c r="AI34" s="57" t="s">
        <v>421</v>
      </c>
      <c r="AL34" s="130"/>
      <c r="AM34" s="130"/>
      <c r="AN34" s="130"/>
      <c r="AO34" s="130"/>
      <c r="AP34" s="130"/>
      <c r="AQ34" s="185">
        <v>1</v>
      </c>
    </row>
    <row r="35" ht="14.65" customHeight="1">
      <c r="Q35" s="540"/>
      <c r="R35" s="540"/>
      <c r="S35" s="541"/>
      <c r="T35" s="91"/>
      <c r="U35" s="548"/>
      <c r="V35" s="549"/>
      <c r="W35" s="549"/>
      <c r="X35" s="549"/>
      <c r="Y35" s="549"/>
      <c r="Z35" s="549"/>
      <c r="AA35" s="549"/>
      <c r="AB35" s="549"/>
      <c r="AC35" s="549"/>
      <c r="AD35" s="549"/>
      <c r="AE35" s="549"/>
      <c r="AF35" s="549"/>
      <c r="AG35" s="549"/>
      <c r="AH35" s="549"/>
      <c r="AI35" s="549"/>
      <c r="AQ35" s="50">
        <v>14</v>
      </c>
    </row>
    <row r="36" ht="14.65" customHeight="1">
      <c r="Q36" s="540"/>
      <c r="R36" s="540"/>
      <c r="S36" s="158" t="s">
        <v>294</v>
      </c>
      <c r="T36" s="158"/>
      <c r="U36" s="158"/>
      <c r="V36" s="158"/>
      <c r="W36" s="158"/>
      <c r="X36" s="158"/>
      <c r="Y36" s="158"/>
      <c r="Z36" s="158"/>
      <c r="AA36" s="158"/>
      <c r="AB36" s="158"/>
      <c r="AC36" s="158"/>
      <c r="AD36" s="158"/>
      <c r="AE36" s="158"/>
      <c r="AF36" s="158"/>
      <c r="AG36" s="158"/>
      <c r="AH36" s="158"/>
      <c r="AI36" s="158"/>
      <c r="AJ36" s="158"/>
      <c r="AK36" s="158" t="s">
        <v>295</v>
      </c>
      <c r="AQ36" s="50">
        <v>14</v>
      </c>
    </row>
    <row r="37" ht="14.65" customHeight="1">
      <c r="Q37" s="540"/>
      <c r="R37" s="540"/>
      <c r="S37" s="485" t="s">
        <v>87</v>
      </c>
      <c r="T37" s="348" t="s">
        <v>422</v>
      </c>
      <c r="U37" s="550"/>
      <c r="V37" s="551" t="s">
        <v>423</v>
      </c>
      <c r="W37" s="552"/>
      <c r="X37" s="552"/>
      <c r="Y37" s="552"/>
      <c r="Z37" s="552"/>
      <c r="AA37" s="553"/>
      <c r="AB37" s="554" t="s">
        <v>424</v>
      </c>
      <c r="AC37" s="551" t="s">
        <v>423</v>
      </c>
      <c r="AD37" s="552"/>
      <c r="AE37" s="552"/>
      <c r="AF37" s="552"/>
      <c r="AG37" s="552"/>
      <c r="AH37" s="553"/>
      <c r="AI37" s="554" t="s">
        <v>425</v>
      </c>
      <c r="AJ37" s="555" t="s">
        <v>426</v>
      </c>
      <c r="AK37" s="158"/>
      <c r="AQ37" s="50">
        <v>14</v>
      </c>
    </row>
    <row r="38" ht="35.649999999999999" customHeight="1">
      <c r="Q38" s="540"/>
      <c r="R38" s="540"/>
      <c r="S38" s="485"/>
      <c r="T38" s="348"/>
      <c r="U38" s="556"/>
      <c r="V38" s="308" t="s">
        <v>483</v>
      </c>
      <c r="W38" s="73" t="s">
        <v>429</v>
      </c>
      <c r="X38" s="72"/>
      <c r="Y38" s="73" t="s">
        <v>430</v>
      </c>
      <c r="Z38" s="146"/>
      <c r="AA38" s="72"/>
      <c r="AB38" s="558"/>
      <c r="AC38" s="308" t="s">
        <v>483</v>
      </c>
      <c r="AD38" s="73" t="s">
        <v>429</v>
      </c>
      <c r="AE38" s="72"/>
      <c r="AF38" s="73" t="s">
        <v>430</v>
      </c>
      <c r="AG38" s="146"/>
      <c r="AH38" s="72"/>
      <c r="AI38" s="558"/>
      <c r="AJ38" s="559"/>
      <c r="AK38" s="158"/>
      <c r="AQ38" s="50">
        <v>34</v>
      </c>
    </row>
    <row r="39" ht="35.649999999999999" customHeight="1">
      <c r="A39" s="152"/>
      <c r="B39" s="152" t="s">
        <v>131</v>
      </c>
      <c r="C39" s="152" t="s">
        <v>132</v>
      </c>
      <c r="D39" s="152" t="s">
        <v>133</v>
      </c>
      <c r="E39" s="482" t="s">
        <v>431</v>
      </c>
      <c r="F39" s="482" t="s">
        <v>432</v>
      </c>
      <c r="G39" s="482" t="s">
        <v>433</v>
      </c>
      <c r="H39" s="482"/>
      <c r="I39" s="482" t="s">
        <v>484</v>
      </c>
      <c r="J39" s="482" t="s">
        <v>436</v>
      </c>
      <c r="K39" s="482" t="s">
        <v>485</v>
      </c>
      <c r="L39" s="482" t="s">
        <v>412</v>
      </c>
      <c r="Q39" s="540"/>
      <c r="R39" s="540"/>
      <c r="S39" s="485"/>
      <c r="T39" s="348"/>
      <c r="U39" s="560"/>
      <c r="V39" s="308" t="s">
        <v>486</v>
      </c>
      <c r="W39" s="247" t="s">
        <v>487</v>
      </c>
      <c r="X39" s="247" t="s">
        <v>488</v>
      </c>
      <c r="Y39" s="247" t="s">
        <v>440</v>
      </c>
      <c r="Z39" s="416" t="s">
        <v>441</v>
      </c>
      <c r="AA39" s="418"/>
      <c r="AB39" s="562"/>
      <c r="AC39" s="308" t="s">
        <v>486</v>
      </c>
      <c r="AD39" s="247" t="s">
        <v>487</v>
      </c>
      <c r="AE39" s="247" t="s">
        <v>488</v>
      </c>
      <c r="AF39" s="247" t="s">
        <v>440</v>
      </c>
      <c r="AG39" s="416" t="s">
        <v>441</v>
      </c>
      <c r="AH39" s="418"/>
      <c r="AI39" s="562"/>
      <c r="AJ39" s="563"/>
      <c r="AK39" s="158"/>
      <c r="AQ39" s="50">
        <v>34</v>
      </c>
    </row>
    <row r="40" s="132" customFormat="1" ht="0" customHeight="1">
      <c r="A40" s="152"/>
      <c r="B40" s="152"/>
      <c r="C40" s="152"/>
      <c r="D40" s="152"/>
      <c r="E40" s="152"/>
      <c r="F40" s="152"/>
      <c r="G40" s="152"/>
      <c r="H40" s="152"/>
      <c r="I40" s="152"/>
      <c r="J40" s="152"/>
      <c r="K40" s="152"/>
      <c r="L40" s="482"/>
      <c r="M40" s="61"/>
      <c r="N40" s="61"/>
      <c r="O40" s="61"/>
      <c r="P40" s="564"/>
      <c r="Q40" s="565"/>
      <c r="R40" s="566">
        <v>1</v>
      </c>
      <c r="S40" s="567" t="s">
        <v>105</v>
      </c>
      <c r="T40" s="568" t="s">
        <v>106</v>
      </c>
      <c r="U40" s="569" t="str">
        <f ca="1">OFFSET(U40,0,-1)</f>
        <v>2</v>
      </c>
      <c r="V40" s="570">
        <f ca="1">OFFSET(V40,0,-1)+1</f>
        <v>3</v>
      </c>
      <c r="W40" s="570">
        <f ca="1">OFFSET(W40,0,-1)+1</f>
        <v>4</v>
      </c>
      <c r="X40" s="570">
        <f ca="1">OFFSET(X40,0,-1)+1</f>
        <v>5</v>
      </c>
      <c r="Y40" s="570">
        <f ca="1">OFFSET(Y40,0,-1)+1</f>
        <v>6</v>
      </c>
      <c r="Z40" s="570">
        <f ca="1">OFFSET(Z40,0,-1)+1</f>
        <v>7</v>
      </c>
      <c r="AA40" s="570"/>
      <c r="AB40" s="570">
        <f ca="1">OFFSET(AB40,0,-2)+1</f>
        <v>8</v>
      </c>
      <c r="AC40" s="570">
        <f ca="1">OFFSET(AC40,0,-1)+1</f>
        <v>9</v>
      </c>
      <c r="AD40" s="570">
        <f ca="1">OFFSET(AD40,0,-1)+1</f>
        <v>10</v>
      </c>
      <c r="AE40" s="570">
        <f ca="1">OFFSET(AE40,0,-1)+1</f>
        <v>11</v>
      </c>
      <c r="AF40" s="570">
        <f ca="1">OFFSET(AF40,0,-1)+1</f>
        <v>12</v>
      </c>
      <c r="AG40" s="570">
        <f ca="1">OFFSET(AG40,0,-1)+1</f>
        <v>13</v>
      </c>
      <c r="AH40" s="570"/>
      <c r="AI40" s="570">
        <f ca="1">OFFSET(AI40,0,-2)+1</f>
        <v>14</v>
      </c>
      <c r="AJ40" s="569">
        <f ca="1">OFFSET(AJ40,0,-1)</f>
        <v>14</v>
      </c>
      <c r="AK40" s="570">
        <f ca="1">OFFSET(AK40,0,-1)+1</f>
        <v>15</v>
      </c>
      <c r="AL40" s="57"/>
      <c r="AM40" s="57"/>
      <c r="AN40" s="57"/>
      <c r="AO40" s="57"/>
      <c r="AP40" s="57"/>
      <c r="AQ40" s="132">
        <v>0</v>
      </c>
    </row>
    <row r="41" ht="24" customHeight="1">
      <c r="A41" s="480" t="s">
        <v>230</v>
      </c>
      <c r="B41" s="480"/>
      <c r="C41" s="480"/>
      <c r="D41" s="480"/>
      <c r="E41" s="481">
        <v>1</v>
      </c>
      <c r="F41" s="480"/>
      <c r="G41" s="480"/>
      <c r="H41" s="480"/>
      <c r="I41" s="480"/>
      <c r="J41" s="480"/>
      <c r="K41" s="480"/>
      <c r="L41" s="482"/>
      <c r="M41" s="483"/>
      <c r="N41" s="483"/>
      <c r="O41" s="483"/>
      <c r="P41" s="60"/>
      <c r="Q41" s="144"/>
      <c r="R41" s="484"/>
      <c r="S41" s="485">
        <f>INDEX(PT_DIFFERENTIATION_NUM_NTAR,MATCH(A41,PT_DIFFERENTIATION_NTAR_ID,0))</f>
        <v>0</v>
      </c>
      <c r="T41" s="486" t="s">
        <v>119</v>
      </c>
      <c r="U41" s="487"/>
      <c r="V41" s="488"/>
      <c r="W41" s="489"/>
      <c r="X41" s="489"/>
      <c r="Y41" s="489"/>
      <c r="Z41" s="489"/>
      <c r="AA41" s="489"/>
      <c r="AB41" s="490"/>
      <c r="AC41" s="488" t="str">
        <f>INDEX(PT_DIFFERENTIATION_NTAR,MATCH(A41,PT_DIFFERENTIATION_NTAR_ID,0))</f>
        <v/>
      </c>
      <c r="AD41" s="489"/>
      <c r="AE41" s="489"/>
      <c r="AF41" s="489"/>
      <c r="AG41" s="489"/>
      <c r="AH41" s="489"/>
      <c r="AI41" s="489"/>
      <c r="AJ41" s="490"/>
      <c r="AK41" s="49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130"/>
      <c r="AN41" s="130" t="str">
        <f t="shared" si="28"/>
        <v xml:space="preserve">Наименование тарифа</v>
      </c>
      <c r="AO41" s="130"/>
      <c r="AP41" s="130"/>
      <c r="AQ41" s="50">
        <v>23</v>
      </c>
    </row>
    <row r="42" ht="24" customHeight="1">
      <c r="A42" s="480" t="s">
        <v>230</v>
      </c>
      <c r="B42" s="480" t="s">
        <v>231</v>
      </c>
      <c r="C42" s="480"/>
      <c r="D42" s="480"/>
      <c r="E42" s="492"/>
      <c r="F42" s="481">
        <v>1</v>
      </c>
      <c r="G42" s="480"/>
      <c r="H42" s="480"/>
      <c r="I42" s="480"/>
      <c r="J42" s="480"/>
      <c r="K42" s="480"/>
      <c r="L42" s="482"/>
      <c r="M42" s="483"/>
      <c r="N42" s="483"/>
      <c r="O42" s="483"/>
      <c r="P42" s="51"/>
      <c r="Q42" s="493"/>
      <c r="R42" s="494"/>
      <c r="S42" s="485" t="str">
        <f>INDEX(PT_DIFFERENTIATION_NUM_TER,MATCH(B42,PT_DIFFERENTIATION_TER_ID,0))</f>
        <v>.</v>
      </c>
      <c r="T42" s="495" t="s">
        <v>391</v>
      </c>
      <c r="U42" s="487"/>
      <c r="V42" s="488"/>
      <c r="W42" s="489"/>
      <c r="X42" s="489"/>
      <c r="Y42" s="489"/>
      <c r="Z42" s="489"/>
      <c r="AA42" s="489"/>
      <c r="AB42" s="490"/>
      <c r="AC42" s="488" t="str">
        <f>INDEX(PT_DIFFERENTIATION_TER,MATCH(B42,PT_DIFFERENTIATION_TER_ID,0))</f>
        <v/>
      </c>
      <c r="AD42" s="489"/>
      <c r="AE42" s="489"/>
      <c r="AF42" s="489"/>
      <c r="AG42" s="489"/>
      <c r="AH42" s="489"/>
      <c r="AI42" s="489"/>
      <c r="AJ42" s="490"/>
      <c r="AK42" s="491" t="s">
        <v>392</v>
      </c>
      <c r="AM42" s="130"/>
      <c r="AN42" s="130" t="str">
        <f t="shared" si="28"/>
        <v xml:space="preserve">Территория действия тарифа</v>
      </c>
      <c r="AO42" s="130"/>
      <c r="AP42" s="130"/>
      <c r="AQ42" s="50">
        <v>23</v>
      </c>
    </row>
    <row r="43" ht="24" customHeight="1">
      <c r="A43" s="480" t="s">
        <v>230</v>
      </c>
      <c r="B43" s="480" t="s">
        <v>231</v>
      </c>
      <c r="C43" s="480" t="s">
        <v>232</v>
      </c>
      <c r="D43" s="480"/>
      <c r="E43" s="492"/>
      <c r="F43" s="492"/>
      <c r="G43" s="481">
        <v>1</v>
      </c>
      <c r="H43" s="480"/>
      <c r="I43" s="480"/>
      <c r="J43" s="480"/>
      <c r="K43" s="480"/>
      <c r="L43" s="482"/>
      <c r="M43" s="483"/>
      <c r="N43" s="483"/>
      <c r="O43" s="483"/>
      <c r="P43" s="496"/>
      <c r="Q43" s="493"/>
      <c r="R43" s="494"/>
      <c r="S43" s="485" t="str">
        <f>INDEX(PT_DIFFERENTIATION_NUM_CS,MATCH(C43,PT_DIFFERENTIATION_CS_ID,0))</f>
        <v>..</v>
      </c>
      <c r="T43" s="497" t="s">
        <v>475</v>
      </c>
      <c r="U43" s="487"/>
      <c r="V43" s="488"/>
      <c r="W43" s="489"/>
      <c r="X43" s="489"/>
      <c r="Y43" s="489"/>
      <c r="Z43" s="489"/>
      <c r="AA43" s="489"/>
      <c r="AB43" s="490"/>
      <c r="AC43" s="488" t="str">
        <f>INDEX(PT_DIFFERENTIATION_CS,MATCH(C43,PT_DIFFERENTIATION_CS_ID,0))</f>
        <v/>
      </c>
      <c r="AD43" s="489"/>
      <c r="AE43" s="489"/>
      <c r="AF43" s="489"/>
      <c r="AG43" s="489"/>
      <c r="AH43" s="489"/>
      <c r="AI43" s="489"/>
      <c r="AJ43" s="490"/>
      <c r="AK43" s="491" t="s">
        <v>476</v>
      </c>
      <c r="AM43" s="130"/>
      <c r="AN43" s="130" t="str">
        <f t="shared" si="28"/>
        <v xml:space="preserve">Наименование централизованной системы холодного водоснабжения</v>
      </c>
      <c r="AO43" s="130"/>
      <c r="AP43" s="130"/>
      <c r="AQ43" s="50">
        <v>23</v>
      </c>
    </row>
    <row r="44" ht="24" customHeight="1">
      <c r="A44" s="480" t="s">
        <v>230</v>
      </c>
      <c r="B44" s="480" t="s">
        <v>231</v>
      </c>
      <c r="C44" s="480" t="s">
        <v>232</v>
      </c>
      <c r="D44" s="480" t="s">
        <v>491</v>
      </c>
      <c r="E44" s="492"/>
      <c r="F44" s="492"/>
      <c r="G44" s="492"/>
      <c r="H44" s="492"/>
      <c r="I44" s="499" t="str">
        <f>S43&amp;".1"</f>
        <v>...1</v>
      </c>
      <c r="J44" s="480"/>
      <c r="K44" s="480"/>
      <c r="L44" s="482"/>
      <c r="P44" s="133">
        <v>1</v>
      </c>
      <c r="Q44" s="133"/>
      <c r="R44" s="500"/>
      <c r="S44" s="485" t="str">
        <f>$I44</f>
        <v>...1</v>
      </c>
      <c r="T44" s="501" t="s">
        <v>477</v>
      </c>
      <c r="U44" s="487"/>
      <c r="V44" s="677"/>
      <c r="W44" s="678"/>
      <c r="X44" s="678"/>
      <c r="Y44" s="678"/>
      <c r="Z44" s="678"/>
      <c r="AA44" s="678"/>
      <c r="AB44" s="679"/>
      <c r="AC44" s="680"/>
      <c r="AD44" s="681"/>
      <c r="AE44" s="681"/>
      <c r="AF44" s="681"/>
      <c r="AG44" s="681"/>
      <c r="AH44" s="681"/>
      <c r="AI44" s="681"/>
      <c r="AJ44" s="682"/>
      <c r="AK44" s="491" t="s">
        <v>478</v>
      </c>
      <c r="AM44" s="130"/>
      <c r="AN44" s="130" t="str">
        <f t="shared" si="28"/>
        <v xml:space="preserve">Наименование признака дифференциации</v>
      </c>
      <c r="AO44" s="130"/>
      <c r="AP44" s="130"/>
      <c r="AQ44" s="50">
        <v>23</v>
      </c>
    </row>
    <row r="45" ht="24" customHeight="1">
      <c r="A45" s="480" t="s">
        <v>230</v>
      </c>
      <c r="B45" s="480" t="s">
        <v>231</v>
      </c>
      <c r="C45" s="480" t="s">
        <v>232</v>
      </c>
      <c r="D45" s="480" t="s">
        <v>491</v>
      </c>
      <c r="E45" s="492"/>
      <c r="F45" s="492"/>
      <c r="G45" s="492"/>
      <c r="H45" s="492"/>
      <c r="I45" s="504"/>
      <c r="J45" s="499" t="str">
        <f>I44&amp;".1"</f>
        <v>...1.1</v>
      </c>
      <c r="K45" s="480"/>
      <c r="L45" s="482" t="s">
        <v>400</v>
      </c>
      <c r="P45" s="133"/>
      <c r="Q45" s="133">
        <v>1</v>
      </c>
      <c r="R45" s="505"/>
      <c r="S45" s="485" t="str">
        <f>$J45</f>
        <v>...1.1</v>
      </c>
      <c r="T45" s="506" t="s">
        <v>401</v>
      </c>
      <c r="U45" s="487"/>
      <c r="V45" s="432"/>
      <c r="W45" s="502"/>
      <c r="X45" s="502"/>
      <c r="Y45" s="502"/>
      <c r="Z45" s="502"/>
      <c r="AA45" s="502"/>
      <c r="AB45" s="503"/>
      <c r="AC45" s="432"/>
      <c r="AD45" s="502"/>
      <c r="AE45" s="502"/>
      <c r="AF45" s="502"/>
      <c r="AG45" s="502"/>
      <c r="AH45" s="502"/>
      <c r="AI45" s="502"/>
      <c r="AJ45" s="503"/>
      <c r="AK45" s="618" t="s">
        <v>479</v>
      </c>
      <c r="AM45" s="130"/>
      <c r="AN45" s="130" t="str">
        <f t="shared" si="28"/>
        <v xml:space="preserve">Группа потребителей</v>
      </c>
      <c r="AO45" s="130"/>
      <c r="AP45" s="130"/>
      <c r="AQ45" s="50">
        <v>23</v>
      </c>
    </row>
    <row r="46" ht="24" customHeight="1">
      <c r="A46" s="480" t="s">
        <v>230</v>
      </c>
      <c r="B46" s="480" t="s">
        <v>231</v>
      </c>
      <c r="C46" s="480" t="s">
        <v>232</v>
      </c>
      <c r="D46" s="480" t="s">
        <v>491</v>
      </c>
      <c r="E46" s="492"/>
      <c r="F46" s="492"/>
      <c r="G46" s="492"/>
      <c r="H46" s="492"/>
      <c r="I46" s="504"/>
      <c r="J46" s="504"/>
      <c r="K46" s="499" t="str">
        <f>J45&amp;".1"</f>
        <v>...1.1.1</v>
      </c>
      <c r="L46" s="482"/>
      <c r="P46" s="133"/>
      <c r="Q46" s="133"/>
      <c r="R46" s="505">
        <v>1</v>
      </c>
      <c r="S46" s="485" t="str">
        <f>$K46</f>
        <v>...1.1.1</v>
      </c>
      <c r="T46" s="683"/>
      <c r="U46" s="487"/>
      <c r="V46" s="508"/>
      <c r="W46" s="508"/>
      <c r="X46" s="510"/>
      <c r="Y46" s="511"/>
      <c r="Z46" s="225" t="s">
        <v>64</v>
      </c>
      <c r="AA46" s="511"/>
      <c r="AB46" s="225" t="s">
        <v>64</v>
      </c>
      <c r="AC46" s="508"/>
      <c r="AD46" s="508"/>
      <c r="AE46" s="510"/>
      <c r="AF46" s="511"/>
      <c r="AG46" s="225" t="s">
        <v>64</v>
      </c>
      <c r="AH46" s="571"/>
      <c r="AI46" s="225" t="s">
        <v>64</v>
      </c>
      <c r="AJ46" s="684"/>
      <c r="AK46" s="68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 t="e">
        <f>STRCHECKDATE(V47:AJ47)</f>
        <v>#NAME?</v>
      </c>
      <c r="AM46" s="130"/>
      <c r="AN46" s="130" t="str">
        <f t="shared" si="28"/>
        <v/>
      </c>
      <c r="AO46" s="130"/>
      <c r="AP46" s="130"/>
      <c r="AQ46" s="50">
        <v>23</v>
      </c>
    </row>
    <row r="47" ht="0" customHeight="1">
      <c r="A47" s="480" t="s">
        <v>230</v>
      </c>
      <c r="B47" s="480" t="s">
        <v>231</v>
      </c>
      <c r="C47" s="480" t="s">
        <v>232</v>
      </c>
      <c r="D47" s="480" t="s">
        <v>491</v>
      </c>
      <c r="E47" s="492"/>
      <c r="F47" s="492"/>
      <c r="G47" s="492"/>
      <c r="H47" s="492"/>
      <c r="I47" s="504"/>
      <c r="J47" s="504"/>
      <c r="K47" s="499"/>
      <c r="L47" s="482"/>
      <c r="P47" s="133"/>
      <c r="Q47" s="133"/>
      <c r="R47" s="505"/>
      <c r="S47" s="459"/>
      <c r="T47" s="487"/>
      <c r="U47" s="487"/>
      <c r="V47" s="509"/>
      <c r="W47" s="509"/>
      <c r="X47" s="513" t="str">
        <f>Y46&amp;"-"&amp;AA46</f>
        <v>-</v>
      </c>
      <c r="Y47" s="514"/>
      <c r="Z47" s="225"/>
      <c r="AA47" s="514"/>
      <c r="AB47" s="225"/>
      <c r="AC47" s="509"/>
      <c r="AD47" s="509"/>
      <c r="AE47" s="513" t="str">
        <f>AF46&amp;"-"&amp;AH46</f>
        <v>-</v>
      </c>
      <c r="AF47" s="514"/>
      <c r="AG47" s="225"/>
      <c r="AH47" s="573"/>
      <c r="AI47" s="225"/>
      <c r="AJ47" s="686"/>
      <c r="AK47" s="685"/>
      <c r="AM47" s="130"/>
      <c r="AN47" s="130" t="str">
        <f t="shared" si="28"/>
        <v/>
      </c>
      <c r="AO47" s="130"/>
      <c r="AP47" s="130"/>
      <c r="AQ47" s="50">
        <v>0</v>
      </c>
    </row>
    <row r="48" ht="21" customHeight="1">
      <c r="A48" s="480" t="s">
        <v>230</v>
      </c>
      <c r="B48" s="480" t="s">
        <v>231</v>
      </c>
      <c r="C48" s="480" t="s">
        <v>232</v>
      </c>
      <c r="D48" s="480" t="s">
        <v>491</v>
      </c>
      <c r="E48" s="492"/>
      <c r="F48" s="492"/>
      <c r="G48" s="492"/>
      <c r="H48" s="492"/>
      <c r="I48" s="504"/>
      <c r="J48" s="499"/>
      <c r="K48" s="480"/>
      <c r="L48" s="482"/>
      <c r="P48" s="133"/>
      <c r="Q48" s="133"/>
      <c r="R48" s="500"/>
      <c r="S48" s="516"/>
      <c r="T48" s="520" t="s">
        <v>480</v>
      </c>
      <c r="U48" s="215"/>
      <c r="V48" s="215"/>
      <c r="W48" s="215"/>
      <c r="X48" s="215"/>
      <c r="Y48" s="215"/>
      <c r="Z48" s="215"/>
      <c r="AA48" s="215"/>
      <c r="AB48" s="215"/>
      <c r="AC48" s="215"/>
      <c r="AD48" s="215"/>
      <c r="AE48" s="215"/>
      <c r="AF48" s="215"/>
      <c r="AG48" s="215"/>
      <c r="AH48" s="215"/>
      <c r="AI48" s="215"/>
      <c r="AJ48" s="215"/>
      <c r="AK48" s="491" t="s">
        <v>481</v>
      </c>
      <c r="AM48" s="130"/>
      <c r="AN48" s="130" t="str">
        <f t="shared" si="28"/>
        <v xml:space="preserve">Добавить значение признака дифференциации</v>
      </c>
      <c r="AO48" s="130"/>
      <c r="AP48" s="130"/>
      <c r="AQ48" s="50">
        <v>20</v>
      </c>
    </row>
    <row r="49" ht="22" customHeight="1">
      <c r="A49" s="480" t="s">
        <v>230</v>
      </c>
      <c r="B49" s="480" t="s">
        <v>231</v>
      </c>
      <c r="C49" s="480" t="s">
        <v>232</v>
      </c>
      <c r="D49" s="480" t="s">
        <v>491</v>
      </c>
      <c r="E49" s="492"/>
      <c r="F49" s="492"/>
      <c r="G49" s="492"/>
      <c r="H49" s="492"/>
      <c r="I49" s="499"/>
      <c r="J49" s="480"/>
      <c r="K49" s="480"/>
      <c r="L49" s="482"/>
      <c r="P49" s="133"/>
      <c r="Q49" s="133"/>
      <c r="R49" s="500"/>
      <c r="S49" s="516"/>
      <c r="T49" s="524" t="s">
        <v>406</v>
      </c>
      <c r="U49" s="215"/>
      <c r="V49" s="215"/>
      <c r="W49" s="215"/>
      <c r="X49" s="215"/>
      <c r="Y49" s="215"/>
      <c r="Z49" s="215"/>
      <c r="AA49" s="215"/>
      <c r="AB49" s="521"/>
      <c r="AC49" s="215"/>
      <c r="AD49" s="215"/>
      <c r="AE49" s="215"/>
      <c r="AF49" s="215"/>
      <c r="AG49" s="215"/>
      <c r="AH49" s="215"/>
      <c r="AI49" s="521"/>
      <c r="AJ49" s="215"/>
      <c r="AK49" s="687"/>
      <c r="AM49" s="130"/>
      <c r="AN49" s="130" t="str">
        <f t="shared" si="28"/>
        <v xml:space="preserve">Добавить группу потребителей</v>
      </c>
      <c r="AO49" s="130"/>
      <c r="AP49" s="130"/>
      <c r="AQ49" s="50">
        <v>21</v>
      </c>
    </row>
    <row r="50" ht="22" customHeight="1">
      <c r="A50" s="480" t="s">
        <v>230</v>
      </c>
      <c r="B50" s="480" t="s">
        <v>231</v>
      </c>
      <c r="C50" s="480" t="s">
        <v>232</v>
      </c>
      <c r="D50" s="480" t="s">
        <v>491</v>
      </c>
      <c r="E50" s="492"/>
      <c r="F50" s="492"/>
      <c r="G50" s="492"/>
      <c r="H50" s="481"/>
      <c r="I50" s="480"/>
      <c r="J50" s="480"/>
      <c r="K50" s="480"/>
      <c r="L50" s="482"/>
      <c r="M50" s="483"/>
      <c r="N50" s="483"/>
      <c r="O50" s="53"/>
      <c r="P50" s="144"/>
      <c r="Q50" s="523"/>
      <c r="R50" s="484"/>
      <c r="S50" s="516"/>
      <c r="T50" s="688" t="s">
        <v>482</v>
      </c>
      <c r="U50" s="215"/>
      <c r="V50" s="215"/>
      <c r="W50" s="215"/>
      <c r="X50" s="215"/>
      <c r="Y50" s="215"/>
      <c r="Z50" s="215"/>
      <c r="AA50" s="215"/>
      <c r="AB50" s="521"/>
      <c r="AC50" s="215"/>
      <c r="AD50" s="215"/>
      <c r="AE50" s="215"/>
      <c r="AF50" s="215"/>
      <c r="AG50" s="215"/>
      <c r="AH50" s="215"/>
      <c r="AI50" s="521"/>
      <c r="AJ50" s="215"/>
      <c r="AK50" s="522"/>
      <c r="AM50" s="130"/>
      <c r="AN50" s="130" t="str">
        <f t="shared" si="28"/>
        <v xml:space="preserve">Добавить наименование признака дифференциации</v>
      </c>
      <c r="AO50" s="130"/>
      <c r="AP50" s="130"/>
      <c r="AQ50" s="50">
        <v>21</v>
      </c>
    </row>
    <row r="51" s="57" customFormat="1" ht="0" customHeight="1">
      <c r="A51" s="134" t="s">
        <v>230</v>
      </c>
      <c r="B51" s="134" t="s">
        <v>231</v>
      </c>
      <c r="C51" s="134"/>
      <c r="D51" s="134"/>
      <c r="E51" s="492"/>
      <c r="F51" s="481"/>
      <c r="G51" s="134"/>
      <c r="H51" s="134"/>
      <c r="I51" s="134"/>
      <c r="J51" s="134"/>
      <c r="K51" s="134"/>
      <c r="L51" s="213"/>
      <c r="M51" s="529"/>
      <c r="N51" s="529"/>
      <c r="P51" s="168"/>
      <c r="Q51" s="525"/>
      <c r="R51" s="168"/>
      <c r="S51" s="530"/>
      <c r="T51" s="533" t="s">
        <v>409</v>
      </c>
      <c r="U51" s="532"/>
      <c r="V51" s="532"/>
      <c r="W51" s="532"/>
      <c r="X51" s="532"/>
      <c r="Y51" s="532"/>
      <c r="Z51" s="532"/>
      <c r="AA51" s="532"/>
      <c r="AB51" s="532"/>
      <c r="AC51" s="532"/>
      <c r="AD51" s="532"/>
      <c r="AE51" s="532"/>
      <c r="AF51" s="532"/>
      <c r="AG51" s="532"/>
      <c r="AH51" s="532"/>
      <c r="AI51" s="532"/>
      <c r="AJ51" s="532"/>
      <c r="AK51" s="532"/>
      <c r="AM51" s="130"/>
      <c r="AN51" s="130" t="str">
        <f t="shared" si="28"/>
        <v xml:space="preserve">Добавить централизованную систему для дифференциации</v>
      </c>
      <c r="AO51" s="130"/>
      <c r="AP51" s="130"/>
      <c r="AQ51" s="57">
        <v>0</v>
      </c>
    </row>
    <row r="52" s="57" customFormat="1" ht="0" customHeight="1">
      <c r="A52" s="134" t="s">
        <v>230</v>
      </c>
      <c r="B52" s="134"/>
      <c r="C52" s="134"/>
      <c r="D52" s="134"/>
      <c r="E52" s="481"/>
      <c r="F52" s="134"/>
      <c r="G52" s="134"/>
      <c r="H52" s="134"/>
      <c r="I52" s="134"/>
      <c r="J52" s="134"/>
      <c r="K52" s="134"/>
      <c r="L52" s="213"/>
      <c r="M52" s="529"/>
      <c r="N52" s="529"/>
      <c r="O52" s="57"/>
      <c r="P52" s="168"/>
      <c r="Q52" s="525"/>
      <c r="R52" s="168"/>
      <c r="S52" s="530"/>
      <c r="T52" s="533" t="s">
        <v>410</v>
      </c>
      <c r="U52" s="532"/>
      <c r="V52" s="532"/>
      <c r="W52" s="532"/>
      <c r="X52" s="532"/>
      <c r="Y52" s="532"/>
      <c r="Z52" s="532"/>
      <c r="AA52" s="532"/>
      <c r="AB52" s="532"/>
      <c r="AC52" s="532"/>
      <c r="AD52" s="532"/>
      <c r="AE52" s="532"/>
      <c r="AF52" s="532"/>
      <c r="AG52" s="532"/>
      <c r="AH52" s="532"/>
      <c r="AI52" s="532"/>
      <c r="AJ52" s="532"/>
      <c r="AK52" s="532"/>
      <c r="AM52" s="130"/>
      <c r="AN52" s="130" t="str">
        <f t="shared" si="28"/>
        <v xml:space="preserve">Добавить территорию для дифференциации</v>
      </c>
      <c r="AO52" s="130"/>
      <c r="AP52" s="130"/>
      <c r="AQ52" s="57">
        <v>0</v>
      </c>
    </row>
    <row r="53" s="57" customFormat="1" ht="0" customHeight="1">
      <c r="A53" s="134"/>
      <c r="B53" s="134"/>
      <c r="C53" s="134"/>
      <c r="D53" s="134"/>
      <c r="E53" s="134"/>
      <c r="F53" s="134"/>
      <c r="G53" s="134"/>
      <c r="H53" s="134"/>
      <c r="I53" s="134"/>
      <c r="J53" s="134"/>
      <c r="K53" s="134"/>
      <c r="L53" s="213"/>
      <c r="M53" s="529"/>
      <c r="N53" s="529"/>
      <c r="P53" s="168"/>
      <c r="Q53" s="525"/>
      <c r="R53" s="168"/>
      <c r="S53" s="530"/>
      <c r="T53" s="533" t="s">
        <v>442</v>
      </c>
      <c r="U53" s="532"/>
      <c r="V53" s="532"/>
      <c r="W53" s="532"/>
      <c r="X53" s="532"/>
      <c r="Y53" s="532"/>
      <c r="Z53" s="532"/>
      <c r="AA53" s="532"/>
      <c r="AB53" s="532"/>
      <c r="AC53" s="532"/>
      <c r="AD53" s="532"/>
      <c r="AE53" s="532"/>
      <c r="AF53" s="532"/>
      <c r="AG53" s="532"/>
      <c r="AH53" s="532"/>
      <c r="AI53" s="532"/>
      <c r="AJ53" s="532"/>
      <c r="AK53" s="532"/>
      <c r="AM53" s="130"/>
      <c r="AN53" s="130" t="str">
        <f t="shared" si="28"/>
        <v xml:space="preserve">Добавить наименование тарифа</v>
      </c>
      <c r="AO53" s="130"/>
      <c r="AP53" s="130"/>
      <c r="AQ53" s="57">
        <v>0</v>
      </c>
    </row>
    <row r="54" ht="11.5" customHeight="1">
      <c r="M54" s="53"/>
      <c r="N54" s="53"/>
      <c r="O54" s="53"/>
      <c r="P54" s="50"/>
      <c r="Q54" s="50"/>
      <c r="R54" s="50"/>
      <c r="S54" s="50"/>
      <c r="AL54" s="50"/>
      <c r="AM54" s="50"/>
      <c r="AN54" s="50"/>
      <c r="AO54" s="50"/>
      <c r="AP54" s="50"/>
      <c r="AQ54" s="50">
        <v>11</v>
      </c>
    </row>
    <row r="55" ht="14.65" customHeight="1">
      <c r="O55" s="53"/>
      <c r="S55" s="477"/>
      <c r="T55" s="575"/>
      <c r="U55" s="575"/>
      <c r="V55" s="575"/>
      <c r="W55" s="575"/>
      <c r="X55" s="575"/>
      <c r="Y55" s="575"/>
      <c r="Z55" s="575"/>
      <c r="AA55" s="575"/>
      <c r="AB55" s="575"/>
      <c r="AC55" s="575"/>
      <c r="AD55" s="575"/>
      <c r="AE55" s="575"/>
      <c r="AF55" s="575"/>
      <c r="AG55" s="575"/>
      <c r="AH55" s="575"/>
      <c r="AI55" s="575"/>
      <c r="AJ55" s="575"/>
      <c r="AK55" s="575"/>
      <c r="AQ55" s="50">
        <v>14</v>
      </c>
    </row>
    <row r="56" ht="14.65" customHeight="1">
      <c r="O56" s="53"/>
      <c r="AQ56" s="50">
        <v>14</v>
      </c>
    </row>
    <row r="57" ht="14.65" customHeight="1">
      <c r="O57" s="53"/>
      <c r="S57" s="477"/>
      <c r="T57" s="575"/>
      <c r="U57" s="575"/>
      <c r="V57" s="575"/>
      <c r="W57" s="575"/>
      <c r="X57" s="575"/>
      <c r="Y57" s="575"/>
      <c r="Z57" s="575"/>
      <c r="AA57" s="575"/>
      <c r="AB57" s="575"/>
      <c r="AC57" s="575"/>
      <c r="AD57" s="575"/>
      <c r="AE57" s="575"/>
      <c r="AF57" s="575"/>
      <c r="AG57" s="575"/>
      <c r="AH57" s="575"/>
      <c r="AI57" s="575"/>
      <c r="AJ57" s="575"/>
      <c r="AK57" s="575"/>
      <c r="AQ57" s="50">
        <v>14</v>
      </c>
    </row>
    <row r="58" ht="22.5" hidden="1" customHeight="1">
      <c r="A58" s="53" t="s">
        <v>81</v>
      </c>
      <c r="B58" s="53">
        <v>0</v>
      </c>
      <c r="C58" s="53">
        <v>0</v>
      </c>
      <c r="D58" s="53">
        <v>0</v>
      </c>
      <c r="E58" s="53">
        <v>0</v>
      </c>
      <c r="F58" s="53">
        <v>0</v>
      </c>
      <c r="G58" s="53">
        <v>0</v>
      </c>
      <c r="H58" s="53">
        <v>0</v>
      </c>
      <c r="I58" s="53">
        <v>0</v>
      </c>
      <c r="J58" s="53">
        <v>0</v>
      </c>
      <c r="K58" s="53">
        <v>0</v>
      </c>
      <c r="L58" s="114">
        <v>0</v>
      </c>
      <c r="M58" s="61">
        <v>0</v>
      </c>
      <c r="N58" s="61">
        <v>0</v>
      </c>
      <c r="O58" s="61">
        <v>0</v>
      </c>
      <c r="P58" s="60">
        <v>3</v>
      </c>
      <c r="Q58" s="479">
        <v>3</v>
      </c>
      <c r="R58" s="479">
        <v>3</v>
      </c>
      <c r="S58" s="86">
        <v>12</v>
      </c>
      <c r="T58" s="50">
        <v>35</v>
      </c>
      <c r="U58" s="50">
        <v>0</v>
      </c>
      <c r="V58" s="50">
        <v>0</v>
      </c>
      <c r="W58" s="50">
        <v>0</v>
      </c>
      <c r="X58" s="50">
        <v>0</v>
      </c>
      <c r="Y58" s="50">
        <v>0</v>
      </c>
      <c r="Z58" s="50">
        <v>0</v>
      </c>
      <c r="AA58" s="50">
        <v>0</v>
      </c>
      <c r="AB58" s="50">
        <v>0</v>
      </c>
      <c r="AC58" s="50">
        <v>24</v>
      </c>
      <c r="AD58" s="50">
        <v>24</v>
      </c>
      <c r="AE58" s="50">
        <v>24</v>
      </c>
      <c r="AF58" s="50">
        <v>11</v>
      </c>
      <c r="AG58" s="50">
        <v>3</v>
      </c>
      <c r="AH58" s="50">
        <v>11</v>
      </c>
      <c r="AI58" s="50">
        <v>0</v>
      </c>
      <c r="AJ58" s="50">
        <v>4</v>
      </c>
      <c r="AK58" s="50">
        <v>115</v>
      </c>
      <c r="AL58" s="57">
        <v>10</v>
      </c>
      <c r="AM58" s="57">
        <v>10</v>
      </c>
      <c r="AN58" s="57">
        <v>10</v>
      </c>
      <c r="AO58" s="57">
        <v>10</v>
      </c>
      <c r="AP58" s="57">
        <v>10</v>
      </c>
      <c r="AQ58" s="50">
        <v>23</v>
      </c>
    </row>
  </sheetData>
  <sheetProtection autoFilter="0" deleteColumns="1" deleteRows="1" formatCells="1" formatColumns="0" formatRows="0" insertColumns="1" insertHyperlinks="1" insertRows="1" objects="0" pivotTables="1" scenarios="0" selectLockedCells="0" selectUnlockedCells="0" sheet="1" sort="1"/>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Z7:Z8"/>
    <mergeCell ref="AA7:AA8"/>
    <mergeCell ref="AB7:AB8"/>
    <mergeCell ref="AF7:AF8"/>
    <mergeCell ref="AG7:AG8"/>
    <mergeCell ref="AH7:AH8"/>
    <mergeCell ref="AI7:AI8"/>
    <mergeCell ref="AK7:AK8"/>
    <mergeCell ref="AF15:AF16"/>
    <mergeCell ref="AG15:AG16"/>
    <mergeCell ref="AH15:AH16"/>
    <mergeCell ref="AI15:AI16"/>
    <mergeCell ref="S24:AH24"/>
    <mergeCell ref="S25:AH25"/>
    <mergeCell ref="S27:T27"/>
    <mergeCell ref="V27:AA27"/>
    <mergeCell ref="AC27:AH27"/>
    <mergeCell ref="S28:T28"/>
    <mergeCell ref="V28:AA28"/>
    <mergeCell ref="AC28:AH28"/>
    <mergeCell ref="S29:T29"/>
    <mergeCell ref="V29:AA29"/>
    <mergeCell ref="AC29:AH29"/>
    <mergeCell ref="S30:T30"/>
    <mergeCell ref="V30:AA30"/>
    <mergeCell ref="AC30:AH30"/>
    <mergeCell ref="S32:T32"/>
    <mergeCell ref="V32:AA32"/>
    <mergeCell ref="AC32:AH32"/>
    <mergeCell ref="S33:T33"/>
    <mergeCell ref="V33:AA33"/>
    <mergeCell ref="AC33:AH33"/>
    <mergeCell ref="V35:AB35"/>
    <mergeCell ref="AC35:AI35"/>
    <mergeCell ref="S36:AJ36"/>
    <mergeCell ref="AK36:AK39"/>
    <mergeCell ref="S37:S39"/>
    <mergeCell ref="T37:T39"/>
    <mergeCell ref="V37:AA37"/>
    <mergeCell ref="AB37:AB39"/>
    <mergeCell ref="AC37:AH37"/>
    <mergeCell ref="AI37:AI39"/>
    <mergeCell ref="AJ37:AJ39"/>
    <mergeCell ref="W38:X38"/>
    <mergeCell ref="Y38:AA38"/>
    <mergeCell ref="AD38:AE38"/>
    <mergeCell ref="AF38:AH38"/>
    <mergeCell ref="Z39:AA39"/>
    <mergeCell ref="AG39:AH39"/>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K46:K47"/>
    <mergeCell ref="Y46:Y47"/>
    <mergeCell ref="Z46:Z47"/>
    <mergeCell ref="AA46:AA47"/>
    <mergeCell ref="AB46:AB47"/>
    <mergeCell ref="AF46:AF47"/>
    <mergeCell ref="AG46:AG47"/>
    <mergeCell ref="AH46:AH47"/>
    <mergeCell ref="AI46:AI47"/>
    <mergeCell ref="AK46:AK47"/>
    <mergeCell ref="T55:AK55"/>
    <mergeCell ref="T57:AK57"/>
  </mergeCells>
  <dataValidations count="4" disablePrompts="0">
    <dataValidation sqref="S131116:AK131122 S196652:AK196658 S262188:AK262194 S327724:AK327730 S393260:AK393266 S458796:AK458802 S524332:AK524338 S589868:AK589874 S655404:AK655410 S720940:AK720946 S786476:AK786482 S852012:AK852018 S917548:AK917554 S983084:AK983090 S65580:AK65586" type="none" allowBlank="1" errorStyle="stop" imeMode="noControl" operator="between" showDropDown="0" showErrorMessage="0" showInputMessage="0"/>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type="none" allowBlank="1" errorStyle="stop" imeMode="noControl" operator="between" promptTitle="checkPeriodRange"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34000F-0065-46BD-971A-00EC005E003B}"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 xr:uid="{001E00DD-000A-4395-8929-0017002F0019}" type="list" allowBlank="1" error="Выберите значение из списка" errorStyle="stop" errorTitle="Ошибка" imeMode="noControl" operator="between" showDropDown="0" showErrorMessage="1" showInputMessage="1">
          <x14:formula1>
            <xm:f>kind_of_heat_transfer</xm:f>
          </x14:formula1>
          <xm:sqref>T65578 T131114 T196650 T262186 T327722 T393258 T458794 T524330 T589866 T655402 T720938 T786474 T852010 T917546 T983082</xm:sqref>
        </x14:dataValidation>
        <x14:dataValidation xr:uid="{000C0057-0032-4CDD-A2FF-00B400400014}" type="textLength" allowBlank="1" error="Допускается ввод не более 900 символов!" errorStyle="stop" errorTitle="Ошибка" imeMode="noControl" operator="lessThanOrEqual" showDropDown="0"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xm:sqref>
        </x14:dataValidation>
        <x14:dataValidation xr:uid="{004C00E2-00EB-4C11-869B-00E80006002E}" type="list" allowBlank="1" error="Выберите значение из списка" errorStyle="stop" errorTitle="Ошибка" imeMode="noControl" operator="between" showDropDown="0"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s>
    </ext>
  </extLst>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8" ySplit="40" topLeftCell="AC41"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4.140625"/>
    <col customWidth="1" hidden="1" min="10" max="10" style="53" width="9.8515625"/>
    <col customWidth="1" hidden="1" min="11" max="11" style="53" width="14.7109375"/>
    <col customWidth="1" hidden="1" min="12" max="12" style="114" width="19.140625"/>
    <col customWidth="1" hidden="1" min="13" max="14" style="61" width="12.28125"/>
    <col customWidth="1" hidden="1" min="15" max="15" style="61" width="23.421875"/>
    <col customWidth="1" min="16" max="16" style="60" width="3.00390625"/>
    <col customWidth="1" min="17" max="18" style="479" width="3.00390625"/>
    <col customWidth="1" min="19" max="19" style="86" width="12.00390625"/>
    <col customWidth="1" min="20" max="20" style="50" width="35.00390625"/>
    <col customWidth="1" min="21" max="21" style="50" width="0.140625"/>
    <col customWidth="1" hidden="1" min="22" max="24" style="50" width="24.7109375"/>
    <col customWidth="1" hidden="1" min="25" max="25" style="50" width="11.7109375"/>
    <col customWidth="1" hidden="1" min="26" max="26" style="50" width="3.7109375"/>
    <col customWidth="1" hidden="1" min="27" max="27" style="50" width="11.7109375"/>
    <col customWidth="1" hidden="1" min="28" max="28" style="50" width="8.57421875"/>
    <col customWidth="1" min="29" max="29" style="50" width="24.7109375"/>
    <col customWidth="1" min="30" max="31" style="50" width="24.00390625"/>
    <col customWidth="1" min="32" max="32" style="50" width="11.00390625"/>
    <col customWidth="1" min="33" max="33" style="50" width="3.7109375"/>
    <col customWidth="1" min="34" max="34" style="50" width="11.00390625"/>
    <col customWidth="1" hidden="1" min="35" max="35" style="50" width="8.57421875"/>
    <col customWidth="1" min="36" max="36" style="50" width="4.00390625"/>
    <col customWidth="1" min="37" max="37" style="50" width="115.00390625"/>
    <col customWidth="1" min="38" max="42" style="57" width="10.00390625"/>
    <col hidden="1" min="43" max="43" style="50" width="10.57421875"/>
  </cols>
  <sheetData>
    <row r="1" ht="22.5" hidden="1" customHeight="1">
      <c r="X1" s="50"/>
      <c r="Y1" s="50"/>
      <c r="AE1" s="50"/>
      <c r="AF1" s="50"/>
      <c r="AQ1" s="50" t="s">
        <v>14</v>
      </c>
    </row>
    <row r="2" ht="23.25" hidden="1" customHeight="1">
      <c r="A2" s="480"/>
      <c r="B2" s="480"/>
      <c r="C2" s="480"/>
      <c r="D2" s="480"/>
      <c r="E2" s="481">
        <v>1</v>
      </c>
      <c r="F2" s="480"/>
      <c r="G2" s="480"/>
      <c r="H2" s="480"/>
      <c r="I2" s="480"/>
      <c r="J2" s="480"/>
      <c r="K2" s="480"/>
      <c r="L2" s="482"/>
      <c r="M2" s="483"/>
      <c r="N2" s="483"/>
      <c r="O2" s="483"/>
      <c r="P2" s="60"/>
      <c r="Q2" s="144"/>
      <c r="R2" s="484"/>
      <c r="S2" s="485" t="e">
        <f>INDEX(PT_DIFFERENTIATION_NUM_NTAR,MATCH(A2,PT_DIFFERENTIATION_NTAR_ID,0))</f>
        <v>#VALUE!</v>
      </c>
      <c r="T2" s="486" t="s">
        <v>119</v>
      </c>
      <c r="U2" s="487"/>
      <c r="V2" s="488"/>
      <c r="W2" s="489"/>
      <c r="X2" s="489"/>
      <c r="Y2" s="489"/>
      <c r="Z2" s="489"/>
      <c r="AA2" s="489"/>
      <c r="AB2" s="490"/>
      <c r="AC2" s="488" t="e">
        <f>INDEX(PT_DIFFERENTIATION_NTAR,MATCH(A2,PT_DIFFERENTIATION_NTAR_ID,0))</f>
        <v>#VALUE!</v>
      </c>
      <c r="AD2" s="489"/>
      <c r="AE2" s="489"/>
      <c r="AF2" s="489"/>
      <c r="AG2" s="489"/>
      <c r="AH2" s="489"/>
      <c r="AI2" s="489"/>
      <c r="AJ2" s="490"/>
      <c r="AK2" s="49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130"/>
      <c r="AN2" s="130" t="str">
        <f t="shared" ref="AN2:AN9" si="29">IF(T2="","",T2)</f>
        <v xml:space="preserve">Наименование тарифа</v>
      </c>
      <c r="AO2" s="130"/>
      <c r="AP2" s="130"/>
      <c r="AQ2" s="50">
        <v>0</v>
      </c>
    </row>
    <row r="3" ht="23.25" hidden="1" customHeight="1">
      <c r="A3" s="480"/>
      <c r="B3" s="480"/>
      <c r="C3" s="480"/>
      <c r="D3" s="480"/>
      <c r="E3" s="492"/>
      <c r="F3" s="481">
        <v>1</v>
      </c>
      <c r="G3" s="480"/>
      <c r="H3" s="480"/>
      <c r="I3" s="480"/>
      <c r="J3" s="480"/>
      <c r="K3" s="480"/>
      <c r="L3" s="482"/>
      <c r="M3" s="483"/>
      <c r="N3" s="483"/>
      <c r="O3" s="483"/>
      <c r="P3" s="51"/>
      <c r="Q3" s="493"/>
      <c r="R3" s="494"/>
      <c r="S3" s="485" t="e">
        <f>INDEX(PT_DIFFERENTIATION_NUM_TER,MATCH(B3,PT_DIFFERENTIATION_TER_ID,0))</f>
        <v>#VALUE!</v>
      </c>
      <c r="T3" s="495" t="s">
        <v>391</v>
      </c>
      <c r="U3" s="487"/>
      <c r="V3" s="488"/>
      <c r="W3" s="489"/>
      <c r="X3" s="489"/>
      <c r="Y3" s="489"/>
      <c r="Z3" s="489"/>
      <c r="AA3" s="489"/>
      <c r="AB3" s="490"/>
      <c r="AC3" s="488" t="e">
        <f>INDEX(PT_DIFFERENTIATION_TER,MATCH(B3,PT_DIFFERENTIATION_TER_ID,0))</f>
        <v>#VALUE!</v>
      </c>
      <c r="AD3" s="489"/>
      <c r="AE3" s="489"/>
      <c r="AF3" s="489"/>
      <c r="AG3" s="489"/>
      <c r="AH3" s="489"/>
      <c r="AI3" s="489"/>
      <c r="AJ3" s="490"/>
      <c r="AK3" s="491" t="s">
        <v>392</v>
      </c>
      <c r="AM3" s="130"/>
      <c r="AN3" s="130" t="str">
        <f t="shared" si="29"/>
        <v xml:space="preserve">Территория действия тарифа</v>
      </c>
      <c r="AO3" s="130"/>
      <c r="AP3" s="130"/>
      <c r="AQ3" s="50">
        <v>0</v>
      </c>
    </row>
    <row r="4" ht="23.25" hidden="1" customHeight="1">
      <c r="A4" s="480"/>
      <c r="B4" s="480"/>
      <c r="C4" s="480"/>
      <c r="D4" s="480"/>
      <c r="E4" s="492"/>
      <c r="F4" s="492"/>
      <c r="G4" s="481">
        <v>1</v>
      </c>
      <c r="H4" s="480"/>
      <c r="I4" s="480"/>
      <c r="J4" s="480"/>
      <c r="K4" s="480"/>
      <c r="L4" s="482"/>
      <c r="M4" s="483"/>
      <c r="N4" s="483"/>
      <c r="O4" s="483"/>
      <c r="P4" s="496"/>
      <c r="Q4" s="493"/>
      <c r="R4" s="494"/>
      <c r="S4" s="485" t="e">
        <f>INDEX(PT_DIFFERENTIATION_NUM_CS,MATCH(C4,PT_DIFFERENTIATION_CS_ID,0))</f>
        <v>#VALUE!</v>
      </c>
      <c r="T4" s="497" t="s">
        <v>475</v>
      </c>
      <c r="U4" s="487"/>
      <c r="V4" s="488"/>
      <c r="W4" s="489"/>
      <c r="X4" s="489"/>
      <c r="Y4" s="489"/>
      <c r="Z4" s="489"/>
      <c r="AA4" s="489"/>
      <c r="AB4" s="490"/>
      <c r="AC4" s="488" t="e">
        <f>INDEX(PT_DIFFERENTIATION_CS,MATCH(C4,PT_DIFFERENTIATION_CS_ID,0))</f>
        <v>#VALUE!</v>
      </c>
      <c r="AD4" s="489"/>
      <c r="AE4" s="489"/>
      <c r="AF4" s="489"/>
      <c r="AG4" s="489"/>
      <c r="AH4" s="489"/>
      <c r="AI4" s="489"/>
      <c r="AJ4" s="490"/>
      <c r="AK4" s="491" t="s">
        <v>476</v>
      </c>
      <c r="AM4" s="130"/>
      <c r="AN4" s="130" t="str">
        <f t="shared" si="29"/>
        <v xml:space="preserve">Наименование централизованной системы холодного водоснабжения</v>
      </c>
      <c r="AO4" s="130"/>
      <c r="AP4" s="130"/>
      <c r="AQ4" s="50">
        <v>0</v>
      </c>
    </row>
    <row r="5" ht="23.25" hidden="1" customHeight="1">
      <c r="A5" s="480"/>
      <c r="B5" s="480"/>
      <c r="C5" s="480"/>
      <c r="D5" s="480"/>
      <c r="E5" s="492"/>
      <c r="F5" s="492"/>
      <c r="G5" s="492"/>
      <c r="H5" s="492"/>
      <c r="I5" s="499" t="e">
        <f>S4&amp;".1"</f>
        <v>#VALUE!</v>
      </c>
      <c r="J5" s="480"/>
      <c r="K5" s="480"/>
      <c r="L5" s="482"/>
      <c r="P5" s="133">
        <v>1</v>
      </c>
      <c r="Q5" s="133"/>
      <c r="R5" s="500"/>
      <c r="S5" s="485" t="e">
        <f>$I5</f>
        <v>#VALUE!</v>
      </c>
      <c r="T5" s="501" t="s">
        <v>477</v>
      </c>
      <c r="U5" s="487"/>
      <c r="V5" s="677"/>
      <c r="W5" s="678"/>
      <c r="X5" s="678"/>
      <c r="Y5" s="678"/>
      <c r="Z5" s="678"/>
      <c r="AA5" s="678"/>
      <c r="AB5" s="679"/>
      <c r="AC5" s="680"/>
      <c r="AD5" s="681"/>
      <c r="AE5" s="681"/>
      <c r="AF5" s="681"/>
      <c r="AG5" s="681"/>
      <c r="AH5" s="681"/>
      <c r="AI5" s="681"/>
      <c r="AJ5" s="682"/>
      <c r="AK5" s="491" t="s">
        <v>478</v>
      </c>
      <c r="AM5" s="130"/>
      <c r="AN5" s="130" t="str">
        <f t="shared" si="29"/>
        <v xml:space="preserve">Наименование признака дифференциации</v>
      </c>
      <c r="AO5" s="130"/>
      <c r="AP5" s="130"/>
      <c r="AQ5" s="50">
        <v>0</v>
      </c>
    </row>
    <row r="6" ht="23.25" hidden="1" customHeight="1">
      <c r="A6" s="480"/>
      <c r="B6" s="480"/>
      <c r="C6" s="480"/>
      <c r="D6" s="480"/>
      <c r="E6" s="492"/>
      <c r="F6" s="492"/>
      <c r="G6" s="492"/>
      <c r="H6" s="492"/>
      <c r="I6" s="504"/>
      <c r="J6" s="499" t="e">
        <f>I5&amp;".1"</f>
        <v>#VALUE!</v>
      </c>
      <c r="K6" s="480"/>
      <c r="L6" s="482" t="s">
        <v>400</v>
      </c>
      <c r="P6" s="133"/>
      <c r="Q6" s="133">
        <v>1</v>
      </c>
      <c r="R6" s="505"/>
      <c r="S6" s="485" t="e">
        <f>$J6</f>
        <v>#VALUE!</v>
      </c>
      <c r="T6" s="506" t="s">
        <v>401</v>
      </c>
      <c r="U6" s="487"/>
      <c r="V6" s="432"/>
      <c r="W6" s="502"/>
      <c r="X6" s="502"/>
      <c r="Y6" s="502"/>
      <c r="Z6" s="502"/>
      <c r="AA6" s="502"/>
      <c r="AB6" s="503"/>
      <c r="AC6" s="432"/>
      <c r="AD6" s="502"/>
      <c r="AE6" s="502"/>
      <c r="AF6" s="502"/>
      <c r="AG6" s="502"/>
      <c r="AH6" s="502"/>
      <c r="AI6" s="502"/>
      <c r="AJ6" s="503"/>
      <c r="AK6" s="618" t="s">
        <v>479</v>
      </c>
      <c r="AM6" s="130"/>
      <c r="AN6" s="130" t="str">
        <f t="shared" si="29"/>
        <v xml:space="preserve">Группа потребителей</v>
      </c>
      <c r="AO6" s="130"/>
      <c r="AP6" s="130"/>
      <c r="AQ6" s="50">
        <v>0</v>
      </c>
    </row>
    <row r="7" ht="23.25" hidden="1" customHeight="1">
      <c r="A7" s="480"/>
      <c r="B7" s="480"/>
      <c r="C7" s="480"/>
      <c r="D7" s="480"/>
      <c r="E7" s="492"/>
      <c r="F7" s="492"/>
      <c r="G7" s="492"/>
      <c r="H7" s="492"/>
      <c r="I7" s="504"/>
      <c r="J7" s="504"/>
      <c r="K7" s="499" t="e">
        <f>J6&amp;".1"</f>
        <v>#VALUE!</v>
      </c>
      <c r="L7" s="482"/>
      <c r="P7" s="133"/>
      <c r="Q7" s="133"/>
      <c r="R7" s="505">
        <v>1</v>
      </c>
      <c r="S7" s="485" t="e">
        <f>$K7</f>
        <v>#VALUE!</v>
      </c>
      <c r="T7" s="683"/>
      <c r="U7" s="487"/>
      <c r="V7" s="508"/>
      <c r="W7" s="508"/>
      <c r="X7" s="510"/>
      <c r="Y7" s="511"/>
      <c r="Z7" s="225" t="s">
        <v>64</v>
      </c>
      <c r="AA7" s="511"/>
      <c r="AB7" s="225" t="s">
        <v>64</v>
      </c>
      <c r="AC7" s="508"/>
      <c r="AD7" s="508"/>
      <c r="AE7" s="510"/>
      <c r="AF7" s="511"/>
      <c r="AG7" s="225" t="s">
        <v>64</v>
      </c>
      <c r="AH7" s="571"/>
      <c r="AI7" s="225" t="s">
        <v>64</v>
      </c>
      <c r="AJ7" s="684"/>
      <c r="AK7" s="68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 t="e">
        <f>STRCHECKDATE(V8:AJ8)</f>
        <v>#NAME?</v>
      </c>
      <c r="AM7" s="130"/>
      <c r="AN7" s="130" t="str">
        <f t="shared" si="29"/>
        <v/>
      </c>
      <c r="AO7" s="130"/>
      <c r="AP7" s="130"/>
      <c r="AQ7" s="50">
        <v>0</v>
      </c>
    </row>
    <row r="8" ht="14.25" hidden="1" customHeight="1">
      <c r="A8" s="480"/>
      <c r="B8" s="480"/>
      <c r="C8" s="480"/>
      <c r="D8" s="480"/>
      <c r="E8" s="492"/>
      <c r="F8" s="492"/>
      <c r="G8" s="492"/>
      <c r="H8" s="492"/>
      <c r="I8" s="504"/>
      <c r="J8" s="504"/>
      <c r="K8" s="499"/>
      <c r="L8" s="482"/>
      <c r="P8" s="133"/>
      <c r="Q8" s="133"/>
      <c r="R8" s="505"/>
      <c r="S8" s="459"/>
      <c r="T8" s="487"/>
      <c r="U8" s="487"/>
      <c r="V8" s="509"/>
      <c r="W8" s="509"/>
      <c r="X8" s="513" t="str">
        <f>Y7&amp;"-"&amp;AA7</f>
        <v>-</v>
      </c>
      <c r="Y8" s="514"/>
      <c r="Z8" s="225"/>
      <c r="AA8" s="514"/>
      <c r="AB8" s="225"/>
      <c r="AC8" s="509"/>
      <c r="AD8" s="509"/>
      <c r="AE8" s="513" t="str">
        <f>AF7&amp;"-"&amp;AH7</f>
        <v>-</v>
      </c>
      <c r="AF8" s="514"/>
      <c r="AG8" s="225"/>
      <c r="AH8" s="573"/>
      <c r="AI8" s="225"/>
      <c r="AJ8" s="686"/>
      <c r="AK8" s="685"/>
      <c r="AM8" s="130"/>
      <c r="AN8" s="130" t="str">
        <f t="shared" si="29"/>
        <v/>
      </c>
      <c r="AO8" s="130"/>
      <c r="AP8" s="130"/>
      <c r="AQ8" s="50">
        <v>0</v>
      </c>
    </row>
    <row r="9" ht="21" hidden="1" customHeight="1">
      <c r="A9" s="480"/>
      <c r="B9" s="480"/>
      <c r="C9" s="480"/>
      <c r="D9" s="480"/>
      <c r="E9" s="492"/>
      <c r="F9" s="492"/>
      <c r="G9" s="492"/>
      <c r="H9" s="492"/>
      <c r="I9" s="504"/>
      <c r="J9" s="499"/>
      <c r="K9" s="480"/>
      <c r="L9" s="482"/>
      <c r="P9" s="133"/>
      <c r="Q9" s="133"/>
      <c r="R9" s="500"/>
      <c r="S9" s="516"/>
      <c r="T9" s="520" t="s">
        <v>480</v>
      </c>
      <c r="U9" s="215"/>
      <c r="V9" s="215"/>
      <c r="W9" s="215"/>
      <c r="X9" s="215"/>
      <c r="Y9" s="215"/>
      <c r="Z9" s="215"/>
      <c r="AA9" s="215"/>
      <c r="AB9" s="215"/>
      <c r="AC9" s="215"/>
      <c r="AD9" s="215"/>
      <c r="AE9" s="215"/>
      <c r="AF9" s="215"/>
      <c r="AG9" s="215"/>
      <c r="AH9" s="215"/>
      <c r="AI9" s="215"/>
      <c r="AJ9" s="215"/>
      <c r="AK9" s="491" t="s">
        <v>481</v>
      </c>
      <c r="AM9" s="130"/>
      <c r="AN9" s="130" t="str">
        <f t="shared" si="29"/>
        <v xml:space="preserve">Добавить значение признака дифференциации</v>
      </c>
      <c r="AO9" s="130"/>
      <c r="AP9" s="130"/>
      <c r="AQ9" s="50">
        <v>0</v>
      </c>
    </row>
    <row r="10" ht="21" hidden="1" customHeight="1">
      <c r="A10" s="480"/>
      <c r="B10" s="480"/>
      <c r="C10" s="480"/>
      <c r="D10" s="480"/>
      <c r="E10" s="492"/>
      <c r="F10" s="492"/>
      <c r="G10" s="492"/>
      <c r="H10" s="492"/>
      <c r="I10" s="499"/>
      <c r="J10" s="480"/>
      <c r="K10" s="480"/>
      <c r="L10" s="482"/>
      <c r="P10" s="133"/>
      <c r="Q10" s="133"/>
      <c r="R10" s="500"/>
      <c r="S10" s="516"/>
      <c r="T10" s="524" t="s">
        <v>406</v>
      </c>
      <c r="U10" s="215"/>
      <c r="V10" s="215"/>
      <c r="W10" s="215"/>
      <c r="X10" s="215"/>
      <c r="Y10" s="215"/>
      <c r="Z10" s="215"/>
      <c r="AA10" s="215"/>
      <c r="AB10" s="521"/>
      <c r="AC10" s="215"/>
      <c r="AD10" s="215"/>
      <c r="AE10" s="215"/>
      <c r="AF10" s="215"/>
      <c r="AG10" s="215"/>
      <c r="AH10" s="215"/>
      <c r="AI10" s="521"/>
      <c r="AJ10" s="215"/>
      <c r="AK10" s="687"/>
      <c r="AM10" s="130"/>
      <c r="AN10" s="130" t="str">
        <f t="shared" ref="AN10:AN53" si="30">IF(T10="","",T10)</f>
        <v xml:space="preserve">Добавить группу потребителей</v>
      </c>
      <c r="AO10" s="130"/>
      <c r="AP10" s="130"/>
      <c r="AQ10" s="50">
        <v>0</v>
      </c>
    </row>
    <row r="11" ht="21" hidden="1" customHeight="1">
      <c r="A11" s="480"/>
      <c r="B11" s="480"/>
      <c r="C11" s="480"/>
      <c r="D11" s="480"/>
      <c r="E11" s="492"/>
      <c r="F11" s="492"/>
      <c r="G11" s="492"/>
      <c r="H11" s="481"/>
      <c r="I11" s="480"/>
      <c r="J11" s="480"/>
      <c r="K11" s="480"/>
      <c r="L11" s="482"/>
      <c r="M11" s="483"/>
      <c r="N11" s="483"/>
      <c r="O11" s="53"/>
      <c r="P11" s="144"/>
      <c r="Q11" s="523"/>
      <c r="R11" s="484"/>
      <c r="S11" s="516"/>
      <c r="T11" s="688" t="s">
        <v>482</v>
      </c>
      <c r="U11" s="215"/>
      <c r="V11" s="215"/>
      <c r="W11" s="215"/>
      <c r="X11" s="215"/>
      <c r="Y11" s="215"/>
      <c r="Z11" s="215"/>
      <c r="AA11" s="215"/>
      <c r="AB11" s="521"/>
      <c r="AC11" s="215"/>
      <c r="AD11" s="215"/>
      <c r="AE11" s="215"/>
      <c r="AF11" s="215"/>
      <c r="AG11" s="215"/>
      <c r="AH11" s="215"/>
      <c r="AI11" s="521"/>
      <c r="AJ11" s="215"/>
      <c r="AK11" s="522"/>
      <c r="AM11" s="130"/>
      <c r="AN11" s="130" t="str">
        <f t="shared" si="30"/>
        <v xml:space="preserve">Добавить наименование признака дифференциации</v>
      </c>
      <c r="AO11" s="130"/>
      <c r="AP11" s="130"/>
      <c r="AQ11" s="50">
        <v>0</v>
      </c>
    </row>
    <row r="12" s="57" customFormat="1" ht="14.25" hidden="1" customHeight="1">
      <c r="A12" s="134"/>
      <c r="B12" s="134"/>
      <c r="C12" s="134"/>
      <c r="D12" s="134"/>
      <c r="E12" s="492"/>
      <c r="F12" s="481"/>
      <c r="G12" s="134"/>
      <c r="H12" s="134"/>
      <c r="I12" s="134"/>
      <c r="J12" s="134"/>
      <c r="K12" s="134"/>
      <c r="L12" s="213"/>
      <c r="M12" s="529"/>
      <c r="N12" s="529"/>
      <c r="P12" s="168"/>
      <c r="Q12" s="525"/>
      <c r="R12" s="168"/>
      <c r="S12" s="530"/>
      <c r="T12" s="533" t="s">
        <v>409</v>
      </c>
      <c r="U12" s="532"/>
      <c r="V12" s="532"/>
      <c r="W12" s="532"/>
      <c r="X12" s="532"/>
      <c r="Y12" s="532"/>
      <c r="Z12" s="532"/>
      <c r="AA12" s="532"/>
      <c r="AB12" s="532"/>
      <c r="AC12" s="532"/>
      <c r="AD12" s="532"/>
      <c r="AE12" s="532"/>
      <c r="AF12" s="532"/>
      <c r="AG12" s="532"/>
      <c r="AH12" s="532"/>
      <c r="AI12" s="532"/>
      <c r="AJ12" s="532"/>
      <c r="AK12" s="532"/>
      <c r="AM12" s="130"/>
      <c r="AN12" s="130" t="str">
        <f t="shared" si="30"/>
        <v xml:space="preserve">Добавить централизованную систему для дифференциации</v>
      </c>
      <c r="AO12" s="130"/>
      <c r="AP12" s="130"/>
      <c r="AQ12" s="57">
        <v>0</v>
      </c>
    </row>
    <row r="13" s="57" customFormat="1" ht="14.25" hidden="1" customHeight="1">
      <c r="A13" s="134"/>
      <c r="B13" s="134"/>
      <c r="C13" s="134"/>
      <c r="D13" s="134"/>
      <c r="E13" s="481"/>
      <c r="F13" s="134"/>
      <c r="G13" s="134"/>
      <c r="H13" s="134"/>
      <c r="I13" s="134"/>
      <c r="J13" s="134"/>
      <c r="K13" s="134"/>
      <c r="L13" s="213"/>
      <c r="M13" s="529"/>
      <c r="N13" s="529"/>
      <c r="O13" s="57"/>
      <c r="P13" s="168"/>
      <c r="Q13" s="525"/>
      <c r="R13" s="168"/>
      <c r="S13" s="530"/>
      <c r="T13" s="533" t="s">
        <v>410</v>
      </c>
      <c r="U13" s="532"/>
      <c r="V13" s="532"/>
      <c r="W13" s="532"/>
      <c r="X13" s="532"/>
      <c r="Y13" s="532"/>
      <c r="Z13" s="532"/>
      <c r="AA13" s="532"/>
      <c r="AB13" s="532"/>
      <c r="AC13" s="532"/>
      <c r="AD13" s="532"/>
      <c r="AE13" s="532"/>
      <c r="AF13" s="532"/>
      <c r="AG13" s="532"/>
      <c r="AH13" s="532"/>
      <c r="AI13" s="532"/>
      <c r="AJ13" s="532"/>
      <c r="AK13" s="532"/>
      <c r="AM13" s="130"/>
      <c r="AN13" s="130" t="str">
        <f t="shared" si="30"/>
        <v xml:space="preserve">Добавить территорию для дифференциации</v>
      </c>
      <c r="AO13" s="130"/>
      <c r="AP13" s="130"/>
      <c r="AQ13" s="57">
        <v>0</v>
      </c>
    </row>
    <row r="14" ht="14.25" hidden="1" customHeight="1">
      <c r="AB14" s="50"/>
      <c r="AI14" s="50"/>
      <c r="AQ14" s="50">
        <v>0</v>
      </c>
    </row>
    <row r="15" ht="14.25" hidden="1" customHeight="1">
      <c r="AC15" s="534"/>
      <c r="AD15" s="534"/>
      <c r="AE15" s="535"/>
      <c r="AF15" s="536"/>
      <c r="AG15" s="537" t="s">
        <v>64</v>
      </c>
      <c r="AH15" s="536"/>
      <c r="AI15" s="537" t="s">
        <v>64</v>
      </c>
      <c r="AQ15" s="50">
        <v>0</v>
      </c>
    </row>
    <row r="16" ht="14.25" hidden="1" customHeight="1">
      <c r="AC16" s="534"/>
      <c r="AD16" s="534"/>
      <c r="AE16" s="513" t="str">
        <f>AF15&amp;"-"&amp;AH15</f>
        <v>-</v>
      </c>
      <c r="AF16" s="537"/>
      <c r="AG16" s="537"/>
      <c r="AH16" s="537"/>
      <c r="AI16" s="537"/>
      <c r="AQ16" s="50">
        <v>0</v>
      </c>
    </row>
    <row r="17" ht="14.25" hidden="1" customHeight="1">
      <c r="AI17" s="50"/>
      <c r="AQ17" s="50">
        <v>0</v>
      </c>
    </row>
    <row r="18" s="53" customFormat="1" ht="22.5" hidden="1" customHeight="1">
      <c r="L18" s="114"/>
      <c r="M18" s="61"/>
      <c r="N18" s="61"/>
      <c r="O18" s="538" t="s">
        <v>411</v>
      </c>
      <c r="P18" s="61"/>
      <c r="Q18" s="539"/>
      <c r="R18" s="539"/>
      <c r="S18" s="483"/>
      <c r="Y18" s="538"/>
      <c r="AA18" s="538"/>
      <c r="AB18" s="53"/>
      <c r="AF18" s="538"/>
      <c r="AH18" s="538"/>
      <c r="AI18" s="53"/>
      <c r="AL18" s="57"/>
      <c r="AM18" s="57"/>
      <c r="AN18" s="57"/>
      <c r="AO18" s="57"/>
      <c r="AP18" s="57"/>
      <c r="AQ18" s="53">
        <v>0</v>
      </c>
    </row>
    <row r="19" s="53" customFormat="1" ht="14.25" hidden="1" customHeight="1">
      <c r="L19" s="114"/>
      <c r="M19" s="61"/>
      <c r="N19" s="61"/>
      <c r="O19" s="61"/>
      <c r="P19" s="61"/>
      <c r="Q19" s="539"/>
      <c r="R19" s="539"/>
      <c r="S19" s="483"/>
      <c r="AB19" s="53"/>
      <c r="AI19" s="53"/>
      <c r="AL19" s="57"/>
      <c r="AM19" s="57"/>
      <c r="AN19" s="57"/>
      <c r="AO19" s="57"/>
      <c r="AP19" s="57"/>
      <c r="AQ19" s="53">
        <v>0</v>
      </c>
    </row>
    <row r="20" s="53" customFormat="1" ht="12" hidden="1" customHeight="1">
      <c r="L20" s="114"/>
      <c r="M20" s="61"/>
      <c r="N20" s="61"/>
      <c r="O20" s="482" t="s">
        <v>412</v>
      </c>
      <c r="P20" s="61"/>
      <c r="Q20" s="689"/>
      <c r="R20" s="689"/>
      <c r="S20" s="483"/>
      <c r="T20" s="53" t="s">
        <v>413</v>
      </c>
      <c r="Z20" s="152" t="s">
        <v>414</v>
      </c>
      <c r="AB20" s="152" t="s">
        <v>415</v>
      </c>
      <c r="AC20" s="53" t="s">
        <v>413</v>
      </c>
      <c r="AG20" s="152" t="s">
        <v>416</v>
      </c>
      <c r="AI20" s="152" t="s">
        <v>415</v>
      </c>
      <c r="AQ20" s="53">
        <v>0</v>
      </c>
    </row>
    <row r="21" ht="14.25" hidden="1" customHeight="1">
      <c r="O21" s="482"/>
      <c r="AQ21" s="50">
        <v>0</v>
      </c>
    </row>
    <row r="22" ht="14.25" hidden="1" customHeight="1">
      <c r="O22" s="482"/>
      <c r="AQ22" s="50">
        <v>0</v>
      </c>
    </row>
    <row r="23" ht="14.65" customHeight="1">
      <c r="Q23" s="540"/>
      <c r="R23" s="540"/>
      <c r="S23" s="541"/>
      <c r="T23" s="91"/>
      <c r="U23" s="91"/>
      <c r="V23" s="50"/>
      <c r="W23" s="50"/>
      <c r="X23" s="50"/>
      <c r="Y23" s="50"/>
      <c r="Z23" s="50"/>
      <c r="AA23" s="50"/>
      <c r="AB23" s="50"/>
      <c r="AC23" s="50"/>
      <c r="AD23" s="50"/>
      <c r="AE23" s="50"/>
      <c r="AF23" s="50"/>
      <c r="AG23" s="50"/>
      <c r="AH23" s="50"/>
      <c r="AI23" s="50"/>
      <c r="AQ23" s="50">
        <v>14</v>
      </c>
    </row>
    <row r="24" ht="14.65" customHeight="1">
      <c r="Q24" s="540"/>
      <c r="R24" s="540"/>
      <c r="S24" s="453" t="str">
        <f>IF(TEMPLATE_GROUP="P",PT_P_FORM_COLDVSNA_4_NAME_FORM,PT_R_FORM_COLDVSNA_16_NAME_FORM)</f>
        <v xml:space="preserve">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453"/>
      <c r="U24" s="453"/>
      <c r="V24" s="453"/>
      <c r="W24" s="453"/>
      <c r="X24" s="453"/>
      <c r="Y24" s="453"/>
      <c r="Z24" s="453"/>
      <c r="AA24" s="453"/>
      <c r="AB24" s="453"/>
      <c r="AC24" s="453"/>
      <c r="AD24" s="453"/>
      <c r="AE24" s="453"/>
      <c r="AF24" s="453"/>
      <c r="AG24" s="453"/>
      <c r="AH24" s="453"/>
      <c r="AI24" s="241"/>
      <c r="AQ24" s="50">
        <v>14</v>
      </c>
    </row>
    <row r="25" ht="14.65" customHeight="1">
      <c r="Q25" s="540"/>
      <c r="R25" s="540"/>
      <c r="S25" s="304" t="str">
        <f>IF(org=0,"Не определено",org)</f>
        <v xml:space="preserve">АО "ДГК" СП "Биробиджанская ТЭЦ"</v>
      </c>
      <c r="T25" s="304"/>
      <c r="U25" s="304"/>
      <c r="V25" s="304"/>
      <c r="W25" s="304"/>
      <c r="X25" s="304"/>
      <c r="Y25" s="304"/>
      <c r="Z25" s="304"/>
      <c r="AA25" s="304"/>
      <c r="AB25" s="304"/>
      <c r="AC25" s="304"/>
      <c r="AD25" s="304"/>
      <c r="AE25" s="304"/>
      <c r="AF25" s="304"/>
      <c r="AG25" s="304"/>
      <c r="AH25" s="304"/>
      <c r="AI25" s="241"/>
      <c r="AQ25" s="50">
        <v>14</v>
      </c>
    </row>
    <row r="26" ht="14.25" hidden="1" customHeight="1">
      <c r="Q26" s="540"/>
      <c r="R26" s="540"/>
      <c r="S26" s="541"/>
      <c r="T26" s="91"/>
      <c r="U26" s="91"/>
      <c r="V26" s="542"/>
      <c r="W26" s="542"/>
      <c r="X26" s="542"/>
      <c r="Y26" s="542"/>
      <c r="Z26" s="542"/>
      <c r="AA26" s="542"/>
      <c r="AB26" s="542"/>
      <c r="AC26" s="542"/>
      <c r="AD26" s="542"/>
      <c r="AE26" s="542"/>
      <c r="AF26" s="542"/>
      <c r="AG26" s="542"/>
      <c r="AH26" s="542"/>
      <c r="AI26" s="542"/>
      <c r="AJ26" s="50"/>
      <c r="AQ26" s="50">
        <v>0</v>
      </c>
    </row>
    <row r="27" s="185" customFormat="1" ht="25.5" hidden="1" customHeight="1">
      <c r="A27" s="152"/>
      <c r="B27" s="152"/>
      <c r="C27" s="152"/>
      <c r="D27" s="152"/>
      <c r="E27" s="152"/>
      <c r="F27" s="152"/>
      <c r="G27" s="152"/>
      <c r="H27" s="152"/>
      <c r="I27" s="152"/>
      <c r="J27" s="152"/>
      <c r="K27" s="152"/>
      <c r="L27" s="482"/>
      <c r="M27" s="152"/>
      <c r="N27" s="152"/>
      <c r="O27" s="152"/>
      <c r="S27" s="543" t="s">
        <v>41</v>
      </c>
      <c r="T27" s="543"/>
      <c r="U27" s="544"/>
      <c r="V27" s="545" t="str">
        <f>IF(TITLE_NAME_OR_PR_CHANGE="",IF(TITLE_NAME_OR_PR="","",TITLE_NAME_OR_PR),TITLE_NAME_OR_PR_CHANGE)</f>
        <v/>
      </c>
      <c r="W27" s="545"/>
      <c r="X27" s="545"/>
      <c r="Y27" s="545"/>
      <c r="Z27" s="545"/>
      <c r="AA27" s="545"/>
      <c r="AB27" s="50"/>
      <c r="AC27" s="545" t="str">
        <f>IF(TITLE_NAME_OR_PR_CHANGE="",IF(TITLE_NAME_OR_PR="","",TITLE_NAME_OR_PR),TITLE_NAME_OR_PR_CHANGE)</f>
        <v/>
      </c>
      <c r="AD27" s="545"/>
      <c r="AE27" s="545"/>
      <c r="AF27" s="545"/>
      <c r="AG27" s="545"/>
      <c r="AH27" s="545"/>
      <c r="AI27" s="50"/>
      <c r="AJ27" s="50"/>
      <c r="AK27" s="546"/>
      <c r="AL27" s="130"/>
      <c r="AM27" s="130"/>
      <c r="AN27" s="130"/>
      <c r="AO27" s="130"/>
      <c r="AP27" s="130"/>
      <c r="AQ27" s="185">
        <v>0</v>
      </c>
    </row>
    <row r="28" s="185" customFormat="1" ht="18.75" hidden="1" customHeight="1">
      <c r="A28" s="152"/>
      <c r="B28" s="152"/>
      <c r="C28" s="152"/>
      <c r="D28" s="152"/>
      <c r="E28" s="152"/>
      <c r="F28" s="152"/>
      <c r="G28" s="152"/>
      <c r="H28" s="152"/>
      <c r="I28" s="152"/>
      <c r="J28" s="152"/>
      <c r="K28" s="152"/>
      <c r="L28" s="482"/>
      <c r="M28" s="152"/>
      <c r="N28" s="152"/>
      <c r="O28" s="152"/>
      <c r="S28" s="543" t="s">
        <v>417</v>
      </c>
      <c r="T28" s="543"/>
      <c r="U28" s="544"/>
      <c r="V28" s="547" t="str">
        <f>IF(TITLE_DATE_PR_CHANGE="",IF(TITLE_DATE_PR="","",TITLE_DATE_PR),TITLE_DATE_PR_CHANGE)</f>
        <v/>
      </c>
      <c r="W28" s="547"/>
      <c r="X28" s="547"/>
      <c r="Y28" s="547"/>
      <c r="Z28" s="547"/>
      <c r="AA28" s="547"/>
      <c r="AB28" s="50"/>
      <c r="AC28" s="547" t="str">
        <f>IF(TITLE_DATE_PR_CHANGE="",IF(TITLE_DATE_PR="","",TITLE_DATE_PR),TITLE_DATE_PR_CHANGE)</f>
        <v/>
      </c>
      <c r="AD28" s="547"/>
      <c r="AE28" s="547"/>
      <c r="AF28" s="547"/>
      <c r="AG28" s="547"/>
      <c r="AH28" s="547"/>
      <c r="AI28" s="50"/>
      <c r="AJ28" s="50"/>
      <c r="AK28" s="546"/>
      <c r="AL28" s="130"/>
      <c r="AM28" s="130"/>
      <c r="AN28" s="130"/>
      <c r="AO28" s="130"/>
      <c r="AP28" s="130"/>
      <c r="AQ28" s="185">
        <v>0</v>
      </c>
    </row>
    <row r="29" s="185" customFormat="1" ht="18.75" hidden="1" customHeight="1">
      <c r="A29" s="152"/>
      <c r="B29" s="152"/>
      <c r="C29" s="152"/>
      <c r="D29" s="152"/>
      <c r="E29" s="152"/>
      <c r="F29" s="152"/>
      <c r="G29" s="152"/>
      <c r="H29" s="152"/>
      <c r="I29" s="152"/>
      <c r="J29" s="152"/>
      <c r="K29" s="152"/>
      <c r="L29" s="482"/>
      <c r="M29" s="152"/>
      <c r="N29" s="152"/>
      <c r="O29" s="152"/>
      <c r="S29" s="543" t="s">
        <v>418</v>
      </c>
      <c r="T29" s="543"/>
      <c r="U29" s="544"/>
      <c r="V29" s="545" t="str">
        <f>IF(TITLE_NUMBER_PR_CHANGE="",IF(TITLE_NUMBER_PR="","",TITLE_NUMBER_PR),TITLE_NUMBER_PR_CHANGE)</f>
        <v/>
      </c>
      <c r="W29" s="545"/>
      <c r="X29" s="545"/>
      <c r="Y29" s="545"/>
      <c r="Z29" s="545"/>
      <c r="AA29" s="545"/>
      <c r="AB29" s="50"/>
      <c r="AC29" s="545" t="str">
        <f>IF(TITLE_NUMBER_PR_CHANGE="",IF(TITLE_NUMBER_PR="","",TITLE_NUMBER_PR),TITLE_NUMBER_PR_CHANGE)</f>
        <v/>
      </c>
      <c r="AD29" s="545"/>
      <c r="AE29" s="545"/>
      <c r="AF29" s="545"/>
      <c r="AG29" s="545"/>
      <c r="AH29" s="545"/>
      <c r="AI29" s="50"/>
      <c r="AJ29" s="50"/>
      <c r="AK29" s="546"/>
      <c r="AL29" s="130"/>
      <c r="AM29" s="130"/>
      <c r="AN29" s="130"/>
      <c r="AO29" s="130"/>
      <c r="AP29" s="130"/>
      <c r="AQ29" s="185">
        <v>0</v>
      </c>
    </row>
    <row r="30" s="185" customFormat="1" ht="18.75" hidden="1" customHeight="1">
      <c r="A30" s="152"/>
      <c r="B30" s="152"/>
      <c r="C30" s="152"/>
      <c r="D30" s="152"/>
      <c r="E30" s="152"/>
      <c r="F30" s="152"/>
      <c r="G30" s="152"/>
      <c r="H30" s="152"/>
      <c r="I30" s="152"/>
      <c r="J30" s="152"/>
      <c r="K30" s="152"/>
      <c r="L30" s="482"/>
      <c r="M30" s="152"/>
      <c r="N30" s="152"/>
      <c r="O30" s="152"/>
      <c r="S30" s="543" t="s">
        <v>42</v>
      </c>
      <c r="T30" s="543"/>
      <c r="U30" s="544"/>
      <c r="V30" s="545" t="str">
        <f>IF(TITLE_IST_PUB_CHANGE="",IF(TITLE_IST_PUB="","",TITLE_IST_PUB),TITLE_IST_PUB_CHANGE)</f>
        <v/>
      </c>
      <c r="W30" s="545"/>
      <c r="X30" s="545"/>
      <c r="Y30" s="545"/>
      <c r="Z30" s="545"/>
      <c r="AA30" s="545"/>
      <c r="AB30" s="50"/>
      <c r="AC30" s="545" t="str">
        <f>IF(TITLE_IST_PUB_CHANGE="",IF(TITLE_IST_PUB="","",TITLE_IST_PUB),TITLE_IST_PUB_CHANGE)</f>
        <v/>
      </c>
      <c r="AD30" s="545"/>
      <c r="AE30" s="545"/>
      <c r="AF30" s="545"/>
      <c r="AG30" s="545"/>
      <c r="AH30" s="545"/>
      <c r="AI30" s="50"/>
      <c r="AJ30" s="50"/>
      <c r="AK30" s="546"/>
      <c r="AL30" s="130"/>
      <c r="AM30" s="130"/>
      <c r="AN30" s="130"/>
      <c r="AO30" s="130"/>
      <c r="AP30" s="130"/>
      <c r="AQ30" s="185">
        <v>0</v>
      </c>
    </row>
    <row r="31" ht="14.25" hidden="1" customHeight="1">
      <c r="Q31" s="540"/>
      <c r="R31" s="540"/>
      <c r="S31" s="541"/>
      <c r="T31" s="91"/>
      <c r="U31" s="91"/>
      <c r="V31" s="542"/>
      <c r="W31" s="542"/>
      <c r="X31" s="542"/>
      <c r="Y31" s="542"/>
      <c r="Z31" s="542"/>
      <c r="AA31" s="542"/>
      <c r="AB31" s="542"/>
      <c r="AC31" s="542"/>
      <c r="AD31" s="542"/>
      <c r="AE31" s="542"/>
      <c r="AF31" s="542"/>
      <c r="AG31" s="542"/>
      <c r="AH31" s="542"/>
      <c r="AI31" s="542"/>
      <c r="AJ31" s="50"/>
      <c r="AQ31" s="50">
        <v>0</v>
      </c>
    </row>
    <row r="32" s="185" customFormat="1" ht="18.75" hidden="1" customHeight="1">
      <c r="A32" s="152"/>
      <c r="B32" s="152"/>
      <c r="C32" s="152"/>
      <c r="D32" s="152"/>
      <c r="E32" s="152"/>
      <c r="F32" s="152"/>
      <c r="G32" s="152"/>
      <c r="H32" s="152"/>
      <c r="I32" s="152"/>
      <c r="J32" s="152"/>
      <c r="K32" s="152"/>
      <c r="L32" s="482"/>
      <c r="M32" s="152"/>
      <c r="N32" s="152"/>
      <c r="O32" s="152"/>
      <c r="S32" s="543" t="s">
        <v>419</v>
      </c>
      <c r="T32" s="543"/>
      <c r="U32" s="544"/>
      <c r="V32" s="547" t="str">
        <f>IF(TITLE_DATE_PR_CHANGE="",IF(TITLE_DATE_PR="","",TITLE_DATE_PR),TITLE_DATE_PR_CHANGE)</f>
        <v/>
      </c>
      <c r="W32" s="547"/>
      <c r="X32" s="547"/>
      <c r="Y32" s="547"/>
      <c r="Z32" s="547"/>
      <c r="AA32" s="547"/>
      <c r="AB32" s="50"/>
      <c r="AC32" s="547" t="str">
        <f>IF(TITLE_DATE_PR_CHANGE="",IF(TITLE_DATE_PR="","",TITLE_DATE_PR),TITLE_DATE_PR_CHANGE)</f>
        <v/>
      </c>
      <c r="AD32" s="547"/>
      <c r="AE32" s="547"/>
      <c r="AF32" s="547"/>
      <c r="AG32" s="547"/>
      <c r="AH32" s="547"/>
      <c r="AI32" s="50"/>
      <c r="AJ32" s="50"/>
      <c r="AK32" s="546"/>
      <c r="AL32" s="130"/>
      <c r="AM32" s="130"/>
      <c r="AN32" s="130"/>
      <c r="AO32" s="130"/>
      <c r="AP32" s="130"/>
      <c r="AQ32" s="185">
        <v>0</v>
      </c>
    </row>
    <row r="33" s="185" customFormat="1" ht="18.75" hidden="1" customHeight="1">
      <c r="A33" s="152"/>
      <c r="B33" s="152"/>
      <c r="C33" s="152"/>
      <c r="D33" s="152"/>
      <c r="E33" s="152"/>
      <c r="F33" s="152"/>
      <c r="G33" s="152"/>
      <c r="H33" s="152"/>
      <c r="I33" s="152"/>
      <c r="J33" s="152"/>
      <c r="K33" s="152"/>
      <c r="L33" s="482"/>
      <c r="M33" s="152"/>
      <c r="N33" s="152"/>
      <c r="O33" s="152"/>
      <c r="S33" s="543" t="s">
        <v>420</v>
      </c>
      <c r="T33" s="543"/>
      <c r="U33" s="544"/>
      <c r="V33" s="545" t="str">
        <f>IF(TITLE_NUMBER_PR_CHANGE="",IF(TITLE_NUMBER_PR="","",TITLE_NUMBER_PR),TITLE_NUMBER_PR_CHANGE)</f>
        <v/>
      </c>
      <c r="W33" s="545"/>
      <c r="X33" s="545"/>
      <c r="Y33" s="545"/>
      <c r="Z33" s="545"/>
      <c r="AA33" s="545"/>
      <c r="AB33" s="50"/>
      <c r="AC33" s="545" t="str">
        <f>IF(TITLE_NUMBER_PR_CHANGE="",IF(TITLE_NUMBER_PR="","",TITLE_NUMBER_PR),TITLE_NUMBER_PR_CHANGE)</f>
        <v/>
      </c>
      <c r="AD33" s="545"/>
      <c r="AE33" s="545"/>
      <c r="AF33" s="545"/>
      <c r="AG33" s="545"/>
      <c r="AH33" s="545"/>
      <c r="AI33" s="50"/>
      <c r="AJ33" s="50"/>
      <c r="AK33" s="546"/>
      <c r="AL33" s="130"/>
      <c r="AM33" s="130"/>
      <c r="AN33" s="130"/>
      <c r="AO33" s="130"/>
      <c r="AP33" s="130"/>
      <c r="AQ33" s="185">
        <v>0</v>
      </c>
    </row>
    <row r="34" s="185" customFormat="1" ht="1.05" customHeight="1">
      <c r="A34" s="152"/>
      <c r="B34" s="152"/>
      <c r="C34" s="152"/>
      <c r="D34" s="152"/>
      <c r="E34" s="152"/>
      <c r="F34" s="152"/>
      <c r="G34" s="152"/>
      <c r="H34" s="152"/>
      <c r="I34" s="152"/>
      <c r="J34" s="152"/>
      <c r="K34" s="152"/>
      <c r="L34" s="482"/>
      <c r="M34" s="152"/>
      <c r="N34" s="152"/>
      <c r="O34" s="152"/>
      <c r="S34" s="50"/>
      <c r="T34" s="50"/>
      <c r="U34" s="141"/>
      <c r="V34" s="50"/>
      <c r="W34" s="50"/>
      <c r="X34" s="50"/>
      <c r="Y34" s="50"/>
      <c r="Z34" s="50"/>
      <c r="AA34" s="50"/>
      <c r="AB34" s="57" t="s">
        <v>421</v>
      </c>
      <c r="AC34" s="50"/>
      <c r="AD34" s="50"/>
      <c r="AE34" s="50"/>
      <c r="AF34" s="50"/>
      <c r="AG34" s="50"/>
      <c r="AH34" s="50"/>
      <c r="AI34" s="57" t="s">
        <v>421</v>
      </c>
      <c r="AL34" s="130"/>
      <c r="AM34" s="130"/>
      <c r="AN34" s="130"/>
      <c r="AO34" s="130"/>
      <c r="AP34" s="130"/>
      <c r="AQ34" s="185">
        <v>1</v>
      </c>
    </row>
    <row r="35" ht="14.65" customHeight="1">
      <c r="Q35" s="540"/>
      <c r="R35" s="540"/>
      <c r="S35" s="541"/>
      <c r="T35" s="91"/>
      <c r="U35" s="548"/>
      <c r="V35" s="549"/>
      <c r="W35" s="549"/>
      <c r="X35" s="549"/>
      <c r="Y35" s="549"/>
      <c r="Z35" s="549"/>
      <c r="AA35" s="549"/>
      <c r="AB35" s="549"/>
      <c r="AC35" s="549"/>
      <c r="AD35" s="549"/>
      <c r="AE35" s="549"/>
      <c r="AF35" s="549"/>
      <c r="AG35" s="549"/>
      <c r="AH35" s="549"/>
      <c r="AI35" s="549"/>
      <c r="AQ35" s="50">
        <v>14</v>
      </c>
    </row>
    <row r="36" ht="14.65" customHeight="1">
      <c r="Q36" s="540"/>
      <c r="R36" s="540"/>
      <c r="S36" s="158" t="s">
        <v>294</v>
      </c>
      <c r="T36" s="158"/>
      <c r="U36" s="158"/>
      <c r="V36" s="158"/>
      <c r="W36" s="158"/>
      <c r="X36" s="158"/>
      <c r="Y36" s="158"/>
      <c r="Z36" s="158"/>
      <c r="AA36" s="158"/>
      <c r="AB36" s="158"/>
      <c r="AC36" s="158"/>
      <c r="AD36" s="158"/>
      <c r="AE36" s="158"/>
      <c r="AF36" s="158"/>
      <c r="AG36" s="158"/>
      <c r="AH36" s="158"/>
      <c r="AI36" s="158"/>
      <c r="AJ36" s="158"/>
      <c r="AK36" s="158" t="s">
        <v>295</v>
      </c>
      <c r="AQ36" s="50">
        <v>14</v>
      </c>
    </row>
    <row r="37" ht="14.65" customHeight="1">
      <c r="Q37" s="540"/>
      <c r="R37" s="540"/>
      <c r="S37" s="485" t="s">
        <v>87</v>
      </c>
      <c r="T37" s="348" t="s">
        <v>422</v>
      </c>
      <c r="U37" s="550"/>
      <c r="V37" s="551" t="s">
        <v>423</v>
      </c>
      <c r="W37" s="552"/>
      <c r="X37" s="552"/>
      <c r="Y37" s="552"/>
      <c r="Z37" s="552"/>
      <c r="AA37" s="553"/>
      <c r="AB37" s="554" t="s">
        <v>424</v>
      </c>
      <c r="AC37" s="551" t="s">
        <v>423</v>
      </c>
      <c r="AD37" s="552"/>
      <c r="AE37" s="552"/>
      <c r="AF37" s="552"/>
      <c r="AG37" s="552"/>
      <c r="AH37" s="553"/>
      <c r="AI37" s="554" t="s">
        <v>425</v>
      </c>
      <c r="AJ37" s="555" t="s">
        <v>426</v>
      </c>
      <c r="AK37" s="158"/>
      <c r="AQ37" s="50">
        <v>14</v>
      </c>
    </row>
    <row r="38" ht="35.649999999999999" customHeight="1">
      <c r="Q38" s="540"/>
      <c r="R38" s="540"/>
      <c r="S38" s="485"/>
      <c r="T38" s="348"/>
      <c r="U38" s="556"/>
      <c r="V38" s="308" t="s">
        <v>483</v>
      </c>
      <c r="W38" s="73" t="s">
        <v>429</v>
      </c>
      <c r="X38" s="72"/>
      <c r="Y38" s="73" t="s">
        <v>430</v>
      </c>
      <c r="Z38" s="146"/>
      <c r="AA38" s="72"/>
      <c r="AB38" s="558"/>
      <c r="AC38" s="308" t="s">
        <v>483</v>
      </c>
      <c r="AD38" s="73" t="s">
        <v>429</v>
      </c>
      <c r="AE38" s="72"/>
      <c r="AF38" s="73" t="s">
        <v>430</v>
      </c>
      <c r="AG38" s="146"/>
      <c r="AH38" s="72"/>
      <c r="AI38" s="558"/>
      <c r="AJ38" s="559"/>
      <c r="AK38" s="158"/>
      <c r="AQ38" s="50">
        <v>34</v>
      </c>
    </row>
    <row r="39" ht="35.649999999999999" customHeight="1">
      <c r="A39" s="152"/>
      <c r="B39" s="152" t="s">
        <v>131</v>
      </c>
      <c r="C39" s="152" t="s">
        <v>132</v>
      </c>
      <c r="D39" s="152" t="s">
        <v>133</v>
      </c>
      <c r="E39" s="482" t="s">
        <v>431</v>
      </c>
      <c r="F39" s="482" t="s">
        <v>432</v>
      </c>
      <c r="G39" s="482" t="s">
        <v>433</v>
      </c>
      <c r="H39" s="482"/>
      <c r="I39" s="482" t="s">
        <v>484</v>
      </c>
      <c r="J39" s="482" t="s">
        <v>436</v>
      </c>
      <c r="K39" s="482" t="s">
        <v>485</v>
      </c>
      <c r="L39" s="482" t="s">
        <v>412</v>
      </c>
      <c r="Q39" s="540"/>
      <c r="R39" s="540"/>
      <c r="S39" s="485"/>
      <c r="T39" s="348"/>
      <c r="U39" s="560"/>
      <c r="V39" s="308" t="s">
        <v>486</v>
      </c>
      <c r="W39" s="247" t="s">
        <v>487</v>
      </c>
      <c r="X39" s="247" t="s">
        <v>488</v>
      </c>
      <c r="Y39" s="247" t="s">
        <v>440</v>
      </c>
      <c r="Z39" s="416" t="s">
        <v>441</v>
      </c>
      <c r="AA39" s="418"/>
      <c r="AB39" s="562"/>
      <c r="AC39" s="308" t="s">
        <v>486</v>
      </c>
      <c r="AD39" s="247" t="s">
        <v>487</v>
      </c>
      <c r="AE39" s="247" t="s">
        <v>488</v>
      </c>
      <c r="AF39" s="247" t="s">
        <v>440</v>
      </c>
      <c r="AG39" s="416" t="s">
        <v>441</v>
      </c>
      <c r="AH39" s="418"/>
      <c r="AI39" s="562"/>
      <c r="AJ39" s="563"/>
      <c r="AK39" s="158"/>
      <c r="AQ39" s="50">
        <v>34</v>
      </c>
    </row>
    <row r="40" s="132" customFormat="1" ht="0" customHeight="1">
      <c r="A40" s="152"/>
      <c r="B40" s="152"/>
      <c r="C40" s="152"/>
      <c r="D40" s="152"/>
      <c r="E40" s="152"/>
      <c r="F40" s="152"/>
      <c r="G40" s="152"/>
      <c r="H40" s="152"/>
      <c r="I40" s="152"/>
      <c r="J40" s="152"/>
      <c r="K40" s="152"/>
      <c r="L40" s="482"/>
      <c r="M40" s="61"/>
      <c r="N40" s="61"/>
      <c r="O40" s="61"/>
      <c r="P40" s="564"/>
      <c r="Q40" s="565"/>
      <c r="R40" s="566">
        <v>1</v>
      </c>
      <c r="S40" s="567" t="s">
        <v>105</v>
      </c>
      <c r="T40" s="568" t="s">
        <v>106</v>
      </c>
      <c r="U40" s="569" t="str">
        <f ca="1">OFFSET(U40,0,-1)</f>
        <v>2</v>
      </c>
      <c r="V40" s="570">
        <f ca="1">OFFSET(V40,0,-1)+1</f>
        <v>3</v>
      </c>
      <c r="W40" s="570">
        <f ca="1">OFFSET(W40,0,-1)+1</f>
        <v>4</v>
      </c>
      <c r="X40" s="570">
        <f ca="1">OFFSET(X40,0,-1)+1</f>
        <v>5</v>
      </c>
      <c r="Y40" s="570">
        <f ca="1">OFFSET(Y40,0,-1)+1</f>
        <v>6</v>
      </c>
      <c r="Z40" s="570">
        <f ca="1">OFFSET(Z40,0,-1)+1</f>
        <v>7</v>
      </c>
      <c r="AA40" s="570"/>
      <c r="AB40" s="570">
        <f ca="1">OFFSET(AB40,0,-2)+1</f>
        <v>8</v>
      </c>
      <c r="AC40" s="570">
        <f ca="1">OFFSET(AC40,0,-1)+1</f>
        <v>9</v>
      </c>
      <c r="AD40" s="570">
        <f ca="1">OFFSET(AD40,0,-1)+1</f>
        <v>10</v>
      </c>
      <c r="AE40" s="570">
        <f ca="1">OFFSET(AE40,0,-1)+1</f>
        <v>11</v>
      </c>
      <c r="AF40" s="570">
        <f ca="1">OFFSET(AF40,0,-1)+1</f>
        <v>12</v>
      </c>
      <c r="AG40" s="570">
        <f ca="1">OFFSET(AG40,0,-1)+1</f>
        <v>13</v>
      </c>
      <c r="AH40" s="570"/>
      <c r="AI40" s="570">
        <f ca="1">OFFSET(AI40,0,-2)+1</f>
        <v>14</v>
      </c>
      <c r="AJ40" s="569">
        <f ca="1">OFFSET(AJ40,0,-1)</f>
        <v>14</v>
      </c>
      <c r="AK40" s="570">
        <f ca="1">OFFSET(AK40,0,-1)+1</f>
        <v>15</v>
      </c>
      <c r="AL40" s="57"/>
      <c r="AM40" s="57"/>
      <c r="AN40" s="57"/>
      <c r="AO40" s="57"/>
      <c r="AP40" s="57"/>
      <c r="AQ40" s="132">
        <v>0</v>
      </c>
    </row>
    <row r="41" ht="24" customHeight="1">
      <c r="A41" s="480" t="s">
        <v>235</v>
      </c>
      <c r="B41" s="480"/>
      <c r="C41" s="480"/>
      <c r="D41" s="480"/>
      <c r="E41" s="481">
        <v>1</v>
      </c>
      <c r="F41" s="480"/>
      <c r="G41" s="480"/>
      <c r="H41" s="480"/>
      <c r="I41" s="480"/>
      <c r="J41" s="480"/>
      <c r="K41" s="480"/>
      <c r="L41" s="482"/>
      <c r="M41" s="483"/>
      <c r="N41" s="483"/>
      <c r="O41" s="483"/>
      <c r="P41" s="60"/>
      <c r="Q41" s="144"/>
      <c r="R41" s="484"/>
      <c r="S41" s="485">
        <f>INDEX(PT_DIFFERENTIATION_NUM_NTAR,MATCH(A41,PT_DIFFERENTIATION_NTAR_ID,0))</f>
        <v>0</v>
      </c>
      <c r="T41" s="486" t="s">
        <v>119</v>
      </c>
      <c r="U41" s="487"/>
      <c r="V41" s="488"/>
      <c r="W41" s="489"/>
      <c r="X41" s="489"/>
      <c r="Y41" s="489"/>
      <c r="Z41" s="489"/>
      <c r="AA41" s="489"/>
      <c r="AB41" s="490"/>
      <c r="AC41" s="488" t="str">
        <f>INDEX(PT_DIFFERENTIATION_NTAR,MATCH(A41,PT_DIFFERENTIATION_NTAR_ID,0))</f>
        <v/>
      </c>
      <c r="AD41" s="489"/>
      <c r="AE41" s="489"/>
      <c r="AF41" s="489"/>
      <c r="AG41" s="489"/>
      <c r="AH41" s="489"/>
      <c r="AI41" s="489"/>
      <c r="AJ41" s="490"/>
      <c r="AK41" s="49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130"/>
      <c r="AN41" s="130" t="str">
        <f t="shared" si="30"/>
        <v xml:space="preserve">Наименование тарифа</v>
      </c>
      <c r="AO41" s="130"/>
      <c r="AP41" s="130"/>
      <c r="AQ41" s="50">
        <v>23</v>
      </c>
    </row>
    <row r="42" ht="24" customHeight="1">
      <c r="A42" s="480" t="s">
        <v>235</v>
      </c>
      <c r="B42" s="480" t="s">
        <v>236</v>
      </c>
      <c r="C42" s="480"/>
      <c r="D42" s="480"/>
      <c r="E42" s="492"/>
      <c r="F42" s="481">
        <v>1</v>
      </c>
      <c r="G42" s="480"/>
      <c r="H42" s="480"/>
      <c r="I42" s="480"/>
      <c r="J42" s="480"/>
      <c r="K42" s="480"/>
      <c r="L42" s="482"/>
      <c r="M42" s="483"/>
      <c r="N42" s="483"/>
      <c r="O42" s="483"/>
      <c r="P42" s="51"/>
      <c r="Q42" s="493"/>
      <c r="R42" s="494"/>
      <c r="S42" s="485" t="str">
        <f>INDEX(PT_DIFFERENTIATION_NUM_TER,MATCH(B42,PT_DIFFERENTIATION_TER_ID,0))</f>
        <v>.</v>
      </c>
      <c r="T42" s="495" t="s">
        <v>391</v>
      </c>
      <c r="U42" s="487"/>
      <c r="V42" s="488"/>
      <c r="W42" s="489"/>
      <c r="X42" s="489"/>
      <c r="Y42" s="489"/>
      <c r="Z42" s="489"/>
      <c r="AA42" s="489"/>
      <c r="AB42" s="490"/>
      <c r="AC42" s="488" t="str">
        <f>INDEX(PT_DIFFERENTIATION_TER,MATCH(B42,PT_DIFFERENTIATION_TER_ID,0))</f>
        <v/>
      </c>
      <c r="AD42" s="489"/>
      <c r="AE42" s="489"/>
      <c r="AF42" s="489"/>
      <c r="AG42" s="489"/>
      <c r="AH42" s="489"/>
      <c r="AI42" s="489"/>
      <c r="AJ42" s="490"/>
      <c r="AK42" s="491" t="s">
        <v>392</v>
      </c>
      <c r="AM42" s="130"/>
      <c r="AN42" s="130" t="str">
        <f t="shared" si="30"/>
        <v xml:space="preserve">Территория действия тарифа</v>
      </c>
      <c r="AO42" s="130"/>
      <c r="AP42" s="130"/>
      <c r="AQ42" s="50">
        <v>23</v>
      </c>
    </row>
    <row r="43" ht="24" customHeight="1">
      <c r="A43" s="480" t="s">
        <v>235</v>
      </c>
      <c r="B43" s="480" t="s">
        <v>236</v>
      </c>
      <c r="C43" s="480" t="s">
        <v>237</v>
      </c>
      <c r="D43" s="480"/>
      <c r="E43" s="492"/>
      <c r="F43" s="492"/>
      <c r="G43" s="481">
        <v>1</v>
      </c>
      <c r="H43" s="480"/>
      <c r="I43" s="480"/>
      <c r="J43" s="480"/>
      <c r="K43" s="480"/>
      <c r="L43" s="482"/>
      <c r="M43" s="483"/>
      <c r="N43" s="483"/>
      <c r="O43" s="483"/>
      <c r="P43" s="496"/>
      <c r="Q43" s="493"/>
      <c r="R43" s="494"/>
      <c r="S43" s="485" t="str">
        <f>INDEX(PT_DIFFERENTIATION_NUM_CS,MATCH(C43,PT_DIFFERENTIATION_CS_ID,0))</f>
        <v>..</v>
      </c>
      <c r="T43" s="497" t="s">
        <v>475</v>
      </c>
      <c r="U43" s="487"/>
      <c r="V43" s="488"/>
      <c r="W43" s="489"/>
      <c r="X43" s="489"/>
      <c r="Y43" s="489"/>
      <c r="Z43" s="489"/>
      <c r="AA43" s="489"/>
      <c r="AB43" s="490"/>
      <c r="AC43" s="488" t="str">
        <f>INDEX(PT_DIFFERENTIATION_CS,MATCH(C43,PT_DIFFERENTIATION_CS_ID,0))</f>
        <v/>
      </c>
      <c r="AD43" s="489"/>
      <c r="AE43" s="489"/>
      <c r="AF43" s="489"/>
      <c r="AG43" s="489"/>
      <c r="AH43" s="489"/>
      <c r="AI43" s="489"/>
      <c r="AJ43" s="490"/>
      <c r="AK43" s="491" t="s">
        <v>476</v>
      </c>
      <c r="AM43" s="130"/>
      <c r="AN43" s="130" t="str">
        <f t="shared" si="30"/>
        <v xml:space="preserve">Наименование централизованной системы холодного водоснабжения</v>
      </c>
      <c r="AO43" s="130"/>
      <c r="AP43" s="130"/>
      <c r="AQ43" s="50">
        <v>23</v>
      </c>
    </row>
    <row r="44" ht="24" customHeight="1">
      <c r="A44" s="480" t="s">
        <v>235</v>
      </c>
      <c r="B44" s="480" t="s">
        <v>236</v>
      </c>
      <c r="C44" s="480" t="s">
        <v>237</v>
      </c>
      <c r="D44" s="480" t="s">
        <v>492</v>
      </c>
      <c r="E44" s="492"/>
      <c r="F44" s="492"/>
      <c r="G44" s="492"/>
      <c r="H44" s="492"/>
      <c r="I44" s="499" t="str">
        <f>S43&amp;".1"</f>
        <v>...1</v>
      </c>
      <c r="J44" s="480"/>
      <c r="K44" s="480"/>
      <c r="L44" s="482"/>
      <c r="P44" s="133">
        <v>1</v>
      </c>
      <c r="Q44" s="133"/>
      <c r="R44" s="500"/>
      <c r="S44" s="485" t="str">
        <f>$I44</f>
        <v>...1</v>
      </c>
      <c r="T44" s="501" t="s">
        <v>477</v>
      </c>
      <c r="U44" s="487"/>
      <c r="V44" s="677"/>
      <c r="W44" s="678"/>
      <c r="X44" s="678"/>
      <c r="Y44" s="678"/>
      <c r="Z44" s="678"/>
      <c r="AA44" s="678"/>
      <c r="AB44" s="679"/>
      <c r="AC44" s="680"/>
      <c r="AD44" s="681"/>
      <c r="AE44" s="681"/>
      <c r="AF44" s="681"/>
      <c r="AG44" s="681"/>
      <c r="AH44" s="681"/>
      <c r="AI44" s="681"/>
      <c r="AJ44" s="682"/>
      <c r="AK44" s="491" t="s">
        <v>478</v>
      </c>
      <c r="AM44" s="130"/>
      <c r="AN44" s="130" t="str">
        <f t="shared" si="30"/>
        <v xml:space="preserve">Наименование признака дифференциации</v>
      </c>
      <c r="AO44" s="130"/>
      <c r="AP44" s="130"/>
      <c r="AQ44" s="50">
        <v>23</v>
      </c>
    </row>
    <row r="45" ht="24" customHeight="1">
      <c r="A45" s="480" t="s">
        <v>235</v>
      </c>
      <c r="B45" s="480" t="s">
        <v>236</v>
      </c>
      <c r="C45" s="480" t="s">
        <v>237</v>
      </c>
      <c r="D45" s="480" t="s">
        <v>492</v>
      </c>
      <c r="E45" s="492"/>
      <c r="F45" s="492"/>
      <c r="G45" s="492"/>
      <c r="H45" s="492"/>
      <c r="I45" s="504"/>
      <c r="J45" s="499" t="str">
        <f>I44&amp;".1"</f>
        <v>...1.1</v>
      </c>
      <c r="K45" s="480"/>
      <c r="L45" s="482" t="s">
        <v>400</v>
      </c>
      <c r="P45" s="133"/>
      <c r="Q45" s="133">
        <v>1</v>
      </c>
      <c r="R45" s="505"/>
      <c r="S45" s="485" t="str">
        <f>$J45</f>
        <v>...1.1</v>
      </c>
      <c r="T45" s="506" t="s">
        <v>401</v>
      </c>
      <c r="U45" s="487"/>
      <c r="V45" s="432"/>
      <c r="W45" s="502"/>
      <c r="X45" s="502"/>
      <c r="Y45" s="502"/>
      <c r="Z45" s="502"/>
      <c r="AA45" s="502"/>
      <c r="AB45" s="503"/>
      <c r="AC45" s="432"/>
      <c r="AD45" s="502"/>
      <c r="AE45" s="502"/>
      <c r="AF45" s="502"/>
      <c r="AG45" s="502"/>
      <c r="AH45" s="502"/>
      <c r="AI45" s="502"/>
      <c r="AJ45" s="503"/>
      <c r="AK45" s="618" t="s">
        <v>479</v>
      </c>
      <c r="AM45" s="130"/>
      <c r="AN45" s="130" t="str">
        <f t="shared" si="30"/>
        <v xml:space="preserve">Группа потребителей</v>
      </c>
      <c r="AO45" s="130"/>
      <c r="AP45" s="130"/>
      <c r="AQ45" s="50">
        <v>23</v>
      </c>
    </row>
    <row r="46" ht="24" customHeight="1">
      <c r="A46" s="480" t="s">
        <v>235</v>
      </c>
      <c r="B46" s="480" t="s">
        <v>236</v>
      </c>
      <c r="C46" s="480" t="s">
        <v>237</v>
      </c>
      <c r="D46" s="480" t="s">
        <v>492</v>
      </c>
      <c r="E46" s="492"/>
      <c r="F46" s="492"/>
      <c r="G46" s="492"/>
      <c r="H46" s="492"/>
      <c r="I46" s="504"/>
      <c r="J46" s="504"/>
      <c r="K46" s="499" t="str">
        <f>J45&amp;".1"</f>
        <v>...1.1.1</v>
      </c>
      <c r="L46" s="482"/>
      <c r="P46" s="133"/>
      <c r="Q46" s="133"/>
      <c r="R46" s="505">
        <v>1</v>
      </c>
      <c r="S46" s="485" t="str">
        <f>$K46</f>
        <v>...1.1.1</v>
      </c>
      <c r="T46" s="683"/>
      <c r="U46" s="487"/>
      <c r="V46" s="508"/>
      <c r="W46" s="508"/>
      <c r="X46" s="510"/>
      <c r="Y46" s="511"/>
      <c r="Z46" s="225" t="s">
        <v>64</v>
      </c>
      <c r="AA46" s="511"/>
      <c r="AB46" s="225" t="s">
        <v>64</v>
      </c>
      <c r="AC46" s="508"/>
      <c r="AD46" s="508"/>
      <c r="AE46" s="510"/>
      <c r="AF46" s="511"/>
      <c r="AG46" s="225" t="s">
        <v>64</v>
      </c>
      <c r="AH46" s="571"/>
      <c r="AI46" s="225" t="s">
        <v>64</v>
      </c>
      <c r="AJ46" s="684"/>
      <c r="AK46" s="68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 t="e">
        <f>STRCHECKDATE(V47:AJ47)</f>
        <v>#NAME?</v>
      </c>
      <c r="AM46" s="130"/>
      <c r="AN46" s="130" t="str">
        <f t="shared" si="30"/>
        <v/>
      </c>
      <c r="AO46" s="130"/>
      <c r="AP46" s="130"/>
      <c r="AQ46" s="50">
        <v>23</v>
      </c>
    </row>
    <row r="47" ht="0" customHeight="1">
      <c r="A47" s="480" t="s">
        <v>235</v>
      </c>
      <c r="B47" s="480" t="s">
        <v>236</v>
      </c>
      <c r="C47" s="480" t="s">
        <v>237</v>
      </c>
      <c r="D47" s="480" t="s">
        <v>492</v>
      </c>
      <c r="E47" s="492"/>
      <c r="F47" s="492"/>
      <c r="G47" s="492"/>
      <c r="H47" s="492"/>
      <c r="I47" s="504"/>
      <c r="J47" s="504"/>
      <c r="K47" s="499"/>
      <c r="L47" s="482"/>
      <c r="P47" s="133"/>
      <c r="Q47" s="133"/>
      <c r="R47" s="505"/>
      <c r="S47" s="459"/>
      <c r="T47" s="487"/>
      <c r="U47" s="487"/>
      <c r="V47" s="509"/>
      <c r="W47" s="509"/>
      <c r="X47" s="513" t="str">
        <f>Y46&amp;"-"&amp;AA46</f>
        <v>-</v>
      </c>
      <c r="Y47" s="514"/>
      <c r="Z47" s="225"/>
      <c r="AA47" s="514"/>
      <c r="AB47" s="225"/>
      <c r="AC47" s="509"/>
      <c r="AD47" s="509"/>
      <c r="AE47" s="513" t="str">
        <f>AF46&amp;"-"&amp;AH46</f>
        <v>-</v>
      </c>
      <c r="AF47" s="514"/>
      <c r="AG47" s="225"/>
      <c r="AH47" s="573"/>
      <c r="AI47" s="225"/>
      <c r="AJ47" s="686"/>
      <c r="AK47" s="685"/>
      <c r="AM47" s="130"/>
      <c r="AN47" s="130" t="str">
        <f t="shared" si="30"/>
        <v/>
      </c>
      <c r="AO47" s="130"/>
      <c r="AP47" s="130"/>
      <c r="AQ47" s="50">
        <v>0</v>
      </c>
    </row>
    <row r="48" ht="21" customHeight="1">
      <c r="A48" s="480" t="s">
        <v>235</v>
      </c>
      <c r="B48" s="480" t="s">
        <v>236</v>
      </c>
      <c r="C48" s="480" t="s">
        <v>237</v>
      </c>
      <c r="D48" s="480" t="s">
        <v>492</v>
      </c>
      <c r="E48" s="492"/>
      <c r="F48" s="492"/>
      <c r="G48" s="492"/>
      <c r="H48" s="492"/>
      <c r="I48" s="504"/>
      <c r="J48" s="499"/>
      <c r="K48" s="480"/>
      <c r="L48" s="482"/>
      <c r="P48" s="133"/>
      <c r="Q48" s="133"/>
      <c r="R48" s="500"/>
      <c r="S48" s="516"/>
      <c r="T48" s="520" t="s">
        <v>480</v>
      </c>
      <c r="U48" s="215"/>
      <c r="V48" s="215"/>
      <c r="W48" s="215"/>
      <c r="X48" s="215"/>
      <c r="Y48" s="215"/>
      <c r="Z48" s="215"/>
      <c r="AA48" s="215"/>
      <c r="AB48" s="215"/>
      <c r="AC48" s="215"/>
      <c r="AD48" s="215"/>
      <c r="AE48" s="215"/>
      <c r="AF48" s="215"/>
      <c r="AG48" s="215"/>
      <c r="AH48" s="215"/>
      <c r="AI48" s="215"/>
      <c r="AJ48" s="215"/>
      <c r="AK48" s="491" t="s">
        <v>481</v>
      </c>
      <c r="AM48" s="130"/>
      <c r="AN48" s="130" t="str">
        <f t="shared" si="30"/>
        <v xml:space="preserve">Добавить значение признака дифференциации</v>
      </c>
      <c r="AO48" s="130"/>
      <c r="AP48" s="130"/>
      <c r="AQ48" s="50">
        <v>20</v>
      </c>
    </row>
    <row r="49" ht="22" customHeight="1">
      <c r="A49" s="480" t="s">
        <v>235</v>
      </c>
      <c r="B49" s="480" t="s">
        <v>236</v>
      </c>
      <c r="C49" s="480" t="s">
        <v>237</v>
      </c>
      <c r="D49" s="480" t="s">
        <v>492</v>
      </c>
      <c r="E49" s="492"/>
      <c r="F49" s="492"/>
      <c r="G49" s="492"/>
      <c r="H49" s="492"/>
      <c r="I49" s="499"/>
      <c r="J49" s="480"/>
      <c r="K49" s="480"/>
      <c r="L49" s="482"/>
      <c r="P49" s="133"/>
      <c r="Q49" s="133"/>
      <c r="R49" s="500"/>
      <c r="S49" s="516"/>
      <c r="T49" s="524" t="s">
        <v>406</v>
      </c>
      <c r="U49" s="215"/>
      <c r="V49" s="215"/>
      <c r="W49" s="215"/>
      <c r="X49" s="215"/>
      <c r="Y49" s="215"/>
      <c r="Z49" s="215"/>
      <c r="AA49" s="215"/>
      <c r="AB49" s="521"/>
      <c r="AC49" s="215"/>
      <c r="AD49" s="215"/>
      <c r="AE49" s="215"/>
      <c r="AF49" s="215"/>
      <c r="AG49" s="215"/>
      <c r="AH49" s="215"/>
      <c r="AI49" s="521"/>
      <c r="AJ49" s="215"/>
      <c r="AK49" s="687"/>
      <c r="AM49" s="130"/>
      <c r="AN49" s="130" t="str">
        <f t="shared" si="30"/>
        <v xml:space="preserve">Добавить группу потребителей</v>
      </c>
      <c r="AO49" s="130"/>
      <c r="AP49" s="130"/>
      <c r="AQ49" s="50">
        <v>21</v>
      </c>
    </row>
    <row r="50" ht="22" customHeight="1">
      <c r="A50" s="480" t="s">
        <v>235</v>
      </c>
      <c r="B50" s="480" t="s">
        <v>236</v>
      </c>
      <c r="C50" s="480" t="s">
        <v>237</v>
      </c>
      <c r="D50" s="480" t="s">
        <v>492</v>
      </c>
      <c r="E50" s="492"/>
      <c r="F50" s="492"/>
      <c r="G50" s="492"/>
      <c r="H50" s="481"/>
      <c r="I50" s="480"/>
      <c r="J50" s="480"/>
      <c r="K50" s="480"/>
      <c r="L50" s="482"/>
      <c r="M50" s="483"/>
      <c r="N50" s="483"/>
      <c r="O50" s="53"/>
      <c r="P50" s="144"/>
      <c r="Q50" s="523"/>
      <c r="R50" s="484"/>
      <c r="S50" s="516"/>
      <c r="T50" s="688" t="s">
        <v>482</v>
      </c>
      <c r="U50" s="215"/>
      <c r="V50" s="215"/>
      <c r="W50" s="215"/>
      <c r="X50" s="215"/>
      <c r="Y50" s="215"/>
      <c r="Z50" s="215"/>
      <c r="AA50" s="215"/>
      <c r="AB50" s="521"/>
      <c r="AC50" s="215"/>
      <c r="AD50" s="215"/>
      <c r="AE50" s="215"/>
      <c r="AF50" s="215"/>
      <c r="AG50" s="215"/>
      <c r="AH50" s="215"/>
      <c r="AI50" s="521"/>
      <c r="AJ50" s="215"/>
      <c r="AK50" s="522"/>
      <c r="AM50" s="130"/>
      <c r="AN50" s="130" t="str">
        <f t="shared" si="30"/>
        <v xml:space="preserve">Добавить наименование признака дифференциации</v>
      </c>
      <c r="AO50" s="130"/>
      <c r="AP50" s="130"/>
      <c r="AQ50" s="50">
        <v>21</v>
      </c>
    </row>
    <row r="51" s="57" customFormat="1" ht="0" customHeight="1">
      <c r="A51" s="134" t="s">
        <v>235</v>
      </c>
      <c r="B51" s="134" t="s">
        <v>236</v>
      </c>
      <c r="C51" s="134"/>
      <c r="D51" s="134"/>
      <c r="E51" s="492"/>
      <c r="F51" s="481"/>
      <c r="G51" s="134"/>
      <c r="H51" s="134"/>
      <c r="I51" s="134"/>
      <c r="J51" s="134"/>
      <c r="K51" s="134"/>
      <c r="L51" s="213"/>
      <c r="M51" s="529"/>
      <c r="N51" s="529"/>
      <c r="P51" s="168"/>
      <c r="Q51" s="525"/>
      <c r="R51" s="168"/>
      <c r="S51" s="530"/>
      <c r="T51" s="533" t="s">
        <v>409</v>
      </c>
      <c r="U51" s="532"/>
      <c r="V51" s="532"/>
      <c r="W51" s="532"/>
      <c r="X51" s="532"/>
      <c r="Y51" s="532"/>
      <c r="Z51" s="532"/>
      <c r="AA51" s="532"/>
      <c r="AB51" s="532"/>
      <c r="AC51" s="532"/>
      <c r="AD51" s="532"/>
      <c r="AE51" s="532"/>
      <c r="AF51" s="532"/>
      <c r="AG51" s="532"/>
      <c r="AH51" s="532"/>
      <c r="AI51" s="532"/>
      <c r="AJ51" s="532"/>
      <c r="AK51" s="532"/>
      <c r="AM51" s="130"/>
      <c r="AN51" s="130" t="str">
        <f t="shared" si="30"/>
        <v xml:space="preserve">Добавить централизованную систему для дифференциации</v>
      </c>
      <c r="AO51" s="130"/>
      <c r="AP51" s="130"/>
      <c r="AQ51" s="57">
        <v>0</v>
      </c>
    </row>
    <row r="52" s="57" customFormat="1" ht="0" customHeight="1">
      <c r="A52" s="134" t="s">
        <v>235</v>
      </c>
      <c r="B52" s="134"/>
      <c r="C52" s="134"/>
      <c r="D52" s="134"/>
      <c r="E52" s="481"/>
      <c r="F52" s="134"/>
      <c r="G52" s="134"/>
      <c r="H52" s="134"/>
      <c r="I52" s="134"/>
      <c r="J52" s="134"/>
      <c r="K52" s="134"/>
      <c r="L52" s="213"/>
      <c r="M52" s="529"/>
      <c r="N52" s="529"/>
      <c r="O52" s="57"/>
      <c r="P52" s="168"/>
      <c r="Q52" s="525"/>
      <c r="R52" s="168"/>
      <c r="S52" s="530"/>
      <c r="T52" s="533" t="s">
        <v>410</v>
      </c>
      <c r="U52" s="532"/>
      <c r="V52" s="532"/>
      <c r="W52" s="532"/>
      <c r="X52" s="532"/>
      <c r="Y52" s="532"/>
      <c r="Z52" s="532"/>
      <c r="AA52" s="532"/>
      <c r="AB52" s="532"/>
      <c r="AC52" s="532"/>
      <c r="AD52" s="532"/>
      <c r="AE52" s="532"/>
      <c r="AF52" s="532"/>
      <c r="AG52" s="532"/>
      <c r="AH52" s="532"/>
      <c r="AI52" s="532"/>
      <c r="AJ52" s="532"/>
      <c r="AK52" s="532"/>
      <c r="AM52" s="130"/>
      <c r="AN52" s="130" t="str">
        <f t="shared" si="30"/>
        <v xml:space="preserve">Добавить территорию для дифференциации</v>
      </c>
      <c r="AO52" s="130"/>
      <c r="AP52" s="130"/>
      <c r="AQ52" s="57">
        <v>0</v>
      </c>
    </row>
    <row r="53" s="57" customFormat="1" ht="0" customHeight="1">
      <c r="A53" s="134"/>
      <c r="B53" s="134"/>
      <c r="C53" s="134"/>
      <c r="D53" s="134"/>
      <c r="E53" s="134"/>
      <c r="F53" s="134"/>
      <c r="G53" s="134"/>
      <c r="H53" s="134"/>
      <c r="I53" s="134"/>
      <c r="J53" s="134"/>
      <c r="K53" s="134"/>
      <c r="L53" s="213"/>
      <c r="M53" s="529"/>
      <c r="N53" s="529"/>
      <c r="P53" s="168"/>
      <c r="Q53" s="525"/>
      <c r="R53" s="168"/>
      <c r="S53" s="530"/>
      <c r="T53" s="533" t="s">
        <v>442</v>
      </c>
      <c r="U53" s="532"/>
      <c r="V53" s="532"/>
      <c r="W53" s="532"/>
      <c r="X53" s="532"/>
      <c r="Y53" s="532"/>
      <c r="Z53" s="532"/>
      <c r="AA53" s="532"/>
      <c r="AB53" s="532"/>
      <c r="AC53" s="532"/>
      <c r="AD53" s="532"/>
      <c r="AE53" s="532"/>
      <c r="AF53" s="532"/>
      <c r="AG53" s="532"/>
      <c r="AH53" s="532"/>
      <c r="AI53" s="532"/>
      <c r="AJ53" s="532"/>
      <c r="AK53" s="532"/>
      <c r="AM53" s="130"/>
      <c r="AN53" s="130" t="str">
        <f t="shared" si="30"/>
        <v xml:space="preserve">Добавить наименование тарифа</v>
      </c>
      <c r="AO53" s="130"/>
      <c r="AP53" s="130"/>
      <c r="AQ53" s="57">
        <v>0</v>
      </c>
    </row>
    <row r="54" ht="11.5" customHeight="1">
      <c r="M54" s="53"/>
      <c r="N54" s="53"/>
      <c r="O54" s="53"/>
      <c r="P54" s="50"/>
      <c r="Q54" s="50"/>
      <c r="R54" s="50"/>
      <c r="S54" s="50"/>
      <c r="AL54" s="50"/>
      <c r="AM54" s="50"/>
      <c r="AN54" s="50"/>
      <c r="AO54" s="50"/>
      <c r="AP54" s="50"/>
      <c r="AQ54" s="50">
        <v>11</v>
      </c>
    </row>
    <row r="55" ht="14.65" customHeight="1">
      <c r="O55" s="53"/>
      <c r="S55" s="477"/>
      <c r="T55" s="575"/>
      <c r="U55" s="575"/>
      <c r="V55" s="575"/>
      <c r="W55" s="575"/>
      <c r="X55" s="575"/>
      <c r="Y55" s="575"/>
      <c r="Z55" s="575"/>
      <c r="AA55" s="575"/>
      <c r="AB55" s="575"/>
      <c r="AC55" s="575"/>
      <c r="AD55" s="575"/>
      <c r="AE55" s="575"/>
      <c r="AF55" s="575"/>
      <c r="AG55" s="575"/>
      <c r="AH55" s="575"/>
      <c r="AI55" s="575"/>
      <c r="AJ55" s="575"/>
      <c r="AK55" s="575"/>
      <c r="AQ55" s="50">
        <v>14</v>
      </c>
    </row>
    <row r="56" ht="14.65" customHeight="1">
      <c r="O56" s="53"/>
      <c r="AQ56" s="50">
        <v>14</v>
      </c>
    </row>
    <row r="57" ht="14.65" customHeight="1">
      <c r="O57" s="53"/>
      <c r="S57" s="477"/>
      <c r="T57" s="575"/>
      <c r="U57" s="575"/>
      <c r="V57" s="575"/>
      <c r="W57" s="575"/>
      <c r="X57" s="575"/>
      <c r="Y57" s="575"/>
      <c r="Z57" s="575"/>
      <c r="AA57" s="575"/>
      <c r="AB57" s="575"/>
      <c r="AC57" s="575"/>
      <c r="AD57" s="575"/>
      <c r="AE57" s="575"/>
      <c r="AF57" s="575"/>
      <c r="AG57" s="575"/>
      <c r="AH57" s="575"/>
      <c r="AI57" s="575"/>
      <c r="AJ57" s="575"/>
      <c r="AK57" s="575"/>
      <c r="AQ57" s="50">
        <v>14</v>
      </c>
    </row>
    <row r="58" ht="22.5" hidden="1" customHeight="1">
      <c r="A58" s="53" t="s">
        <v>81</v>
      </c>
      <c r="B58" s="53">
        <v>0</v>
      </c>
      <c r="C58" s="53">
        <v>0</v>
      </c>
      <c r="D58" s="53">
        <v>0</v>
      </c>
      <c r="E58" s="53">
        <v>0</v>
      </c>
      <c r="F58" s="53">
        <v>0</v>
      </c>
      <c r="G58" s="53">
        <v>0</v>
      </c>
      <c r="H58" s="53">
        <v>0</v>
      </c>
      <c r="I58" s="53">
        <v>0</v>
      </c>
      <c r="J58" s="53">
        <v>0</v>
      </c>
      <c r="K58" s="53">
        <v>0</v>
      </c>
      <c r="L58" s="114">
        <v>0</v>
      </c>
      <c r="M58" s="61">
        <v>0</v>
      </c>
      <c r="N58" s="61">
        <v>0</v>
      </c>
      <c r="O58" s="61">
        <v>0</v>
      </c>
      <c r="P58" s="60">
        <v>3</v>
      </c>
      <c r="Q58" s="479">
        <v>3</v>
      </c>
      <c r="R58" s="479">
        <v>3</v>
      </c>
      <c r="S58" s="86">
        <v>12</v>
      </c>
      <c r="T58" s="50">
        <v>35</v>
      </c>
      <c r="U58" s="50">
        <v>0</v>
      </c>
      <c r="V58" s="50">
        <v>0</v>
      </c>
      <c r="W58" s="50">
        <v>0</v>
      </c>
      <c r="X58" s="50">
        <v>0</v>
      </c>
      <c r="Y58" s="50">
        <v>0</v>
      </c>
      <c r="Z58" s="50">
        <v>0</v>
      </c>
      <c r="AA58" s="50">
        <v>0</v>
      </c>
      <c r="AB58" s="50">
        <v>0</v>
      </c>
      <c r="AC58" s="50">
        <v>24</v>
      </c>
      <c r="AD58" s="50">
        <v>24</v>
      </c>
      <c r="AE58" s="50">
        <v>24</v>
      </c>
      <c r="AF58" s="50">
        <v>11</v>
      </c>
      <c r="AG58" s="50">
        <v>3</v>
      </c>
      <c r="AH58" s="50">
        <v>11</v>
      </c>
      <c r="AI58" s="50">
        <v>0</v>
      </c>
      <c r="AJ58" s="50">
        <v>4</v>
      </c>
      <c r="AK58" s="50">
        <v>115</v>
      </c>
      <c r="AL58" s="57">
        <v>10</v>
      </c>
      <c r="AM58" s="57">
        <v>10</v>
      </c>
      <c r="AN58" s="57">
        <v>10</v>
      </c>
      <c r="AO58" s="57">
        <v>10</v>
      </c>
      <c r="AP58" s="57">
        <v>10</v>
      </c>
      <c r="AQ58" s="50">
        <v>23</v>
      </c>
    </row>
  </sheetData>
  <sheetProtection autoFilter="0" deleteColumns="1" deleteRows="1" formatCells="1" formatColumns="0" formatRows="0" insertColumns="1" insertHyperlinks="1" insertRows="1" objects="0" pivotTables="1" scenarios="0" selectLockedCells="0" selectUnlockedCells="0" sheet="1" sort="1"/>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Z7:Z8"/>
    <mergeCell ref="AA7:AA8"/>
    <mergeCell ref="AB7:AB8"/>
    <mergeCell ref="AF7:AF8"/>
    <mergeCell ref="AG7:AG8"/>
    <mergeCell ref="AH7:AH8"/>
    <mergeCell ref="AI7:AI8"/>
    <mergeCell ref="AK7:AK8"/>
    <mergeCell ref="AF15:AF16"/>
    <mergeCell ref="AG15:AG16"/>
    <mergeCell ref="AH15:AH16"/>
    <mergeCell ref="AI15:AI16"/>
    <mergeCell ref="S24:AH24"/>
    <mergeCell ref="S25:AH25"/>
    <mergeCell ref="S27:T27"/>
    <mergeCell ref="V27:AA27"/>
    <mergeCell ref="AC27:AH27"/>
    <mergeCell ref="S28:T28"/>
    <mergeCell ref="V28:AA28"/>
    <mergeCell ref="AC28:AH28"/>
    <mergeCell ref="S29:T29"/>
    <mergeCell ref="V29:AA29"/>
    <mergeCell ref="AC29:AH29"/>
    <mergeCell ref="S30:T30"/>
    <mergeCell ref="V30:AA30"/>
    <mergeCell ref="AC30:AH30"/>
    <mergeCell ref="S32:T32"/>
    <mergeCell ref="V32:AA32"/>
    <mergeCell ref="AC32:AH32"/>
    <mergeCell ref="S33:T33"/>
    <mergeCell ref="V33:AA33"/>
    <mergeCell ref="AC33:AH33"/>
    <mergeCell ref="V35:AB35"/>
    <mergeCell ref="AC35:AI35"/>
    <mergeCell ref="S36:AJ36"/>
    <mergeCell ref="AK36:AK39"/>
    <mergeCell ref="S37:S39"/>
    <mergeCell ref="T37:T39"/>
    <mergeCell ref="V37:AA37"/>
    <mergeCell ref="AB37:AB39"/>
    <mergeCell ref="AC37:AH37"/>
    <mergeCell ref="AI37:AI39"/>
    <mergeCell ref="AJ37:AJ39"/>
    <mergeCell ref="W38:X38"/>
    <mergeCell ref="Y38:AA38"/>
    <mergeCell ref="AD38:AE38"/>
    <mergeCell ref="AF38:AH38"/>
    <mergeCell ref="Z39:AA39"/>
    <mergeCell ref="AG39:AH39"/>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K46:K47"/>
    <mergeCell ref="Y46:Y47"/>
    <mergeCell ref="Z46:Z47"/>
    <mergeCell ref="AA46:AA47"/>
    <mergeCell ref="AB46:AB47"/>
    <mergeCell ref="AF46:AF47"/>
    <mergeCell ref="AG46:AG47"/>
    <mergeCell ref="AH46:AH47"/>
    <mergeCell ref="AI46:AI47"/>
    <mergeCell ref="AK46:AK47"/>
    <mergeCell ref="T55:AK55"/>
    <mergeCell ref="T57:AK57"/>
  </mergeCells>
  <dataValidations count="4" disablePrompts="0">
    <dataValidation sqref="S131116:AK131122 S196652:AK196658 S262188:AK262194 S327724:AK327730 S393260:AK393266 S458796:AK458802 S524332:AK524338 S589868:AK589874 S655404:AK655410 S720940:AK720946 S786476:AK786482 S852012:AK852018 S917548:AK917554 S983084:AK983090 S65580:AK65586" type="none" allowBlank="1" errorStyle="stop" imeMode="noControl" operator="between" showDropDown="0" showErrorMessage="0" showInputMessage="0"/>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type="none" allowBlank="1" errorStyle="stop" imeMode="noControl" operator="between" promptTitle="checkPeriodRange"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4D003B-00FC-4C34-8626-00ED00CE004A}"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 xr:uid="{007000DE-0080-4E5C-803D-00A20052002B}" type="list" allowBlank="1" error="Выберите значение из списка" errorStyle="stop" errorTitle="Ошибка" imeMode="noControl" operator="between" showDropDown="0" showErrorMessage="1" showInputMessage="1">
          <x14:formula1>
            <xm:f>kind_of_heat_transfer</xm:f>
          </x14:formula1>
          <xm:sqref>T65578 T131114 T196650 T262186 T327722 T393258 T458794 T524330 T589866 T655402 T720938 T786474 T852010 T917546 T983082</xm:sqref>
        </x14:dataValidation>
        <x14:dataValidation xr:uid="{00F300A9-00F1-49C4-A107-009A009200C0}" type="textLength" allowBlank="1" error="Допускается ввод не более 900 символов!" errorStyle="stop" errorTitle="Ошибка" imeMode="noControl" operator="lessThanOrEqual" showDropDown="0"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xm:sqref>
        </x14:dataValidation>
        <x14:dataValidation xr:uid="{00C70056-0068-487D-8705-0086009200F8}" type="list" allowBlank="1" error="Выберите значение из списка" errorStyle="stop" errorTitle="Ошибка" imeMode="noControl" operator="between" showDropDown="0"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s>
    </ext>
  </extLst>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7" ySplit="41" topLeftCell="AB42" activePane="bottomRight" state="frozen"/>
      <selection activeCell="A1" activeCellId="0" sqref="A1"/>
    </sheetView>
  </sheetViews>
  <sheetFormatPr defaultColWidth="10.57421875" defaultRowHeight="14.25" customHeight="1"/>
  <cols>
    <col customWidth="1" hidden="1" min="1" max="3" style="50" width="10.140625"/>
    <col customWidth="1" hidden="1" min="4" max="4" style="50" width="11.8515625"/>
    <col customWidth="1" hidden="1" min="5" max="11" style="50" width="10.140625"/>
    <col customWidth="1" hidden="1" min="12" max="12" style="51" width="10.140625"/>
    <col customWidth="1" hidden="1" min="13" max="15" style="60" width="10.140625"/>
    <col customWidth="1" min="16" max="16" style="61" width="3.00390625"/>
    <col customWidth="1" min="17" max="17" style="539" width="3.00390625"/>
    <col customWidth="1" min="18" max="18" style="479" width="3.00390625"/>
    <col customWidth="1" min="19" max="19" style="86" width="12.00390625"/>
    <col customWidth="1" min="20" max="20" style="50" width="31.00390625"/>
    <col customWidth="1" min="21" max="21" style="50" width="0.140625"/>
    <col customWidth="1" hidden="1" min="22" max="23" style="50" width="21.7109375"/>
    <col customWidth="1" hidden="1" min="24" max="24" style="50" width="11.7109375"/>
    <col customWidth="1" hidden="1" min="25" max="25" style="50" width="3.7109375"/>
    <col customWidth="1" hidden="1" min="26" max="26" style="50" width="11.7109375"/>
    <col customWidth="1" hidden="1" min="27" max="27" style="50" width="8.57421875"/>
    <col customWidth="1" min="28" max="28" style="50" width="27.00390625"/>
    <col customWidth="1" min="29" max="29" style="50" width="24.57421875"/>
    <col customWidth="1" min="30" max="31" style="50" width="21.00390625"/>
    <col customWidth="1" min="32" max="32" style="50" width="11.00390625"/>
    <col customWidth="1" min="33" max="33" style="50" width="3.7109375"/>
    <col customWidth="1" min="34" max="34" style="50" width="11.00390625"/>
    <col customWidth="1" hidden="1" min="35" max="35" style="50" width="8.57421875"/>
    <col customWidth="1" min="36" max="36" style="50" width="4.00390625"/>
    <col customWidth="1" min="37" max="37" style="50" width="115.00390625"/>
    <col customWidth="1" min="38" max="42" style="57" width="10.00390625"/>
    <col hidden="1" min="43" max="43" style="50" width="10.57421875"/>
  </cols>
  <sheetData>
    <row r="1" ht="0.75" hidden="1" customHeight="1">
      <c r="AQ1" s="50" t="s">
        <v>14</v>
      </c>
    </row>
    <row r="2" ht="21" hidden="1" customHeight="1">
      <c r="A2" s="265"/>
      <c r="B2" s="265"/>
      <c r="C2" s="265"/>
      <c r="D2" s="265"/>
      <c r="E2" s="576">
        <v>1</v>
      </c>
      <c r="F2" s="265"/>
      <c r="G2" s="265"/>
      <c r="H2" s="265"/>
      <c r="I2" s="265"/>
      <c r="J2" s="265"/>
      <c r="K2" s="265"/>
      <c r="L2" s="323"/>
      <c r="M2" s="86"/>
      <c r="N2" s="86"/>
      <c r="O2" s="86"/>
      <c r="P2" s="61"/>
      <c r="Q2" s="64"/>
      <c r="R2" s="484"/>
      <c r="S2" s="485" t="e">
        <f>INDEX(PT_DIFFERENTIATION_NUM_NTAR,MATCH(A2,PT_DIFFERENTIATION_NTAR_ID,0))</f>
        <v>#VALUE!</v>
      </c>
      <c r="T2" s="486" t="s">
        <v>119</v>
      </c>
      <c r="U2" s="487"/>
      <c r="V2" s="489"/>
      <c r="W2" s="489"/>
      <c r="X2" s="489"/>
      <c r="Y2" s="489"/>
      <c r="Z2" s="489"/>
      <c r="AA2" s="490"/>
      <c r="AB2" s="489"/>
      <c r="AC2" s="489" t="e">
        <f>INDEX(PT_DIFFERENTIATION_NTAR,MATCH(A2,PT_DIFFERENTIATION_NTAR_ID,0))</f>
        <v>#VALUE!</v>
      </c>
      <c r="AD2" s="489"/>
      <c r="AE2" s="489"/>
      <c r="AF2" s="489"/>
      <c r="AG2" s="489"/>
      <c r="AH2" s="489"/>
      <c r="AI2" s="489"/>
      <c r="AJ2" s="490"/>
      <c r="AK2" s="491" t="s">
        <v>390</v>
      </c>
      <c r="AM2" s="130"/>
      <c r="AN2" s="130" t="str">
        <f t="shared" ref="AN2:AN9" si="31">IF(T2="","",T2)</f>
        <v xml:space="preserve">Наименование тарифа</v>
      </c>
      <c r="AO2" s="130"/>
      <c r="AP2" s="130"/>
      <c r="AQ2" s="50">
        <v>0</v>
      </c>
    </row>
    <row r="3" ht="21" hidden="1" customHeight="1">
      <c r="A3" s="265"/>
      <c r="B3" s="265"/>
      <c r="C3" s="265"/>
      <c r="D3" s="265"/>
      <c r="E3" s="577"/>
      <c r="F3" s="576">
        <v>1</v>
      </c>
      <c r="G3" s="265"/>
      <c r="H3" s="265"/>
      <c r="I3" s="265"/>
      <c r="J3" s="265"/>
      <c r="K3" s="265"/>
      <c r="L3" s="323"/>
      <c r="M3" s="86"/>
      <c r="N3" s="86"/>
      <c r="O3" s="86"/>
      <c r="P3" s="114"/>
      <c r="Q3" s="630"/>
      <c r="R3" s="494"/>
      <c r="S3" s="485" t="e">
        <f>INDEX(PT_DIFFERENTIATION_NUM_TER,MATCH(B3,PT_DIFFERENTIATION_TER_ID,0))</f>
        <v>#VALUE!</v>
      </c>
      <c r="T3" s="495" t="s">
        <v>391</v>
      </c>
      <c r="U3" s="487"/>
      <c r="V3" s="489"/>
      <c r="W3" s="489"/>
      <c r="X3" s="489"/>
      <c r="Y3" s="489"/>
      <c r="Z3" s="489"/>
      <c r="AA3" s="490"/>
      <c r="AB3" s="489"/>
      <c r="AC3" s="489" t="e">
        <f>INDEX(PT_DIFFERENTIATION_TER,MATCH(B3,PT_DIFFERENTIATION_TER_ID,0))</f>
        <v>#VALUE!</v>
      </c>
      <c r="AD3" s="489"/>
      <c r="AE3" s="489"/>
      <c r="AF3" s="489"/>
      <c r="AG3" s="489"/>
      <c r="AH3" s="489"/>
      <c r="AI3" s="489"/>
      <c r="AJ3" s="490"/>
      <c r="AK3" s="491" t="s">
        <v>392</v>
      </c>
      <c r="AM3" s="130"/>
      <c r="AN3" s="130" t="str">
        <f t="shared" si="31"/>
        <v xml:space="preserve">Территория действия тарифа</v>
      </c>
      <c r="AO3" s="130"/>
      <c r="AP3" s="130"/>
      <c r="AQ3" s="50">
        <v>0</v>
      </c>
    </row>
    <row r="4" ht="22.5" hidden="1" customHeight="1">
      <c r="A4" s="265"/>
      <c r="B4" s="265"/>
      <c r="C4" s="265"/>
      <c r="D4" s="265"/>
      <c r="E4" s="577"/>
      <c r="F4" s="577"/>
      <c r="G4" s="576">
        <v>1</v>
      </c>
      <c r="H4" s="265"/>
      <c r="I4" s="265"/>
      <c r="J4" s="265"/>
      <c r="K4" s="265"/>
      <c r="L4" s="323"/>
      <c r="M4" s="86"/>
      <c r="N4" s="86"/>
      <c r="O4" s="86"/>
      <c r="P4" s="136"/>
      <c r="Q4" s="630"/>
      <c r="R4" s="494"/>
      <c r="S4" s="485" t="e">
        <f>INDEX(PT_DIFFERENTIATION_NUM_CS,MATCH(C4,PT_DIFFERENTIATION_CS_ID,0))</f>
        <v>#VALUE!</v>
      </c>
      <c r="T4" s="497" t="s">
        <v>393</v>
      </c>
      <c r="U4" s="487"/>
      <c r="V4" s="489"/>
      <c r="W4" s="489"/>
      <c r="X4" s="489"/>
      <c r="Y4" s="489"/>
      <c r="Z4" s="489"/>
      <c r="AA4" s="490"/>
      <c r="AB4" s="489"/>
      <c r="AC4" s="489" t="e">
        <f>INDEX(PT_DIFFERENTIATION_CS,MATCH(C4,PT_DIFFERENTIATION_CS_ID,0))</f>
        <v>#VALUE!</v>
      </c>
      <c r="AD4" s="489"/>
      <c r="AE4" s="489"/>
      <c r="AF4" s="489"/>
      <c r="AG4" s="489"/>
      <c r="AH4" s="489"/>
      <c r="AI4" s="489"/>
      <c r="AJ4" s="490"/>
      <c r="AK4" s="491" t="s">
        <v>394</v>
      </c>
      <c r="AM4" s="130"/>
      <c r="AN4" s="130" t="str">
        <f t="shared" si="31"/>
        <v xml:space="preserve">Наименование системы теплоснабжения </v>
      </c>
      <c r="AO4" s="130"/>
      <c r="AP4" s="130"/>
      <c r="AQ4" s="50">
        <v>0</v>
      </c>
    </row>
    <row r="5" ht="21" hidden="1" customHeight="1">
      <c r="A5" s="265"/>
      <c r="B5" s="265"/>
      <c r="C5" s="265"/>
      <c r="D5" s="265"/>
      <c r="E5" s="577"/>
      <c r="F5" s="577"/>
      <c r="G5" s="577"/>
      <c r="H5" s="576">
        <v>1</v>
      </c>
      <c r="I5" s="265"/>
      <c r="J5" s="265"/>
      <c r="K5" s="265"/>
      <c r="L5" s="323"/>
      <c r="M5" s="86"/>
      <c r="N5" s="86"/>
      <c r="O5" s="86"/>
      <c r="P5" s="136"/>
      <c r="Q5" s="630"/>
      <c r="R5" s="494"/>
      <c r="S5" s="485" t="e">
        <f>INDEX(PT_DIFFERENTIATION_NUM_IST_TE,MATCH(D5,PT_DIFFERENTIATION_IST_TE_ID,0))</f>
        <v>#VALUE!</v>
      </c>
      <c r="T5" s="498" t="s">
        <v>395</v>
      </c>
      <c r="U5" s="487"/>
      <c r="V5" s="489"/>
      <c r="W5" s="489"/>
      <c r="X5" s="489"/>
      <c r="Y5" s="489"/>
      <c r="Z5" s="489"/>
      <c r="AA5" s="490"/>
      <c r="AB5" s="489"/>
      <c r="AC5" s="489" t="e">
        <f>INDEX(PT_DIFFERENTIATION_IST_TE,MATCH(D5,PT_DIFFERENTIATION_IST_TE_ID,0))</f>
        <v>#VALUE!</v>
      </c>
      <c r="AD5" s="489"/>
      <c r="AE5" s="489"/>
      <c r="AF5" s="489"/>
      <c r="AG5" s="489"/>
      <c r="AH5" s="489"/>
      <c r="AI5" s="489"/>
      <c r="AJ5" s="490"/>
      <c r="AK5" s="491" t="s">
        <v>396</v>
      </c>
      <c r="AM5" s="130"/>
      <c r="AN5" s="130" t="str">
        <f t="shared" si="31"/>
        <v xml:space="preserve">Источник тепловой энергии  </v>
      </c>
      <c r="AO5" s="130"/>
      <c r="AP5" s="130"/>
      <c r="AQ5" s="50">
        <v>0</v>
      </c>
    </row>
    <row r="6" s="57" customFormat="1" ht="0.75" hidden="1" customHeight="1">
      <c r="A6" s="578"/>
      <c r="B6" s="578"/>
      <c r="C6" s="578"/>
      <c r="D6" s="578"/>
      <c r="E6" s="577"/>
      <c r="F6" s="577"/>
      <c r="G6" s="577"/>
      <c r="H6" s="577"/>
      <c r="I6" s="158" t="e">
        <f>S5&amp;".1"</f>
        <v>#VALUE!</v>
      </c>
      <c r="J6" s="578"/>
      <c r="K6" s="578"/>
      <c r="L6" s="579" t="s">
        <v>397</v>
      </c>
      <c r="M6" s="564"/>
      <c r="N6" s="564"/>
      <c r="O6" s="564"/>
      <c r="P6" s="133">
        <v>1</v>
      </c>
      <c r="Q6" s="133"/>
      <c r="R6" s="500"/>
      <c r="S6" s="352"/>
      <c r="T6" s="587"/>
      <c r="U6" s="588"/>
      <c r="V6" s="590"/>
      <c r="W6" s="590"/>
      <c r="X6" s="590"/>
      <c r="Y6" s="590"/>
      <c r="Z6" s="590"/>
      <c r="AA6" s="591"/>
      <c r="AB6" s="590"/>
      <c r="AC6" s="590"/>
      <c r="AD6" s="590"/>
      <c r="AE6" s="590"/>
      <c r="AF6" s="590"/>
      <c r="AG6" s="590"/>
      <c r="AH6" s="590"/>
      <c r="AI6" s="590"/>
      <c r="AJ6" s="591"/>
      <c r="AK6" s="592"/>
      <c r="AM6" s="130"/>
      <c r="AN6" s="130" t="str">
        <f t="shared" si="31"/>
        <v/>
      </c>
      <c r="AO6" s="130"/>
      <c r="AP6" s="130"/>
      <c r="AQ6" s="57">
        <v>0</v>
      </c>
    </row>
    <row r="7" s="57" customFormat="1" ht="0.75" hidden="1" customHeight="1">
      <c r="A7" s="578"/>
      <c r="B7" s="578"/>
      <c r="C7" s="578"/>
      <c r="D7" s="578"/>
      <c r="E7" s="577"/>
      <c r="F7" s="577"/>
      <c r="G7" s="577"/>
      <c r="H7" s="577"/>
      <c r="I7" s="73"/>
      <c r="J7" s="158" t="e">
        <f>S5&amp;".1"</f>
        <v>#VALUE!</v>
      </c>
      <c r="K7" s="578"/>
      <c r="L7" s="579"/>
      <c r="M7" s="564"/>
      <c r="N7" s="564"/>
      <c r="O7" s="564"/>
      <c r="P7" s="133"/>
      <c r="Q7" s="133">
        <v>1</v>
      </c>
      <c r="R7" s="505"/>
      <c r="S7" s="352"/>
      <c r="T7" s="631"/>
      <c r="U7" s="588"/>
      <c r="V7" s="590"/>
      <c r="W7" s="590"/>
      <c r="X7" s="590"/>
      <c r="Y7" s="590"/>
      <c r="Z7" s="590"/>
      <c r="AA7" s="591"/>
      <c r="AB7" s="590"/>
      <c r="AC7" s="590"/>
      <c r="AD7" s="590"/>
      <c r="AE7" s="590"/>
      <c r="AF7" s="590"/>
      <c r="AG7" s="590"/>
      <c r="AH7" s="590"/>
      <c r="AI7" s="590"/>
      <c r="AJ7" s="591"/>
      <c r="AK7" s="592"/>
      <c r="AM7" s="130"/>
      <c r="AN7" s="130" t="str">
        <f t="shared" si="31"/>
        <v/>
      </c>
      <c r="AO7" s="130"/>
      <c r="AP7" s="130"/>
      <c r="AQ7" s="57">
        <v>0</v>
      </c>
    </row>
    <row r="8" ht="21" hidden="1" customHeight="1">
      <c r="A8" s="265"/>
      <c r="B8" s="265"/>
      <c r="C8" s="265"/>
      <c r="D8" s="265"/>
      <c r="E8" s="577"/>
      <c r="F8" s="577"/>
      <c r="G8" s="577"/>
      <c r="H8" s="577"/>
      <c r="I8" s="73"/>
      <c r="J8" s="73"/>
      <c r="K8" s="158" t="e">
        <f>S5&amp;".1"</f>
        <v>#VALUE!</v>
      </c>
      <c r="L8" s="323"/>
      <c r="P8" s="133"/>
      <c r="Q8" s="133"/>
      <c r="R8" s="632">
        <v>1</v>
      </c>
      <c r="S8" s="599" t="e">
        <f>$K8</f>
        <v>#VALUE!</v>
      </c>
      <c r="T8" s="633"/>
      <c r="U8" s="487"/>
      <c r="V8" s="508"/>
      <c r="W8" s="510"/>
      <c r="X8" s="511"/>
      <c r="Y8" s="225" t="s">
        <v>64</v>
      </c>
      <c r="Z8" s="511"/>
      <c r="AA8" s="225" t="s">
        <v>64</v>
      </c>
      <c r="AB8" s="690"/>
      <c r="AC8" s="691" t="s">
        <v>22</v>
      </c>
      <c r="AD8" s="508"/>
      <c r="AE8" s="510"/>
      <c r="AF8" s="511"/>
      <c r="AG8" s="225" t="s">
        <v>64</v>
      </c>
      <c r="AH8" s="511"/>
      <c r="AI8" s="225" t="s">
        <v>64</v>
      </c>
      <c r="AJ8" s="572"/>
      <c r="AK8" s="512" t="s">
        <v>458</v>
      </c>
      <c r="AL8" s="57" t="e">
        <f>STRCHECKDATE(#REF!)</f>
        <v>#NAME?</v>
      </c>
      <c r="AM8" s="130"/>
      <c r="AN8" s="130" t="str">
        <f t="shared" si="31"/>
        <v/>
      </c>
      <c r="AO8" s="130"/>
      <c r="AP8" s="130"/>
      <c r="AQ8" s="50">
        <v>0</v>
      </c>
    </row>
    <row r="9" ht="11.25" hidden="1" customHeight="1">
      <c r="A9" s="265"/>
      <c r="B9" s="265"/>
      <c r="C9" s="265"/>
      <c r="D9" s="265"/>
      <c r="E9" s="577"/>
      <c r="F9" s="577"/>
      <c r="G9" s="577"/>
      <c r="H9" s="577"/>
      <c r="I9" s="73"/>
      <c r="J9" s="158"/>
      <c r="K9" s="265"/>
      <c r="L9" s="323"/>
      <c r="P9" s="133"/>
      <c r="Q9" s="133"/>
      <c r="R9" s="500"/>
      <c r="S9" s="516"/>
      <c r="T9" s="520" t="s">
        <v>462</v>
      </c>
      <c r="U9" s="215"/>
      <c r="V9" s="215"/>
      <c r="W9" s="215"/>
      <c r="X9" s="215"/>
      <c r="Y9" s="215"/>
      <c r="Z9" s="215"/>
      <c r="AA9" s="215"/>
      <c r="AB9" s="215"/>
      <c r="AC9" s="215"/>
      <c r="AD9" s="215"/>
      <c r="AE9" s="215"/>
      <c r="AF9" s="215"/>
      <c r="AG9" s="215"/>
      <c r="AH9" s="215"/>
      <c r="AI9" s="215"/>
      <c r="AJ9" s="518"/>
      <c r="AK9" s="519"/>
      <c r="AM9" s="130"/>
      <c r="AN9" s="130" t="str">
        <f t="shared" si="31"/>
        <v xml:space="preserve">Добавить строку</v>
      </c>
      <c r="AO9" s="130"/>
      <c r="AP9" s="130"/>
      <c r="AQ9" s="50">
        <v>0</v>
      </c>
    </row>
    <row r="10" s="57" customFormat="1" ht="0.75" hidden="1" customHeight="1">
      <c r="A10" s="578"/>
      <c r="B10" s="578"/>
      <c r="C10" s="578"/>
      <c r="D10" s="578"/>
      <c r="E10" s="577"/>
      <c r="F10" s="577"/>
      <c r="G10" s="577"/>
      <c r="H10" s="577"/>
      <c r="I10" s="158"/>
      <c r="J10" s="578"/>
      <c r="K10" s="578"/>
      <c r="L10" s="579"/>
      <c r="M10" s="564"/>
      <c r="N10" s="564"/>
      <c r="O10" s="564"/>
      <c r="P10" s="133"/>
      <c r="Q10" s="133"/>
      <c r="R10" s="500"/>
      <c r="S10" s="593"/>
      <c r="T10" s="594"/>
      <c r="U10" s="595"/>
      <c r="V10" s="595"/>
      <c r="W10" s="595"/>
      <c r="X10" s="595"/>
      <c r="Y10" s="595"/>
      <c r="Z10" s="595"/>
      <c r="AA10" s="595"/>
      <c r="AB10" s="595"/>
      <c r="AC10" s="595"/>
      <c r="AD10" s="595"/>
      <c r="AE10" s="595"/>
      <c r="AF10" s="595"/>
      <c r="AG10" s="595"/>
      <c r="AH10" s="595"/>
      <c r="AI10" s="595"/>
      <c r="AJ10" s="595"/>
      <c r="AK10" s="596"/>
      <c r="AM10" s="130"/>
      <c r="AN10" s="130" t="str">
        <f t="shared" ref="AN10:AN56" si="32">IF(T10="","",T10)</f>
        <v/>
      </c>
      <c r="AO10" s="130"/>
      <c r="AP10" s="130"/>
      <c r="AQ10" s="57">
        <v>0</v>
      </c>
    </row>
    <row r="11" s="57" customFormat="1" ht="0.75" hidden="1" customHeight="1">
      <c r="A11" s="578"/>
      <c r="B11" s="578"/>
      <c r="C11" s="578"/>
      <c r="D11" s="578"/>
      <c r="E11" s="577"/>
      <c r="F11" s="577"/>
      <c r="G11" s="577"/>
      <c r="H11" s="576"/>
      <c r="I11" s="578"/>
      <c r="J11" s="578"/>
      <c r="K11" s="578"/>
      <c r="L11" s="579"/>
      <c r="M11" s="580"/>
      <c r="N11" s="580"/>
      <c r="O11" s="132"/>
      <c r="P11" s="168"/>
      <c r="Q11" s="525"/>
      <c r="R11" s="647"/>
      <c r="S11" s="593"/>
      <c r="T11" s="594"/>
      <c r="U11" s="595"/>
      <c r="V11" s="595"/>
      <c r="W11" s="595"/>
      <c r="X11" s="595"/>
      <c r="Y11" s="595"/>
      <c r="Z11" s="595"/>
      <c r="AA11" s="595"/>
      <c r="AB11" s="595"/>
      <c r="AC11" s="595"/>
      <c r="AD11" s="595"/>
      <c r="AE11" s="595"/>
      <c r="AF11" s="595"/>
      <c r="AG11" s="595"/>
      <c r="AH11" s="595"/>
      <c r="AI11" s="595"/>
      <c r="AJ11" s="595"/>
      <c r="AK11" s="596"/>
      <c r="AM11" s="130"/>
      <c r="AN11" s="130" t="str">
        <f t="shared" si="32"/>
        <v/>
      </c>
      <c r="AO11" s="130"/>
      <c r="AP11" s="130"/>
      <c r="AQ11" s="57">
        <v>0</v>
      </c>
    </row>
    <row r="12" s="57" customFormat="1" ht="0.75" hidden="1" customHeight="1">
      <c r="A12" s="578"/>
      <c r="B12" s="578"/>
      <c r="C12" s="578"/>
      <c r="D12" s="578"/>
      <c r="E12" s="577"/>
      <c r="F12" s="577"/>
      <c r="G12" s="576"/>
      <c r="H12" s="578"/>
      <c r="I12" s="578"/>
      <c r="J12" s="578"/>
      <c r="K12" s="578"/>
      <c r="L12" s="579"/>
      <c r="M12" s="580"/>
      <c r="N12" s="580"/>
      <c r="O12" s="132"/>
      <c r="P12" s="168"/>
      <c r="Q12" s="525"/>
      <c r="R12" s="168"/>
      <c r="S12" s="530"/>
      <c r="T12" s="533" t="s">
        <v>408</v>
      </c>
      <c r="U12" s="532"/>
      <c r="V12" s="532"/>
      <c r="W12" s="532"/>
      <c r="X12" s="532"/>
      <c r="Y12" s="532"/>
      <c r="Z12" s="532"/>
      <c r="AA12" s="532"/>
      <c r="AB12" s="532"/>
      <c r="AC12" s="532"/>
      <c r="AD12" s="532"/>
      <c r="AE12" s="532"/>
      <c r="AF12" s="532"/>
      <c r="AG12" s="532"/>
      <c r="AH12" s="532"/>
      <c r="AI12" s="532"/>
      <c r="AJ12" s="532"/>
      <c r="AK12" s="532"/>
      <c r="AM12" s="130"/>
      <c r="AN12" s="130" t="str">
        <f t="shared" si="32"/>
        <v xml:space="preserve">Добавить источник для дифференциации</v>
      </c>
      <c r="AO12" s="130"/>
      <c r="AP12" s="130"/>
      <c r="AQ12" s="57">
        <v>0</v>
      </c>
    </row>
    <row r="13" s="57" customFormat="1" ht="0.75" hidden="1" customHeight="1">
      <c r="A13" s="578"/>
      <c r="B13" s="578"/>
      <c r="C13" s="578"/>
      <c r="D13" s="578"/>
      <c r="E13" s="577"/>
      <c r="F13" s="576"/>
      <c r="G13" s="578"/>
      <c r="H13" s="578"/>
      <c r="I13" s="578"/>
      <c r="J13" s="578"/>
      <c r="K13" s="578"/>
      <c r="L13" s="579"/>
      <c r="M13" s="581"/>
      <c r="N13" s="581"/>
      <c r="O13" s="132"/>
      <c r="P13" s="168"/>
      <c r="Q13" s="525"/>
      <c r="R13" s="168"/>
      <c r="S13" s="530"/>
      <c r="T13" s="533" t="s">
        <v>409</v>
      </c>
      <c r="U13" s="532"/>
      <c r="V13" s="532"/>
      <c r="W13" s="532"/>
      <c r="X13" s="532"/>
      <c r="Y13" s="532"/>
      <c r="Z13" s="532"/>
      <c r="AA13" s="532"/>
      <c r="AB13" s="532"/>
      <c r="AC13" s="532"/>
      <c r="AD13" s="532"/>
      <c r="AE13" s="532"/>
      <c r="AF13" s="532"/>
      <c r="AG13" s="532"/>
      <c r="AH13" s="532"/>
      <c r="AI13" s="532"/>
      <c r="AJ13" s="532"/>
      <c r="AK13" s="532"/>
      <c r="AM13" s="130"/>
      <c r="AN13" s="130" t="str">
        <f t="shared" si="32"/>
        <v xml:space="preserve">Добавить централизованную систему для дифференциации</v>
      </c>
      <c r="AO13" s="130"/>
      <c r="AP13" s="130"/>
      <c r="AQ13" s="57">
        <v>0</v>
      </c>
    </row>
    <row r="14" s="57" customFormat="1" ht="0.75" hidden="1" customHeight="1">
      <c r="A14" s="578"/>
      <c r="B14" s="578"/>
      <c r="C14" s="578"/>
      <c r="D14" s="578"/>
      <c r="E14" s="576"/>
      <c r="F14" s="578"/>
      <c r="G14" s="578"/>
      <c r="H14" s="578"/>
      <c r="I14" s="578"/>
      <c r="J14" s="578"/>
      <c r="K14" s="578"/>
      <c r="L14" s="579"/>
      <c r="M14" s="581"/>
      <c r="N14" s="581"/>
      <c r="O14" s="132"/>
      <c r="P14" s="168"/>
      <c r="Q14" s="525"/>
      <c r="R14" s="168"/>
      <c r="S14" s="530"/>
      <c r="T14" s="533" t="s">
        <v>410</v>
      </c>
      <c r="U14" s="532"/>
      <c r="V14" s="532"/>
      <c r="W14" s="532"/>
      <c r="X14" s="532"/>
      <c r="Y14" s="532"/>
      <c r="Z14" s="532"/>
      <c r="AA14" s="532"/>
      <c r="AB14" s="532"/>
      <c r="AC14" s="532"/>
      <c r="AD14" s="532"/>
      <c r="AE14" s="532"/>
      <c r="AF14" s="532"/>
      <c r="AG14" s="532"/>
      <c r="AH14" s="532"/>
      <c r="AI14" s="532"/>
      <c r="AJ14" s="532"/>
      <c r="AK14" s="532"/>
      <c r="AM14" s="130"/>
      <c r="AN14" s="130" t="str">
        <f t="shared" si="32"/>
        <v xml:space="preserve">Добавить территорию для дифференциации</v>
      </c>
      <c r="AO14" s="130"/>
      <c r="AP14" s="130"/>
      <c r="AQ14" s="57">
        <v>0</v>
      </c>
    </row>
    <row r="15" ht="14.25" hidden="1" customHeight="1">
      <c r="AQ15" s="50">
        <v>0</v>
      </c>
    </row>
    <row r="16" ht="14.25" hidden="1" customHeight="1">
      <c r="AC16" s="649"/>
      <c r="AD16" s="652"/>
      <c r="AE16" s="653"/>
      <c r="AF16" s="654"/>
      <c r="AG16" s="655" t="s">
        <v>64</v>
      </c>
      <c r="AH16" s="654"/>
      <c r="AI16" s="655" t="s">
        <v>64</v>
      </c>
      <c r="AQ16" s="50">
        <v>0</v>
      </c>
    </row>
    <row r="17" ht="14.25" hidden="1" customHeight="1">
      <c r="AL17" s="132"/>
      <c r="AM17" s="132"/>
      <c r="AN17" s="132"/>
      <c r="AO17" s="132"/>
      <c r="AP17" s="132"/>
      <c r="AQ17" s="50">
        <v>0</v>
      </c>
    </row>
    <row r="18" ht="14.25" hidden="1" customHeight="1">
      <c r="O18" s="582" t="s">
        <v>411</v>
      </c>
      <c r="X18" s="582"/>
      <c r="Z18" s="582"/>
      <c r="AF18" s="582"/>
      <c r="AH18" s="582"/>
      <c r="AL18" s="132"/>
      <c r="AM18" s="132"/>
      <c r="AN18" s="132"/>
      <c r="AO18" s="132"/>
      <c r="AP18" s="132"/>
      <c r="AQ18" s="50">
        <v>0</v>
      </c>
    </row>
    <row r="19" ht="14.25" hidden="1" customHeight="1">
      <c r="AL19" s="132"/>
      <c r="AM19" s="132"/>
      <c r="AN19" s="132"/>
      <c r="AO19" s="132"/>
      <c r="AP19" s="132"/>
      <c r="AQ19" s="50">
        <v>0</v>
      </c>
    </row>
    <row r="20" s="656" customFormat="1" ht="14.25" hidden="1" customHeight="1">
      <c r="A20" s="692"/>
      <c r="B20" s="692"/>
      <c r="C20" s="692"/>
      <c r="D20" s="692"/>
      <c r="E20" s="692"/>
      <c r="F20" s="692"/>
      <c r="G20" s="692"/>
      <c r="H20" s="692"/>
      <c r="I20" s="692"/>
      <c r="J20" s="692"/>
      <c r="K20" s="692"/>
      <c r="L20" s="692"/>
      <c r="M20" s="583"/>
      <c r="N20" s="583"/>
      <c r="O20" s="692" t="s">
        <v>412</v>
      </c>
      <c r="P20" s="657"/>
      <c r="Q20" s="658"/>
      <c r="R20" s="658"/>
      <c r="Y20" s="656" t="s">
        <v>414</v>
      </c>
      <c r="AA20" s="656" t="s">
        <v>415</v>
      </c>
      <c r="AC20" s="656" t="s">
        <v>464</v>
      </c>
      <c r="AG20" s="656" t="s">
        <v>414</v>
      </c>
      <c r="AI20" s="656" t="s">
        <v>415</v>
      </c>
      <c r="AL20" s="659"/>
      <c r="AM20" s="659"/>
      <c r="AN20" s="659"/>
      <c r="AO20" s="659"/>
      <c r="AP20" s="659"/>
      <c r="AQ20" s="656">
        <v>0</v>
      </c>
    </row>
    <row r="21" ht="14.25" hidden="1" customHeight="1">
      <c r="O21" s="323"/>
      <c r="AL21" s="132"/>
      <c r="AM21" s="132"/>
      <c r="AN21" s="132"/>
      <c r="AO21" s="132"/>
      <c r="AP21" s="132"/>
      <c r="AQ21" s="50">
        <v>0</v>
      </c>
    </row>
    <row r="22" ht="14.25" hidden="1" customHeight="1">
      <c r="O22" s="323"/>
      <c r="AL22" s="132"/>
      <c r="AM22" s="132"/>
      <c r="AN22" s="132"/>
      <c r="AO22" s="132"/>
      <c r="AP22" s="132"/>
      <c r="AQ22" s="50">
        <v>0</v>
      </c>
    </row>
    <row r="23" ht="14.65" customHeight="1">
      <c r="Q23" s="660"/>
      <c r="R23" s="540"/>
      <c r="S23" s="541"/>
      <c r="T23" s="91"/>
      <c r="U23" s="91"/>
      <c r="V23" s="50"/>
      <c r="W23" s="50"/>
      <c r="X23" s="50"/>
      <c r="Y23" s="50"/>
      <c r="Z23" s="50"/>
      <c r="AA23" s="50"/>
      <c r="AB23" s="50"/>
      <c r="AC23" s="50"/>
      <c r="AD23" s="50"/>
      <c r="AE23" s="50"/>
      <c r="AF23" s="50"/>
      <c r="AG23" s="50"/>
      <c r="AH23" s="50"/>
      <c r="AI23" s="50"/>
      <c r="AQ23" s="50">
        <v>14</v>
      </c>
    </row>
    <row r="24" ht="39.75" customHeight="1">
      <c r="Q24" s="660"/>
      <c r="R24" s="540"/>
      <c r="S24" s="453" t="str">
        <f>IF(TEMPLATE_GROUP="P",PT_P_FORM_HEAT_7_NAME_FORM,PT_R_FORM_HEAT_24_NAME_FORM)</f>
        <v xml:space="preserve">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453"/>
      <c r="U24" s="453"/>
      <c r="V24" s="453"/>
      <c r="W24" s="453"/>
      <c r="X24" s="453"/>
      <c r="Y24" s="453"/>
      <c r="Z24" s="453"/>
      <c r="AA24" s="453"/>
      <c r="AB24" s="453"/>
      <c r="AC24" s="453"/>
      <c r="AD24" s="453"/>
      <c r="AE24" s="453"/>
      <c r="AF24" s="453"/>
      <c r="AG24" s="453"/>
      <c r="AH24" s="453"/>
      <c r="AI24" s="241"/>
      <c r="AQ24" s="50">
        <v>38</v>
      </c>
    </row>
    <row r="25" ht="14.65" customHeight="1">
      <c r="Q25" s="660"/>
      <c r="R25" s="540"/>
      <c r="S25" s="304" t="str">
        <f>IF(org=0,"Не определено",org)</f>
        <v xml:space="preserve">АО "ДГК" СП "Биробиджанская ТЭЦ"</v>
      </c>
      <c r="T25" s="304"/>
      <c r="U25" s="304"/>
      <c r="V25" s="304"/>
      <c r="W25" s="304"/>
      <c r="X25" s="304"/>
      <c r="Y25" s="304"/>
      <c r="Z25" s="304"/>
      <c r="AA25" s="304"/>
      <c r="AB25" s="304"/>
      <c r="AC25" s="304"/>
      <c r="AD25" s="304"/>
      <c r="AE25" s="304"/>
      <c r="AF25" s="304"/>
      <c r="AG25" s="304"/>
      <c r="AH25" s="304"/>
      <c r="AI25" s="241"/>
      <c r="AQ25" s="50">
        <v>14</v>
      </c>
    </row>
    <row r="26" ht="14.25" hidden="1" customHeight="1">
      <c r="Q26" s="660"/>
      <c r="R26" s="540"/>
      <c r="S26" s="541"/>
      <c r="T26" s="91"/>
      <c r="U26" s="91"/>
      <c r="V26" s="542"/>
      <c r="W26" s="542"/>
      <c r="X26" s="542"/>
      <c r="Y26" s="542"/>
      <c r="Z26" s="542"/>
      <c r="AA26" s="542"/>
      <c r="AB26" s="542"/>
      <c r="AC26" s="542"/>
      <c r="AD26" s="542"/>
      <c r="AE26" s="542"/>
      <c r="AF26" s="542"/>
      <c r="AG26" s="542"/>
      <c r="AH26" s="542"/>
      <c r="AI26" s="542"/>
      <c r="AJ26" s="50"/>
      <c r="AQ26" s="50">
        <v>0</v>
      </c>
    </row>
    <row r="27" s="185" customFormat="1" ht="25.5" hidden="1" customHeight="1">
      <c r="A27" s="107"/>
      <c r="B27" s="107"/>
      <c r="C27" s="107"/>
      <c r="D27" s="107"/>
      <c r="E27" s="107"/>
      <c r="F27" s="107"/>
      <c r="G27" s="107"/>
      <c r="H27" s="107"/>
      <c r="I27" s="107"/>
      <c r="J27" s="107"/>
      <c r="K27" s="107"/>
      <c r="L27" s="323"/>
      <c r="M27" s="107"/>
      <c r="N27" s="107"/>
      <c r="O27" s="107"/>
      <c r="P27" s="152"/>
      <c r="Q27" s="152"/>
      <c r="S27" s="543" t="s">
        <v>41</v>
      </c>
      <c r="T27" s="543"/>
      <c r="U27" s="544"/>
      <c r="V27" s="545" t="str">
        <f>IF(TITLE_NAME_OR_PR_CHANGE="",IF(TITLE_NAME_OR_PR="","",TITLE_NAME_OR_PR),TITLE_NAME_OR_PR_CHANGE)</f>
        <v/>
      </c>
      <c r="W27" s="545"/>
      <c r="X27" s="545"/>
      <c r="Y27" s="545"/>
      <c r="Z27" s="545"/>
      <c r="AA27" s="50"/>
      <c r="AB27" s="50"/>
      <c r="AC27" s="545"/>
      <c r="AD27" s="545"/>
      <c r="AE27" s="545"/>
      <c r="AF27" s="545"/>
      <c r="AG27" s="545"/>
      <c r="AH27" s="545"/>
      <c r="AI27" s="50"/>
      <c r="AJ27" s="50"/>
      <c r="AK27" s="546"/>
      <c r="AL27" s="130"/>
      <c r="AM27" s="130"/>
      <c r="AN27" s="130"/>
      <c r="AO27" s="130"/>
      <c r="AP27" s="130"/>
      <c r="AQ27" s="185">
        <v>0</v>
      </c>
    </row>
    <row r="28" s="185" customFormat="1" ht="18.75" hidden="1" customHeight="1">
      <c r="A28" s="107"/>
      <c r="B28" s="107"/>
      <c r="C28" s="107"/>
      <c r="D28" s="107"/>
      <c r="E28" s="107"/>
      <c r="F28" s="107"/>
      <c r="G28" s="107"/>
      <c r="H28" s="107"/>
      <c r="I28" s="107"/>
      <c r="J28" s="107"/>
      <c r="K28" s="107"/>
      <c r="L28" s="323"/>
      <c r="M28" s="107"/>
      <c r="N28" s="107"/>
      <c r="O28" s="107"/>
      <c r="P28" s="152"/>
      <c r="Q28" s="152"/>
      <c r="S28" s="543" t="s">
        <v>417</v>
      </c>
      <c r="T28" s="543"/>
      <c r="U28" s="544"/>
      <c r="V28" s="547" t="str">
        <f>IF(TITLE_DATE_PR_CHANGE="",IF(TITLE_DATE_PR="","",TITLE_DATE_PR),TITLE_DATE_PR_CHANGE)</f>
        <v/>
      </c>
      <c r="W28" s="547"/>
      <c r="X28" s="547"/>
      <c r="Y28" s="547"/>
      <c r="Z28" s="547"/>
      <c r="AA28" s="50"/>
      <c r="AB28" s="50"/>
      <c r="AC28" s="547"/>
      <c r="AD28" s="547"/>
      <c r="AE28" s="547"/>
      <c r="AF28" s="547"/>
      <c r="AG28" s="547"/>
      <c r="AH28" s="547"/>
      <c r="AI28" s="50"/>
      <c r="AJ28" s="50"/>
      <c r="AK28" s="546"/>
      <c r="AL28" s="130"/>
      <c r="AM28" s="130"/>
      <c r="AN28" s="130"/>
      <c r="AO28" s="130"/>
      <c r="AP28" s="130"/>
      <c r="AQ28" s="185">
        <v>0</v>
      </c>
    </row>
    <row r="29" s="185" customFormat="1" ht="18.75" hidden="1" customHeight="1">
      <c r="A29" s="107"/>
      <c r="B29" s="107"/>
      <c r="C29" s="107"/>
      <c r="D29" s="107"/>
      <c r="E29" s="107"/>
      <c r="F29" s="107"/>
      <c r="G29" s="107"/>
      <c r="H29" s="107"/>
      <c r="I29" s="107"/>
      <c r="J29" s="107"/>
      <c r="K29" s="107"/>
      <c r="L29" s="323"/>
      <c r="M29" s="107"/>
      <c r="N29" s="107"/>
      <c r="O29" s="107"/>
      <c r="P29" s="152"/>
      <c r="Q29" s="152"/>
      <c r="S29" s="543" t="s">
        <v>418</v>
      </c>
      <c r="T29" s="543"/>
      <c r="U29" s="544"/>
      <c r="V29" s="545" t="str">
        <f>IF(TITLE_NUMBER_PR_CHANGE="",IF(TITLE_NUMBER_PR="","",TITLE_NUMBER_PR),TITLE_NUMBER_PR_CHANGE)</f>
        <v/>
      </c>
      <c r="W29" s="545"/>
      <c r="X29" s="545"/>
      <c r="Y29" s="545"/>
      <c r="Z29" s="545"/>
      <c r="AA29" s="50"/>
      <c r="AB29" s="50"/>
      <c r="AC29" s="545"/>
      <c r="AD29" s="545"/>
      <c r="AE29" s="545"/>
      <c r="AF29" s="545"/>
      <c r="AG29" s="545"/>
      <c r="AH29" s="545"/>
      <c r="AI29" s="50"/>
      <c r="AJ29" s="50"/>
      <c r="AK29" s="546"/>
      <c r="AL29" s="130"/>
      <c r="AM29" s="130"/>
      <c r="AN29" s="130"/>
      <c r="AO29" s="130"/>
      <c r="AP29" s="130"/>
      <c r="AQ29" s="185">
        <v>0</v>
      </c>
    </row>
    <row r="30" s="185" customFormat="1" ht="18.75" hidden="1" customHeight="1">
      <c r="A30" s="107"/>
      <c r="B30" s="107"/>
      <c r="C30" s="107"/>
      <c r="D30" s="107"/>
      <c r="E30" s="107"/>
      <c r="F30" s="107"/>
      <c r="G30" s="107"/>
      <c r="H30" s="107"/>
      <c r="I30" s="107"/>
      <c r="J30" s="107"/>
      <c r="K30" s="107"/>
      <c r="L30" s="323"/>
      <c r="M30" s="107"/>
      <c r="N30" s="107"/>
      <c r="O30" s="107"/>
      <c r="P30" s="152"/>
      <c r="Q30" s="152"/>
      <c r="S30" s="543" t="s">
        <v>42</v>
      </c>
      <c r="T30" s="543"/>
      <c r="U30" s="544"/>
      <c r="V30" s="545" t="str">
        <f>IF(TITLE_IST_PUB_CHANGE="",IF(TITLE_IST_PUB="","",TITLE_IST_PUB),TITLE_IST_PUB_CHANGE)</f>
        <v/>
      </c>
      <c r="W30" s="545"/>
      <c r="X30" s="545"/>
      <c r="Y30" s="545"/>
      <c r="Z30" s="545"/>
      <c r="AA30" s="50"/>
      <c r="AB30" s="50"/>
      <c r="AC30" s="545"/>
      <c r="AD30" s="545"/>
      <c r="AE30" s="545"/>
      <c r="AF30" s="545"/>
      <c r="AG30" s="545"/>
      <c r="AH30" s="545"/>
      <c r="AI30" s="50"/>
      <c r="AJ30" s="50"/>
      <c r="AK30" s="546"/>
      <c r="AL30" s="130"/>
      <c r="AM30" s="130"/>
      <c r="AN30" s="130"/>
      <c r="AO30" s="130"/>
      <c r="AP30" s="130"/>
      <c r="AQ30" s="185">
        <v>0</v>
      </c>
    </row>
    <row r="31" ht="14.25" hidden="1" customHeight="1">
      <c r="Q31" s="660"/>
      <c r="R31" s="540"/>
      <c r="S31" s="541"/>
      <c r="T31" s="91"/>
      <c r="U31" s="91"/>
      <c r="V31" s="542"/>
      <c r="W31" s="542"/>
      <c r="X31" s="542"/>
      <c r="Y31" s="542"/>
      <c r="Z31" s="542"/>
      <c r="AA31" s="542"/>
      <c r="AB31" s="542"/>
      <c r="AC31" s="542"/>
      <c r="AD31" s="542"/>
      <c r="AE31" s="542"/>
      <c r="AF31" s="542"/>
      <c r="AG31" s="542"/>
      <c r="AH31" s="542"/>
      <c r="AI31" s="542"/>
      <c r="AJ31" s="50"/>
      <c r="AQ31" s="50">
        <v>0</v>
      </c>
    </row>
    <row r="32" s="185" customFormat="1" ht="18.75" hidden="1" customHeight="1">
      <c r="A32" s="107"/>
      <c r="B32" s="107"/>
      <c r="C32" s="107"/>
      <c r="D32" s="107"/>
      <c r="E32" s="107"/>
      <c r="F32" s="107"/>
      <c r="G32" s="107"/>
      <c r="H32" s="107"/>
      <c r="I32" s="107"/>
      <c r="J32" s="107"/>
      <c r="K32" s="107"/>
      <c r="L32" s="323"/>
      <c r="M32" s="107"/>
      <c r="N32" s="107"/>
      <c r="O32" s="107"/>
      <c r="P32" s="152"/>
      <c r="Q32" s="152"/>
      <c r="S32" s="543" t="s">
        <v>417</v>
      </c>
      <c r="T32" s="543"/>
      <c r="U32" s="544"/>
      <c r="V32" s="547" t="str">
        <f>IF(TITLE_DATE_PR_CHANGE="",IF(TITLE_DATE_PR="","",TITLE_DATE_PR),TITLE_DATE_PR_CHANGE)</f>
        <v/>
      </c>
      <c r="W32" s="547"/>
      <c r="X32" s="547"/>
      <c r="Y32" s="547"/>
      <c r="Z32" s="547"/>
      <c r="AA32" s="50"/>
      <c r="AB32" s="50"/>
      <c r="AC32" s="547"/>
      <c r="AD32" s="547"/>
      <c r="AE32" s="547"/>
      <c r="AF32" s="547"/>
      <c r="AG32" s="547"/>
      <c r="AH32" s="547"/>
      <c r="AI32" s="50"/>
      <c r="AJ32" s="50"/>
      <c r="AK32" s="546"/>
      <c r="AL32" s="130"/>
      <c r="AM32" s="130"/>
      <c r="AN32" s="130"/>
      <c r="AO32" s="130"/>
      <c r="AP32" s="130"/>
      <c r="AQ32" s="185">
        <v>0</v>
      </c>
    </row>
    <row r="33" s="185" customFormat="1" ht="18" hidden="1" customHeight="1">
      <c r="A33" s="107"/>
      <c r="B33" s="107"/>
      <c r="C33" s="107"/>
      <c r="D33" s="107"/>
      <c r="E33" s="107"/>
      <c r="F33" s="107"/>
      <c r="G33" s="107"/>
      <c r="H33" s="107"/>
      <c r="I33" s="107"/>
      <c r="J33" s="107"/>
      <c r="K33" s="107"/>
      <c r="L33" s="323"/>
      <c r="M33" s="107"/>
      <c r="N33" s="107"/>
      <c r="O33" s="107"/>
      <c r="P33" s="152"/>
      <c r="Q33" s="152"/>
      <c r="S33" s="543" t="s">
        <v>418</v>
      </c>
      <c r="T33" s="543"/>
      <c r="U33" s="544"/>
      <c r="V33" s="545" t="str">
        <f>IF(TITLE_NUMBER_PR_CHANGE="",IF(TITLE_NUMBER_PR="","",TITLE_NUMBER_PR),TITLE_NUMBER_PR_CHANGE)</f>
        <v/>
      </c>
      <c r="W33" s="545"/>
      <c r="X33" s="545"/>
      <c r="Y33" s="545"/>
      <c r="Z33" s="545"/>
      <c r="AA33" s="50"/>
      <c r="AB33" s="50"/>
      <c r="AC33" s="545"/>
      <c r="AD33" s="545"/>
      <c r="AE33" s="545"/>
      <c r="AF33" s="545"/>
      <c r="AG33" s="545"/>
      <c r="AH33" s="545"/>
      <c r="AI33" s="50"/>
      <c r="AJ33" s="50"/>
      <c r="AK33" s="546"/>
      <c r="AL33" s="130"/>
      <c r="AM33" s="130"/>
      <c r="AN33" s="130"/>
      <c r="AO33" s="130"/>
      <c r="AP33" s="130"/>
      <c r="AQ33" s="185">
        <v>0</v>
      </c>
    </row>
    <row r="34" s="185" customFormat="1" ht="1.05" customHeight="1">
      <c r="A34" s="107"/>
      <c r="B34" s="107"/>
      <c r="C34" s="107"/>
      <c r="D34" s="107"/>
      <c r="E34" s="107"/>
      <c r="F34" s="107"/>
      <c r="G34" s="107"/>
      <c r="H34" s="107"/>
      <c r="I34" s="107"/>
      <c r="J34" s="107"/>
      <c r="K34" s="107"/>
      <c r="L34" s="323"/>
      <c r="M34" s="107"/>
      <c r="N34" s="107"/>
      <c r="O34" s="107"/>
      <c r="P34" s="152"/>
      <c r="Q34" s="152"/>
      <c r="S34" s="50"/>
      <c r="T34" s="50"/>
      <c r="U34" s="141"/>
      <c r="V34" s="50"/>
      <c r="W34" s="50"/>
      <c r="X34" s="50"/>
      <c r="Y34" s="50"/>
      <c r="Z34" s="50"/>
      <c r="AA34" s="57" t="s">
        <v>421</v>
      </c>
      <c r="AB34" s="57"/>
      <c r="AC34" s="50"/>
      <c r="AD34" s="50"/>
      <c r="AE34" s="50"/>
      <c r="AF34" s="50"/>
      <c r="AG34" s="50"/>
      <c r="AH34" s="50"/>
      <c r="AI34" s="57" t="s">
        <v>421</v>
      </c>
      <c r="AL34" s="130"/>
      <c r="AM34" s="130"/>
      <c r="AN34" s="130"/>
      <c r="AO34" s="130"/>
      <c r="AP34" s="130"/>
      <c r="AQ34" s="185">
        <v>1</v>
      </c>
    </row>
    <row r="35" ht="14.65" customHeight="1">
      <c r="Q35" s="660"/>
      <c r="R35" s="540"/>
      <c r="S35" s="541"/>
      <c r="T35" s="91"/>
      <c r="U35" s="548"/>
      <c r="V35" s="549"/>
      <c r="W35" s="549"/>
      <c r="X35" s="549"/>
      <c r="Y35" s="549"/>
      <c r="Z35" s="549"/>
      <c r="AA35" s="549"/>
      <c r="AB35" s="549"/>
      <c r="AC35" s="549"/>
      <c r="AD35" s="549"/>
      <c r="AE35" s="549"/>
      <c r="AF35" s="549"/>
      <c r="AG35" s="549"/>
      <c r="AH35" s="549"/>
      <c r="AI35" s="549"/>
      <c r="AQ35" s="50">
        <v>14</v>
      </c>
    </row>
    <row r="36" ht="14.65" customHeight="1">
      <c r="Q36" s="660"/>
      <c r="R36" s="540"/>
      <c r="S36" s="158" t="s">
        <v>294</v>
      </c>
      <c r="T36" s="158"/>
      <c r="U36" s="158"/>
      <c r="V36" s="158"/>
      <c r="W36" s="158"/>
      <c r="X36" s="158"/>
      <c r="Y36" s="158"/>
      <c r="Z36" s="158"/>
      <c r="AA36" s="308"/>
      <c r="AB36" s="308"/>
      <c r="AC36" s="308"/>
      <c r="AD36" s="158"/>
      <c r="AE36" s="158"/>
      <c r="AF36" s="158"/>
      <c r="AG36" s="158"/>
      <c r="AH36" s="158"/>
      <c r="AI36" s="158"/>
      <c r="AJ36" s="158"/>
      <c r="AK36" s="158" t="s">
        <v>295</v>
      </c>
      <c r="AQ36" s="50">
        <v>14</v>
      </c>
    </row>
    <row r="37" ht="14.65" customHeight="1">
      <c r="Q37" s="660"/>
      <c r="R37" s="540"/>
      <c r="S37" s="485" t="s">
        <v>87</v>
      </c>
      <c r="T37" s="348" t="s">
        <v>493</v>
      </c>
      <c r="U37" s="550"/>
      <c r="V37" s="552"/>
      <c r="W37" s="552"/>
      <c r="X37" s="552"/>
      <c r="Y37" s="552"/>
      <c r="Z37" s="552"/>
      <c r="AA37" s="348" t="s">
        <v>424</v>
      </c>
      <c r="AB37" s="347" t="s">
        <v>494</v>
      </c>
      <c r="AC37" s="347" t="s">
        <v>468</v>
      </c>
      <c r="AD37" s="585" t="s">
        <v>423</v>
      </c>
      <c r="AE37" s="585"/>
      <c r="AF37" s="552"/>
      <c r="AG37" s="552"/>
      <c r="AH37" s="553"/>
      <c r="AI37" s="554" t="s">
        <v>424</v>
      </c>
      <c r="AJ37" s="555" t="s">
        <v>426</v>
      </c>
      <c r="AK37" s="158"/>
      <c r="AQ37" s="50">
        <v>14</v>
      </c>
    </row>
    <row r="38" ht="35.649999999999999" customHeight="1">
      <c r="Q38" s="660"/>
      <c r="R38" s="540"/>
      <c r="S38" s="485"/>
      <c r="T38" s="348"/>
      <c r="U38" s="556"/>
      <c r="V38" s="72" t="s">
        <v>471</v>
      </c>
      <c r="W38" s="158"/>
      <c r="X38" s="305" t="s">
        <v>430</v>
      </c>
      <c r="Y38" s="627"/>
      <c r="Z38" s="627"/>
      <c r="AA38" s="348"/>
      <c r="AB38" s="347"/>
      <c r="AC38" s="347"/>
      <c r="AD38" s="72" t="s">
        <v>471</v>
      </c>
      <c r="AE38" s="158"/>
      <c r="AF38" s="627" t="s">
        <v>430</v>
      </c>
      <c r="AG38" s="627"/>
      <c r="AH38" s="306"/>
      <c r="AI38" s="558"/>
      <c r="AJ38" s="559"/>
      <c r="AK38" s="158"/>
      <c r="AQ38" s="50">
        <v>34</v>
      </c>
    </row>
    <row r="39" ht="14.65" customHeight="1">
      <c r="Q39" s="660"/>
      <c r="R39" s="540"/>
      <c r="S39" s="485"/>
      <c r="T39" s="348"/>
      <c r="U39" s="556"/>
      <c r="V39" s="668" t="str">
        <f>IF($AD$39&lt;&gt;"",$AD$39,"")</f>
        <v/>
      </c>
      <c r="W39" s="668"/>
      <c r="X39" s="311"/>
      <c r="Y39" s="628"/>
      <c r="Z39" s="628"/>
      <c r="AA39" s="348"/>
      <c r="AB39" s="347"/>
      <c r="AC39" s="347"/>
      <c r="AD39" s="693"/>
      <c r="AE39" s="669"/>
      <c r="AF39" s="628"/>
      <c r="AG39" s="628"/>
      <c r="AH39" s="312"/>
      <c r="AI39" s="558"/>
      <c r="AJ39" s="559"/>
      <c r="AK39" s="158"/>
      <c r="AQ39" s="50">
        <v>14</v>
      </c>
    </row>
    <row r="40" ht="14.65" customHeight="1">
      <c r="A40" s="107"/>
      <c r="B40" s="107" t="s">
        <v>131</v>
      </c>
      <c r="C40" s="107" t="s">
        <v>132</v>
      </c>
      <c r="D40" s="107" t="s">
        <v>133</v>
      </c>
      <c r="E40" s="323" t="s">
        <v>431</v>
      </c>
      <c r="F40" s="323" t="s">
        <v>432</v>
      </c>
      <c r="G40" s="323" t="s">
        <v>433</v>
      </c>
      <c r="H40" s="323" t="s">
        <v>434</v>
      </c>
      <c r="I40" s="323" t="s">
        <v>435</v>
      </c>
      <c r="J40" s="323" t="s">
        <v>436</v>
      </c>
      <c r="K40" s="323" t="s">
        <v>437</v>
      </c>
      <c r="L40" s="323" t="s">
        <v>412</v>
      </c>
      <c r="Q40" s="660"/>
      <c r="R40" s="540"/>
      <c r="S40" s="485"/>
      <c r="T40" s="348"/>
      <c r="U40" s="560"/>
      <c r="V40" s="348" t="s">
        <v>472</v>
      </c>
      <c r="W40" s="348" t="s">
        <v>473</v>
      </c>
      <c r="X40" s="247" t="s">
        <v>440</v>
      </c>
      <c r="Y40" s="416" t="s">
        <v>441</v>
      </c>
      <c r="Z40" s="417"/>
      <c r="AA40" s="348"/>
      <c r="AB40" s="347"/>
      <c r="AC40" s="347"/>
      <c r="AD40" s="694" t="s">
        <v>472</v>
      </c>
      <c r="AE40" s="562" t="s">
        <v>473</v>
      </c>
      <c r="AF40" s="247" t="s">
        <v>440</v>
      </c>
      <c r="AG40" s="416" t="s">
        <v>441</v>
      </c>
      <c r="AH40" s="418"/>
      <c r="AI40" s="562"/>
      <c r="AJ40" s="563"/>
      <c r="AK40" s="158"/>
      <c r="AQ40" s="50">
        <v>14</v>
      </c>
    </row>
    <row r="41" s="132" customFormat="1" ht="11.25" hidden="1" customHeight="1">
      <c r="A41" s="107"/>
      <c r="B41" s="107"/>
      <c r="C41" s="107"/>
      <c r="D41" s="107"/>
      <c r="E41" s="107"/>
      <c r="F41" s="107"/>
      <c r="G41" s="107"/>
      <c r="H41" s="107"/>
      <c r="I41" s="107"/>
      <c r="J41" s="107"/>
      <c r="K41" s="107"/>
      <c r="L41" s="323"/>
      <c r="M41" s="60"/>
      <c r="N41" s="60"/>
      <c r="O41" s="60"/>
      <c r="P41" s="597"/>
      <c r="Q41" s="566"/>
      <c r="R41" s="566">
        <v>1</v>
      </c>
      <c r="S41" s="567" t="s">
        <v>105</v>
      </c>
      <c r="T41" s="568" t="s">
        <v>106</v>
      </c>
      <c r="U41" s="569" t="str">
        <f ca="1">OFFSET(U41,0,-1)</f>
        <v>2</v>
      </c>
      <c r="V41" s="570">
        <f ca="1">OFFSET(V41,0,-1)+1</f>
        <v>3</v>
      </c>
      <c r="W41" s="570">
        <f ca="1">OFFSET(W41,0,-1)+1</f>
        <v>4</v>
      </c>
      <c r="X41" s="570">
        <f ca="1">OFFSET(X41,0,-1)+1</f>
        <v>5</v>
      </c>
      <c r="Y41" s="570">
        <f ca="1">OFFSET(Y41,0,-1)+1</f>
        <v>6</v>
      </c>
      <c r="Z41" s="570"/>
      <c r="AA41" s="427">
        <f ca="1">OFFSET(AA41,0,-2)+1</f>
        <v>7</v>
      </c>
      <c r="AB41" s="427"/>
      <c r="AC41" s="427"/>
      <c r="AD41" s="570">
        <f ca="1">OFFSET(AD41,0,-1)+1</f>
        <v>1</v>
      </c>
      <c r="AE41" s="570">
        <f ca="1">OFFSET(AE41,0,-1)+1</f>
        <v>2</v>
      </c>
      <c r="AF41" s="570">
        <f ca="1">OFFSET(AF41,0,-1)+1</f>
        <v>3</v>
      </c>
      <c r="AG41" s="570">
        <f ca="1">OFFSET(AG41,0,-1)+1</f>
        <v>4</v>
      </c>
      <c r="AH41" s="570"/>
      <c r="AI41" s="570">
        <f ca="1">OFFSET(AI41,0,-2)+1</f>
        <v>5</v>
      </c>
      <c r="AJ41" s="569">
        <f ca="1">OFFSET(AJ41,0,-1)</f>
        <v>5</v>
      </c>
      <c r="AK41" s="570">
        <f ca="1">OFFSET(AK41,0,-1)+1</f>
        <v>6</v>
      </c>
      <c r="AL41" s="57"/>
      <c r="AM41" s="57"/>
      <c r="AN41" s="57"/>
      <c r="AO41" s="57"/>
      <c r="AP41" s="57"/>
      <c r="AQ41" s="132">
        <v>0</v>
      </c>
    </row>
    <row r="42" ht="107.25" customHeight="1">
      <c r="A42" s="265" t="s">
        <v>200</v>
      </c>
      <c r="B42" s="265"/>
      <c r="C42" s="265"/>
      <c r="D42" s="265"/>
      <c r="E42" s="576">
        <v>1</v>
      </c>
      <c r="F42" s="265"/>
      <c r="G42" s="265"/>
      <c r="H42" s="265"/>
      <c r="I42" s="265"/>
      <c r="J42" s="265"/>
      <c r="K42" s="265"/>
      <c r="L42" s="323"/>
      <c r="M42" s="86"/>
      <c r="N42" s="86"/>
      <c r="O42" s="86"/>
      <c r="P42" s="61"/>
      <c r="Q42" s="64"/>
      <c r="R42" s="484"/>
      <c r="S42" s="485">
        <f>INDEX(PT_DIFFERENTIATION_NUM_NTAR,MATCH(A42,PT_DIFFERENTIATION_NTAR_ID,0))</f>
        <v>0</v>
      </c>
      <c r="T42" s="486" t="s">
        <v>119</v>
      </c>
      <c r="U42" s="487"/>
      <c r="V42" s="489"/>
      <c r="W42" s="489"/>
      <c r="X42" s="489"/>
      <c r="Y42" s="489"/>
      <c r="Z42" s="489"/>
      <c r="AA42" s="490"/>
      <c r="AB42" s="489"/>
      <c r="AC42" s="489" t="str">
        <f>INDEX(PT_DIFFERENTIATION_NTAR,MATCH(A42,PT_DIFFERENTIATION_NTAR_ID,0))</f>
        <v/>
      </c>
      <c r="AD42" s="489"/>
      <c r="AE42" s="489"/>
      <c r="AF42" s="489"/>
      <c r="AG42" s="489"/>
      <c r="AH42" s="489"/>
      <c r="AI42" s="489"/>
      <c r="AJ42" s="490"/>
      <c r="AK42" s="49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 xml:space="preserve">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30"/>
      <c r="AN42" s="130" t="str">
        <f t="shared" si="32"/>
        <v xml:space="preserve">Наименование тарифа</v>
      </c>
      <c r="AO42" s="130"/>
      <c r="AP42" s="130"/>
      <c r="AQ42" s="50">
        <v>102</v>
      </c>
    </row>
    <row r="43" ht="22" customHeight="1">
      <c r="A43" s="265" t="s">
        <v>200</v>
      </c>
      <c r="B43" s="265" t="s">
        <v>201</v>
      </c>
      <c r="C43" s="265"/>
      <c r="D43" s="265"/>
      <c r="E43" s="577"/>
      <c r="F43" s="576">
        <v>1</v>
      </c>
      <c r="G43" s="265"/>
      <c r="H43" s="265"/>
      <c r="I43" s="265"/>
      <c r="J43" s="265"/>
      <c r="K43" s="265"/>
      <c r="L43" s="323"/>
      <c r="M43" s="86"/>
      <c r="N43" s="86"/>
      <c r="O43" s="86"/>
      <c r="P43" s="114"/>
      <c r="Q43" s="630"/>
      <c r="R43" s="494"/>
      <c r="S43" s="485" t="str">
        <f>INDEX(PT_DIFFERENTIATION_NUM_TER,MATCH(B43,PT_DIFFERENTIATION_TER_ID,0))</f>
        <v>.</v>
      </c>
      <c r="T43" s="495" t="s">
        <v>391</v>
      </c>
      <c r="U43" s="487"/>
      <c r="V43" s="489"/>
      <c r="W43" s="489"/>
      <c r="X43" s="489"/>
      <c r="Y43" s="489"/>
      <c r="Z43" s="489"/>
      <c r="AA43" s="490"/>
      <c r="AB43" s="489"/>
      <c r="AC43" s="489" t="str">
        <f>INDEX(PT_DIFFERENTIATION_TER,MATCH(B43,PT_DIFFERENTIATION_TER_ID,0))</f>
        <v/>
      </c>
      <c r="AD43" s="489"/>
      <c r="AE43" s="489"/>
      <c r="AF43" s="489"/>
      <c r="AG43" s="489"/>
      <c r="AH43" s="489"/>
      <c r="AI43" s="489"/>
      <c r="AJ43" s="490"/>
      <c r="AK43" s="491" t="s">
        <v>392</v>
      </c>
      <c r="AM43" s="130"/>
      <c r="AN43" s="130" t="str">
        <f t="shared" si="32"/>
        <v xml:space="preserve">Территория действия тарифа</v>
      </c>
      <c r="AO43" s="130"/>
      <c r="AP43" s="130"/>
      <c r="AQ43" s="50">
        <v>21</v>
      </c>
    </row>
    <row r="44" ht="24" customHeight="1">
      <c r="A44" s="265" t="s">
        <v>200</v>
      </c>
      <c r="B44" s="265" t="s">
        <v>201</v>
      </c>
      <c r="C44" s="265" t="s">
        <v>202</v>
      </c>
      <c r="D44" s="265"/>
      <c r="E44" s="577"/>
      <c r="F44" s="577"/>
      <c r="G44" s="576">
        <v>1</v>
      </c>
      <c r="H44" s="265"/>
      <c r="I44" s="265"/>
      <c r="J44" s="265"/>
      <c r="K44" s="265"/>
      <c r="L44" s="323"/>
      <c r="M44" s="86"/>
      <c r="N44" s="86"/>
      <c r="O44" s="86"/>
      <c r="P44" s="136"/>
      <c r="Q44" s="630"/>
      <c r="R44" s="494"/>
      <c r="S44" s="485" t="str">
        <f>INDEX(PT_DIFFERENTIATION_NUM_CS,MATCH(C44,PT_DIFFERENTIATION_CS_ID,0))</f>
        <v>..</v>
      </c>
      <c r="T44" s="497" t="s">
        <v>393</v>
      </c>
      <c r="U44" s="487"/>
      <c r="V44" s="489"/>
      <c r="W44" s="489"/>
      <c r="X44" s="489"/>
      <c r="Y44" s="489"/>
      <c r="Z44" s="489"/>
      <c r="AA44" s="490"/>
      <c r="AB44" s="489"/>
      <c r="AC44" s="489" t="str">
        <f>INDEX(PT_DIFFERENTIATION_CS,MATCH(C44,PT_DIFFERENTIATION_CS_ID,0))</f>
        <v/>
      </c>
      <c r="AD44" s="489"/>
      <c r="AE44" s="489"/>
      <c r="AF44" s="489"/>
      <c r="AG44" s="489"/>
      <c r="AH44" s="489"/>
      <c r="AI44" s="489"/>
      <c r="AJ44" s="490"/>
      <c r="AK44" s="491" t="s">
        <v>394</v>
      </c>
      <c r="AM44" s="130"/>
      <c r="AN44" s="130" t="str">
        <f t="shared" si="32"/>
        <v xml:space="preserve">Наименование системы теплоснабжения </v>
      </c>
      <c r="AO44" s="130"/>
      <c r="AP44" s="130"/>
      <c r="AQ44" s="50">
        <v>23</v>
      </c>
    </row>
    <row r="45" ht="22" customHeight="1">
      <c r="A45" s="265" t="s">
        <v>200</v>
      </c>
      <c r="B45" s="265" t="s">
        <v>201</v>
      </c>
      <c r="C45" s="265" t="s">
        <v>202</v>
      </c>
      <c r="D45" s="265" t="s">
        <v>203</v>
      </c>
      <c r="E45" s="577"/>
      <c r="F45" s="577"/>
      <c r="G45" s="577"/>
      <c r="H45" s="576">
        <v>1</v>
      </c>
      <c r="I45" s="265"/>
      <c r="J45" s="265"/>
      <c r="K45" s="265"/>
      <c r="L45" s="323"/>
      <c r="M45" s="86"/>
      <c r="N45" s="86"/>
      <c r="O45" s="86"/>
      <c r="P45" s="136"/>
      <c r="Q45" s="630"/>
      <c r="R45" s="494"/>
      <c r="S45" s="485" t="str">
        <f>INDEX(PT_DIFFERENTIATION_NUM_IST_TE,MATCH(D45,PT_DIFFERENTIATION_IST_TE_ID,0))</f>
        <v>...</v>
      </c>
      <c r="T45" s="498" t="s">
        <v>395</v>
      </c>
      <c r="U45" s="487"/>
      <c r="V45" s="489"/>
      <c r="W45" s="489"/>
      <c r="X45" s="489"/>
      <c r="Y45" s="489"/>
      <c r="Z45" s="489"/>
      <c r="AA45" s="490"/>
      <c r="AB45" s="489"/>
      <c r="AC45" s="489" t="str">
        <f>INDEX(PT_DIFFERENTIATION_IST_TE,MATCH(D45,PT_DIFFERENTIATION_IST_TE_ID,0))</f>
        <v/>
      </c>
      <c r="AD45" s="489"/>
      <c r="AE45" s="489"/>
      <c r="AF45" s="489"/>
      <c r="AG45" s="489"/>
      <c r="AH45" s="489"/>
      <c r="AI45" s="489"/>
      <c r="AJ45" s="490"/>
      <c r="AK45" s="491" t="s">
        <v>396</v>
      </c>
      <c r="AM45" s="130"/>
      <c r="AN45" s="130" t="str">
        <f t="shared" si="32"/>
        <v xml:space="preserve">Источник тепловой энергии  </v>
      </c>
      <c r="AO45" s="130"/>
      <c r="AP45" s="130"/>
      <c r="AQ45" s="50">
        <v>21</v>
      </c>
    </row>
    <row r="46" s="57" customFormat="1" ht="0" customHeight="1">
      <c r="A46" s="578" t="s">
        <v>200</v>
      </c>
      <c r="B46" s="578" t="s">
        <v>201</v>
      </c>
      <c r="C46" s="578" t="s">
        <v>202</v>
      </c>
      <c r="D46" s="578" t="s">
        <v>203</v>
      </c>
      <c r="E46" s="577"/>
      <c r="F46" s="577"/>
      <c r="G46" s="577"/>
      <c r="H46" s="577"/>
      <c r="I46" s="158" t="str">
        <f>S45&amp;".1"</f>
        <v>....1</v>
      </c>
      <c r="J46" s="578"/>
      <c r="K46" s="578"/>
      <c r="L46" s="579" t="s">
        <v>397</v>
      </c>
      <c r="M46" s="564"/>
      <c r="N46" s="564"/>
      <c r="O46" s="564"/>
      <c r="P46" s="133">
        <v>1</v>
      </c>
      <c r="Q46" s="133"/>
      <c r="R46" s="500"/>
      <c r="S46" s="352"/>
      <c r="T46" s="587"/>
      <c r="U46" s="588"/>
      <c r="V46" s="590"/>
      <c r="W46" s="590"/>
      <c r="X46" s="590"/>
      <c r="Y46" s="590"/>
      <c r="Z46" s="590"/>
      <c r="AA46" s="591"/>
      <c r="AB46" s="590"/>
      <c r="AC46" s="590"/>
      <c r="AD46" s="590"/>
      <c r="AE46" s="590"/>
      <c r="AF46" s="590"/>
      <c r="AG46" s="590"/>
      <c r="AH46" s="590"/>
      <c r="AI46" s="590"/>
      <c r="AJ46" s="591"/>
      <c r="AK46" s="592"/>
      <c r="AM46" s="130"/>
      <c r="AN46" s="130" t="str">
        <f t="shared" si="32"/>
        <v/>
      </c>
      <c r="AO46" s="130"/>
      <c r="AP46" s="130"/>
      <c r="AQ46" s="57">
        <v>0</v>
      </c>
    </row>
    <row r="47" s="57" customFormat="1" ht="0" customHeight="1">
      <c r="A47" s="578" t="s">
        <v>200</v>
      </c>
      <c r="B47" s="578" t="s">
        <v>201</v>
      </c>
      <c r="C47" s="578" t="s">
        <v>202</v>
      </c>
      <c r="D47" s="578" t="s">
        <v>203</v>
      </c>
      <c r="E47" s="577"/>
      <c r="F47" s="577"/>
      <c r="G47" s="577"/>
      <c r="H47" s="577"/>
      <c r="I47" s="73"/>
      <c r="J47" s="158" t="str">
        <f>S45&amp;".1"</f>
        <v>....1</v>
      </c>
      <c r="K47" s="578"/>
      <c r="L47" s="579"/>
      <c r="M47" s="564"/>
      <c r="N47" s="564"/>
      <c r="O47" s="564"/>
      <c r="P47" s="133"/>
      <c r="Q47" s="133">
        <v>1</v>
      </c>
      <c r="R47" s="505"/>
      <c r="S47" s="352"/>
      <c r="T47" s="631"/>
      <c r="U47" s="588"/>
      <c r="V47" s="590"/>
      <c r="W47" s="590"/>
      <c r="X47" s="590"/>
      <c r="Y47" s="590"/>
      <c r="Z47" s="590"/>
      <c r="AA47" s="591"/>
      <c r="AB47" s="590"/>
      <c r="AC47" s="590"/>
      <c r="AD47" s="590"/>
      <c r="AE47" s="590"/>
      <c r="AF47" s="590"/>
      <c r="AG47" s="590"/>
      <c r="AH47" s="590"/>
      <c r="AI47" s="590"/>
      <c r="AJ47" s="591"/>
      <c r="AK47" s="592"/>
      <c r="AM47" s="130"/>
      <c r="AN47" s="130" t="str">
        <f t="shared" si="32"/>
        <v/>
      </c>
      <c r="AO47" s="130"/>
      <c r="AP47" s="130"/>
      <c r="AQ47" s="57">
        <v>0</v>
      </c>
    </row>
    <row r="48" ht="22" customHeight="1">
      <c r="A48" s="265" t="s">
        <v>200</v>
      </c>
      <c r="B48" s="265" t="s">
        <v>201</v>
      </c>
      <c r="C48" s="265" t="s">
        <v>202</v>
      </c>
      <c r="D48" s="265" t="s">
        <v>203</v>
      </c>
      <c r="E48" s="577"/>
      <c r="F48" s="577"/>
      <c r="G48" s="577"/>
      <c r="H48" s="577"/>
      <c r="I48" s="73"/>
      <c r="J48" s="73"/>
      <c r="K48" s="158" t="str">
        <f>S45&amp;".1"</f>
        <v>....1</v>
      </c>
      <c r="L48" s="323"/>
      <c r="P48" s="133"/>
      <c r="Q48" s="133"/>
      <c r="R48" s="505">
        <v>1</v>
      </c>
      <c r="S48" s="599" t="str">
        <f>$K48</f>
        <v>....1</v>
      </c>
      <c r="T48" s="633"/>
      <c r="U48" s="487"/>
      <c r="V48" s="508"/>
      <c r="W48" s="510"/>
      <c r="X48" s="511"/>
      <c r="Y48" s="225" t="s">
        <v>64</v>
      </c>
      <c r="Z48" s="511"/>
      <c r="AA48" s="225" t="s">
        <v>64</v>
      </c>
      <c r="AB48" s="690"/>
      <c r="AC48" s="691" t="s">
        <v>22</v>
      </c>
      <c r="AD48" s="508"/>
      <c r="AE48" s="510"/>
      <c r="AF48" s="511"/>
      <c r="AG48" s="225" t="s">
        <v>64</v>
      </c>
      <c r="AH48" s="511"/>
      <c r="AI48" s="225" t="s">
        <v>64</v>
      </c>
      <c r="AJ48" s="572"/>
      <c r="AK48" s="512" t="s">
        <v>474</v>
      </c>
      <c r="AL48" s="57" t="e">
        <f>STRCHECKDATE(#REF!)</f>
        <v>#NAME?</v>
      </c>
      <c r="AM48" s="130"/>
      <c r="AN48" s="130" t="str">
        <f t="shared" si="32"/>
        <v/>
      </c>
      <c r="AO48" s="130"/>
      <c r="AP48" s="130"/>
      <c r="AQ48" s="50">
        <v>21</v>
      </c>
    </row>
    <row r="49" ht="11.5" customHeight="1">
      <c r="A49" s="265" t="s">
        <v>200</v>
      </c>
      <c r="B49" s="265" t="s">
        <v>201</v>
      </c>
      <c r="C49" s="265" t="s">
        <v>202</v>
      </c>
      <c r="D49" s="265" t="s">
        <v>203</v>
      </c>
      <c r="E49" s="577"/>
      <c r="F49" s="577"/>
      <c r="G49" s="577"/>
      <c r="H49" s="577"/>
      <c r="I49" s="73"/>
      <c r="J49" s="158"/>
      <c r="K49" s="265"/>
      <c r="L49" s="323"/>
      <c r="P49" s="133"/>
      <c r="Q49" s="133"/>
      <c r="R49" s="500"/>
      <c r="S49" s="516"/>
      <c r="T49" s="520" t="s">
        <v>462</v>
      </c>
      <c r="U49" s="215"/>
      <c r="V49" s="215"/>
      <c r="W49" s="215"/>
      <c r="X49" s="215"/>
      <c r="Y49" s="215"/>
      <c r="Z49" s="215"/>
      <c r="AA49" s="518"/>
      <c r="AB49" s="215"/>
      <c r="AC49" s="215"/>
      <c r="AD49" s="215"/>
      <c r="AE49" s="215"/>
      <c r="AF49" s="215"/>
      <c r="AG49" s="215"/>
      <c r="AH49" s="215"/>
      <c r="AI49" s="215"/>
      <c r="AJ49" s="518"/>
      <c r="AK49" s="519"/>
      <c r="AM49" s="130"/>
      <c r="AN49" s="130" t="str">
        <f t="shared" si="32"/>
        <v xml:space="preserve">Добавить строку</v>
      </c>
      <c r="AO49" s="130"/>
      <c r="AP49" s="130"/>
      <c r="AQ49" s="50">
        <v>11</v>
      </c>
    </row>
    <row r="50" s="57" customFormat="1" ht="1.05" customHeight="1">
      <c r="A50" s="578" t="s">
        <v>200</v>
      </c>
      <c r="B50" s="578" t="s">
        <v>201</v>
      </c>
      <c r="C50" s="578" t="s">
        <v>202</v>
      </c>
      <c r="D50" s="578" t="s">
        <v>203</v>
      </c>
      <c r="E50" s="577"/>
      <c r="F50" s="577"/>
      <c r="G50" s="577"/>
      <c r="H50" s="577"/>
      <c r="I50" s="158"/>
      <c r="J50" s="578"/>
      <c r="K50" s="578"/>
      <c r="L50" s="579"/>
      <c r="M50" s="564"/>
      <c r="N50" s="564"/>
      <c r="O50" s="564"/>
      <c r="P50" s="133"/>
      <c r="Q50" s="133"/>
      <c r="R50" s="500"/>
      <c r="S50" s="593"/>
      <c r="T50" s="594" t="s">
        <v>406</v>
      </c>
      <c r="U50" s="595"/>
      <c r="V50" s="595"/>
      <c r="W50" s="595"/>
      <c r="X50" s="595"/>
      <c r="Y50" s="595"/>
      <c r="Z50" s="595"/>
      <c r="AA50" s="595"/>
      <c r="AB50" s="595"/>
      <c r="AC50" s="595"/>
      <c r="AD50" s="595"/>
      <c r="AE50" s="595"/>
      <c r="AF50" s="595"/>
      <c r="AG50" s="595"/>
      <c r="AH50" s="595"/>
      <c r="AI50" s="595"/>
      <c r="AJ50" s="595"/>
      <c r="AK50" s="596"/>
      <c r="AM50" s="130"/>
      <c r="AN50" s="130" t="str">
        <f t="shared" si="32"/>
        <v xml:space="preserve">Добавить группу потребителей</v>
      </c>
      <c r="AO50" s="130"/>
      <c r="AP50" s="130"/>
      <c r="AQ50" s="57">
        <v>1</v>
      </c>
    </row>
    <row r="51" s="132" customFormat="1" ht="1.05" customHeight="1">
      <c r="A51" s="578" t="s">
        <v>200</v>
      </c>
      <c r="B51" s="578" t="s">
        <v>201</v>
      </c>
      <c r="C51" s="578" t="s">
        <v>202</v>
      </c>
      <c r="D51" s="578" t="s">
        <v>203</v>
      </c>
      <c r="E51" s="577"/>
      <c r="F51" s="577"/>
      <c r="G51" s="577"/>
      <c r="H51" s="576"/>
      <c r="I51" s="578"/>
      <c r="J51" s="578"/>
      <c r="K51" s="578"/>
      <c r="L51" s="579"/>
      <c r="M51" s="580"/>
      <c r="N51" s="580"/>
      <c r="O51" s="132"/>
      <c r="P51" s="168"/>
      <c r="Q51" s="525"/>
      <c r="R51" s="676"/>
      <c r="S51" s="593"/>
      <c r="T51" s="594"/>
      <c r="U51" s="595"/>
      <c r="V51" s="595"/>
      <c r="W51" s="595"/>
      <c r="X51" s="595"/>
      <c r="Y51" s="595"/>
      <c r="Z51" s="595"/>
      <c r="AA51" s="595"/>
      <c r="AB51" s="595"/>
      <c r="AC51" s="595"/>
      <c r="AD51" s="595"/>
      <c r="AE51" s="595"/>
      <c r="AF51" s="595"/>
      <c r="AG51" s="595"/>
      <c r="AH51" s="595"/>
      <c r="AI51" s="595"/>
      <c r="AJ51" s="595"/>
      <c r="AK51" s="596"/>
      <c r="AL51" s="57"/>
      <c r="AM51" s="130"/>
      <c r="AN51" s="130" t="str">
        <f t="shared" si="32"/>
        <v/>
      </c>
      <c r="AO51" s="130"/>
      <c r="AP51" s="130"/>
      <c r="AQ51" s="132">
        <v>1</v>
      </c>
    </row>
    <row r="52" s="57" customFormat="1" ht="1.05" customHeight="1">
      <c r="A52" s="578" t="s">
        <v>200</v>
      </c>
      <c r="B52" s="578" t="s">
        <v>201</v>
      </c>
      <c r="C52" s="578" t="s">
        <v>202</v>
      </c>
      <c r="D52" s="578"/>
      <c r="E52" s="577"/>
      <c r="F52" s="577"/>
      <c r="G52" s="576"/>
      <c r="H52" s="578"/>
      <c r="I52" s="578"/>
      <c r="J52" s="578"/>
      <c r="K52" s="578"/>
      <c r="L52" s="579"/>
      <c r="M52" s="580"/>
      <c r="N52" s="580"/>
      <c r="O52" s="132"/>
      <c r="P52" s="168"/>
      <c r="Q52" s="525"/>
      <c r="R52" s="168"/>
      <c r="S52" s="530"/>
      <c r="T52" s="533" t="s">
        <v>408</v>
      </c>
      <c r="U52" s="532"/>
      <c r="V52" s="532"/>
      <c r="W52" s="532"/>
      <c r="X52" s="532"/>
      <c r="Y52" s="532"/>
      <c r="Z52" s="532"/>
      <c r="AA52" s="532"/>
      <c r="AB52" s="532"/>
      <c r="AC52" s="532"/>
      <c r="AD52" s="532"/>
      <c r="AE52" s="532"/>
      <c r="AF52" s="532"/>
      <c r="AG52" s="532"/>
      <c r="AH52" s="532"/>
      <c r="AI52" s="532"/>
      <c r="AJ52" s="532"/>
      <c r="AK52" s="532"/>
      <c r="AM52" s="130"/>
      <c r="AN52" s="130" t="str">
        <f t="shared" si="32"/>
        <v xml:space="preserve">Добавить источник для дифференциации</v>
      </c>
      <c r="AO52" s="130"/>
      <c r="AP52" s="130"/>
      <c r="AQ52" s="57">
        <v>1</v>
      </c>
    </row>
    <row r="53" s="57" customFormat="1" ht="1.05" customHeight="1">
      <c r="A53" s="578" t="s">
        <v>200</v>
      </c>
      <c r="B53" s="578" t="s">
        <v>201</v>
      </c>
      <c r="C53" s="578"/>
      <c r="D53" s="578"/>
      <c r="E53" s="577"/>
      <c r="F53" s="576"/>
      <c r="G53" s="578"/>
      <c r="H53" s="578"/>
      <c r="I53" s="578"/>
      <c r="J53" s="578"/>
      <c r="K53" s="578"/>
      <c r="L53" s="579"/>
      <c r="M53" s="581"/>
      <c r="N53" s="581"/>
      <c r="O53" s="132"/>
      <c r="P53" s="168"/>
      <c r="Q53" s="525"/>
      <c r="R53" s="168"/>
      <c r="S53" s="530"/>
      <c r="T53" s="533" t="s">
        <v>409</v>
      </c>
      <c r="U53" s="532"/>
      <c r="V53" s="532"/>
      <c r="W53" s="532"/>
      <c r="X53" s="532"/>
      <c r="Y53" s="532"/>
      <c r="Z53" s="532"/>
      <c r="AA53" s="532"/>
      <c r="AB53" s="532"/>
      <c r="AC53" s="532"/>
      <c r="AD53" s="532"/>
      <c r="AE53" s="532"/>
      <c r="AF53" s="532"/>
      <c r="AG53" s="532"/>
      <c r="AH53" s="532"/>
      <c r="AI53" s="532"/>
      <c r="AJ53" s="532"/>
      <c r="AK53" s="532"/>
      <c r="AM53" s="130"/>
      <c r="AN53" s="130" t="str">
        <f t="shared" si="32"/>
        <v xml:space="preserve">Добавить централизованную систему для дифференциации</v>
      </c>
      <c r="AO53" s="130"/>
      <c r="AP53" s="130"/>
      <c r="AQ53" s="57">
        <v>1</v>
      </c>
    </row>
    <row r="54" s="57" customFormat="1" ht="1.05" customHeight="1">
      <c r="A54" s="578" t="s">
        <v>200</v>
      </c>
      <c r="B54" s="578"/>
      <c r="C54" s="578"/>
      <c r="D54" s="578"/>
      <c r="E54" s="577"/>
      <c r="F54" s="578"/>
      <c r="G54" s="578"/>
      <c r="H54" s="578"/>
      <c r="I54" s="578"/>
      <c r="J54" s="578"/>
      <c r="K54" s="578"/>
      <c r="L54" s="579"/>
      <c r="M54" s="581"/>
      <c r="N54" s="581"/>
      <c r="O54" s="132"/>
      <c r="P54" s="168"/>
      <c r="Q54" s="525"/>
      <c r="R54" s="168"/>
      <c r="S54" s="530"/>
      <c r="T54" s="533" t="s">
        <v>410</v>
      </c>
      <c r="U54" s="532"/>
      <c r="V54" s="532"/>
      <c r="W54" s="532"/>
      <c r="X54" s="532"/>
      <c r="Y54" s="532"/>
      <c r="Z54" s="532"/>
      <c r="AA54" s="532"/>
      <c r="AB54" s="532"/>
      <c r="AC54" s="532"/>
      <c r="AD54" s="532"/>
      <c r="AE54" s="532"/>
      <c r="AF54" s="532"/>
      <c r="AG54" s="532"/>
      <c r="AH54" s="532"/>
      <c r="AI54" s="532"/>
      <c r="AJ54" s="532"/>
      <c r="AK54" s="532"/>
      <c r="AM54" s="130"/>
      <c r="AN54" s="130" t="str">
        <f t="shared" si="32"/>
        <v xml:space="preserve">Добавить территорию для дифференциации</v>
      </c>
      <c r="AO54" s="130"/>
      <c r="AP54" s="130"/>
      <c r="AQ54" s="57">
        <v>1</v>
      </c>
    </row>
    <row r="55" s="57" customFormat="1" ht="1.05" customHeight="1">
      <c r="A55" s="578" t="s">
        <v>200</v>
      </c>
      <c r="B55" s="578"/>
      <c r="C55" s="578"/>
      <c r="D55" s="578"/>
      <c r="E55" s="576"/>
      <c r="F55" s="578"/>
      <c r="G55" s="578"/>
      <c r="H55" s="578"/>
      <c r="I55" s="578"/>
      <c r="J55" s="578"/>
      <c r="K55" s="578"/>
      <c r="L55" s="579"/>
      <c r="M55" s="581"/>
      <c r="N55" s="581"/>
      <c r="O55" s="132"/>
      <c r="P55" s="168"/>
      <c r="Q55" s="525"/>
      <c r="R55" s="168"/>
      <c r="S55" s="530"/>
      <c r="T55" s="533" t="s">
        <v>410</v>
      </c>
      <c r="U55" s="532"/>
      <c r="V55" s="532"/>
      <c r="W55" s="532"/>
      <c r="X55" s="532"/>
      <c r="Y55" s="532"/>
      <c r="Z55" s="532"/>
      <c r="AA55" s="532"/>
      <c r="AB55" s="532"/>
      <c r="AC55" s="532"/>
      <c r="AD55" s="532"/>
      <c r="AE55" s="532"/>
      <c r="AF55" s="532"/>
      <c r="AG55" s="532"/>
      <c r="AH55" s="532"/>
      <c r="AI55" s="532"/>
      <c r="AJ55" s="532"/>
      <c r="AK55" s="532"/>
      <c r="AM55" s="130"/>
      <c r="AN55" s="130" t="str">
        <f t="shared" si="32"/>
        <v xml:space="preserve">Добавить территорию для дифференциации</v>
      </c>
      <c r="AO55" s="130"/>
      <c r="AP55" s="130"/>
      <c r="AQ55" s="57">
        <v>1</v>
      </c>
    </row>
    <row r="56" s="57" customFormat="1" ht="1.05" customHeight="1">
      <c r="A56" s="578"/>
      <c r="B56" s="578"/>
      <c r="C56" s="578"/>
      <c r="D56" s="578"/>
      <c r="E56" s="578"/>
      <c r="F56" s="578"/>
      <c r="G56" s="578"/>
      <c r="H56" s="578"/>
      <c r="I56" s="578"/>
      <c r="J56" s="578"/>
      <c r="K56" s="578"/>
      <c r="L56" s="579"/>
      <c r="M56" s="581"/>
      <c r="N56" s="581"/>
      <c r="O56" s="132"/>
      <c r="P56" s="168"/>
      <c r="Q56" s="525"/>
      <c r="R56" s="168"/>
      <c r="S56" s="530"/>
      <c r="T56" s="533" t="s">
        <v>442</v>
      </c>
      <c r="U56" s="532"/>
      <c r="V56" s="532"/>
      <c r="W56" s="532"/>
      <c r="X56" s="532"/>
      <c r="Y56" s="532"/>
      <c r="Z56" s="532"/>
      <c r="AA56" s="532"/>
      <c r="AB56" s="532"/>
      <c r="AC56" s="532"/>
      <c r="AD56" s="532"/>
      <c r="AE56" s="532"/>
      <c r="AF56" s="532"/>
      <c r="AG56" s="532"/>
      <c r="AH56" s="532"/>
      <c r="AI56" s="532"/>
      <c r="AJ56" s="532"/>
      <c r="AK56" s="532"/>
      <c r="AM56" s="130"/>
      <c r="AN56" s="130" t="str">
        <f t="shared" si="32"/>
        <v xml:space="preserve">Добавить наименование тарифа</v>
      </c>
      <c r="AO56" s="130"/>
      <c r="AP56" s="130"/>
      <c r="AQ56" s="57">
        <v>1</v>
      </c>
    </row>
    <row r="57" ht="11.5" customHeight="1">
      <c r="M57" s="50"/>
      <c r="N57" s="50"/>
      <c r="O57" s="50"/>
      <c r="P57" s="53"/>
      <c r="Q57" s="53"/>
      <c r="R57" s="50"/>
      <c r="S57" s="50"/>
      <c r="AL57" s="50"/>
      <c r="AM57" s="50"/>
      <c r="AN57" s="50"/>
      <c r="AO57" s="50"/>
      <c r="AP57" s="50"/>
      <c r="AQ57" s="50">
        <v>11</v>
      </c>
    </row>
    <row r="58" ht="19.949999999999999" customHeight="1">
      <c r="O58" s="50"/>
      <c r="S58" s="477"/>
      <c r="T58" s="575"/>
      <c r="U58" s="575"/>
      <c r="V58" s="575"/>
      <c r="W58" s="575"/>
      <c r="X58" s="575"/>
      <c r="Y58" s="575"/>
      <c r="Z58" s="575"/>
      <c r="AA58" s="575"/>
      <c r="AB58" s="575"/>
      <c r="AC58" s="575"/>
      <c r="AD58" s="575"/>
      <c r="AE58" s="575"/>
      <c r="AF58" s="575"/>
      <c r="AG58" s="575"/>
      <c r="AH58" s="575"/>
      <c r="AI58" s="575"/>
      <c r="AJ58" s="575"/>
      <c r="AK58" s="575"/>
      <c r="AQ58" s="50">
        <v>19</v>
      </c>
    </row>
    <row r="59" ht="21" customHeight="1">
      <c r="O59" s="50"/>
      <c r="T59" s="575"/>
      <c r="U59" s="575"/>
      <c r="V59" s="575"/>
      <c r="W59" s="575"/>
      <c r="X59" s="575"/>
      <c r="Y59" s="575"/>
      <c r="Z59" s="575"/>
      <c r="AA59" s="575"/>
      <c r="AB59" s="575"/>
      <c r="AC59" s="575"/>
      <c r="AD59" s="575"/>
      <c r="AE59" s="575"/>
      <c r="AF59" s="575"/>
      <c r="AG59" s="575"/>
      <c r="AH59" s="575"/>
      <c r="AI59" s="575"/>
      <c r="AJ59" s="575"/>
      <c r="AK59" s="575"/>
      <c r="AQ59" s="50">
        <v>20</v>
      </c>
    </row>
    <row r="60" ht="14.65" customHeight="1">
      <c r="O60" s="50"/>
      <c r="T60" s="575"/>
      <c r="U60" s="575"/>
      <c r="V60" s="575"/>
      <c r="W60" s="575"/>
      <c r="X60" s="575"/>
      <c r="Y60" s="575"/>
      <c r="Z60" s="575"/>
      <c r="AA60" s="575"/>
      <c r="AB60" s="575"/>
      <c r="AC60" s="575"/>
      <c r="AD60" s="575"/>
      <c r="AE60" s="575"/>
      <c r="AF60" s="575"/>
      <c r="AG60" s="575"/>
      <c r="AH60" s="575"/>
      <c r="AI60" s="575"/>
      <c r="AJ60" s="575"/>
      <c r="AK60" s="575"/>
      <c r="AQ60" s="50">
        <v>14</v>
      </c>
    </row>
    <row r="61" ht="19.949999999999999" customHeight="1">
      <c r="O61" s="50"/>
      <c r="T61" s="575"/>
      <c r="U61" s="575"/>
      <c r="V61" s="575"/>
      <c r="W61" s="575"/>
      <c r="X61" s="575"/>
      <c r="Y61" s="575"/>
      <c r="Z61" s="575"/>
      <c r="AA61" s="575"/>
      <c r="AB61" s="575"/>
      <c r="AC61" s="575"/>
      <c r="AD61" s="575"/>
      <c r="AE61" s="575"/>
      <c r="AF61" s="575"/>
      <c r="AG61" s="575"/>
      <c r="AH61" s="575"/>
      <c r="AI61" s="575"/>
      <c r="AJ61" s="575"/>
      <c r="AK61" s="575"/>
      <c r="AQ61" s="50">
        <v>19</v>
      </c>
    </row>
    <row r="62" ht="16.800000000000001" customHeight="1">
      <c r="O62" s="50"/>
      <c r="T62" s="575"/>
      <c r="U62" s="575"/>
      <c r="V62" s="575"/>
      <c r="W62" s="575"/>
      <c r="X62" s="575"/>
      <c r="Y62" s="575"/>
      <c r="Z62" s="575"/>
      <c r="AA62" s="575"/>
      <c r="AB62" s="575"/>
      <c r="AC62" s="575"/>
      <c r="AD62" s="575"/>
      <c r="AE62" s="575"/>
      <c r="AF62" s="575"/>
      <c r="AG62" s="575"/>
      <c r="AH62" s="575"/>
      <c r="AI62" s="575"/>
      <c r="AJ62" s="575"/>
      <c r="AK62" s="575"/>
      <c r="AQ62" s="50">
        <v>16</v>
      </c>
    </row>
    <row r="63" ht="14.65" customHeight="1">
      <c r="O63" s="50"/>
      <c r="AQ63" s="50">
        <v>14</v>
      </c>
    </row>
    <row r="64" ht="22.5" hidden="1" customHeight="1">
      <c r="A64" s="50" t="s">
        <v>81</v>
      </c>
      <c r="B64" s="50">
        <v>0</v>
      </c>
      <c r="C64" s="50">
        <v>0</v>
      </c>
      <c r="D64" s="50">
        <v>0</v>
      </c>
      <c r="E64" s="50">
        <v>0</v>
      </c>
      <c r="F64" s="50">
        <v>0</v>
      </c>
      <c r="G64" s="50">
        <v>0</v>
      </c>
      <c r="H64" s="50">
        <v>0</v>
      </c>
      <c r="I64" s="50">
        <v>0</v>
      </c>
      <c r="J64" s="50">
        <v>0</v>
      </c>
      <c r="K64" s="50">
        <v>0</v>
      </c>
      <c r="L64" s="51">
        <v>0</v>
      </c>
      <c r="M64" s="60">
        <v>0</v>
      </c>
      <c r="N64" s="60">
        <v>0</v>
      </c>
      <c r="O64" s="60">
        <v>0</v>
      </c>
      <c r="P64" s="61">
        <v>3</v>
      </c>
      <c r="Q64" s="539">
        <v>3</v>
      </c>
      <c r="R64" s="479">
        <v>3</v>
      </c>
      <c r="S64" s="86">
        <v>12</v>
      </c>
      <c r="T64" s="50">
        <v>31</v>
      </c>
      <c r="U64" s="50">
        <v>0</v>
      </c>
      <c r="V64" s="50">
        <v>0</v>
      </c>
      <c r="W64" s="50">
        <v>0</v>
      </c>
      <c r="X64" s="50">
        <v>0</v>
      </c>
      <c r="Y64" s="50">
        <v>0</v>
      </c>
      <c r="Z64" s="50">
        <v>0</v>
      </c>
      <c r="AA64" s="50">
        <v>0</v>
      </c>
      <c r="AB64" s="50">
        <v>27</v>
      </c>
      <c r="AC64" s="50">
        <v>24</v>
      </c>
      <c r="AD64" s="50">
        <v>21</v>
      </c>
      <c r="AE64" s="50">
        <v>21</v>
      </c>
      <c r="AF64" s="50">
        <v>11</v>
      </c>
      <c r="AG64" s="50">
        <v>3</v>
      </c>
      <c r="AH64" s="50">
        <v>11</v>
      </c>
      <c r="AI64" s="50">
        <v>8</v>
      </c>
      <c r="AJ64" s="50">
        <v>4</v>
      </c>
      <c r="AK64" s="50">
        <v>115</v>
      </c>
      <c r="AL64" s="57">
        <v>10</v>
      </c>
      <c r="AM64" s="57">
        <v>10</v>
      </c>
      <c r="AN64" s="57">
        <v>10</v>
      </c>
      <c r="AO64" s="57">
        <v>10</v>
      </c>
      <c r="AP64" s="57">
        <v>10</v>
      </c>
      <c r="AQ64" s="50">
        <v>23</v>
      </c>
    </row>
  </sheetData>
  <sheetProtection autoFilter="0" deleteColumns="1" deleteRows="1" formatCells="1" formatColumns="1" formatRows="1" insertColumns="1" insertHyperlinks="1" insertRows="1" objects="0" pivotTables="1" scenarios="0" selectLockedCells="0" selectUnlockedCells="0" sheet="1" sort="1"/>
  <mergeCells count="8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5:AH25"/>
    <mergeCell ref="S27:T27"/>
    <mergeCell ref="V27:Z27"/>
    <mergeCell ref="AC27:AH27"/>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V38:W38"/>
    <mergeCell ref="X38:Z39"/>
    <mergeCell ref="AD38:AE38"/>
    <mergeCell ref="AF38:AH39"/>
    <mergeCell ref="V39:W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V47:AA47"/>
    <mergeCell ref="AC47:AJ47"/>
    <mergeCell ref="AK48:AK49"/>
    <mergeCell ref="T58:AK58"/>
    <mergeCell ref="T59:AK59"/>
    <mergeCell ref="T61:AK61"/>
    <mergeCell ref="T62:AK62"/>
  </mergeCells>
  <dataValidations count="5" disablePrompts="0">
    <dataValidation sqref="S131122:AK131128 S196658:AK196664 S262194:AK262200 S327730:AK327736 S393266:AK393272 S458802:AK458808 S524338:AK524344 S589874:AK589880 S655410:AK655416 S720946:AK720952 S786482:AK786488 S852018:AK852024 S917554:AK917560 S983090:AK983096 S65586:AK65592" type="none" allowBlank="1" errorStyle="stop" imeMode="noControl" operator="between" showDropDown="0" showErrorMessage="0" showInputMessage="0"/>
    <dataValidation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W65585 W131121 W196657 W262193 W327729 W393265 W458801 W524337 W589873 W655409 W720945 W786481 W852017 W917553 W983089 AE65585 AE131121 AE196657 AE262193 AE327729 AE393265 AE458801 AE524337 AE589873 AE655409 AE720945 AE786481 AE852017 AE917553 AE983089" type="none" allowBlank="1" errorStyle="stop" imeMode="noControl" operator="between" promptTitle="checkPeriodRange" showDropDown="0" showErrorMessage="0" showInputMessage="0"/>
    <dataValidation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V39:W39" type="none" allowBlank="1" error="Выберите значение из списка" errorStyle="stop" errorTitle="Ошибка"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6" disablePrompts="0">
        <x14:dataValidation xr:uid="{006A00B8-0009-423F-8929-00CE00430037}"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AC48 AC8</xm:sqref>
        </x14:dataValidation>
        <x14:dataValidation xr:uid="{009B0028-0008-41DB-AE84-002A005B005B}"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V917551:AJ917551 V983087:AJ983087 V65583:AJ65583 V131119:AJ131119 V196655:AJ196655 V262191:AJ262191 V327727:AJ327727 V393263:AJ393263 V458799:AJ458799 V524335:AJ524335 V589871:AJ589871 V655407:AJ655407 V720943:AJ720943 V786479:AJ786479 V852015:AJ852015</xm:sqref>
        </x14:dataValidation>
        <x14:dataValidation xr:uid="{00AB0052-00E1-47B3-8E9B-003800C2009A}" type="list" allowBlank="1" error="Выберите значение из списка" errorStyle="stop" errorTitle="Ошибка" imeMode="noControl" operator="between" showDropDown="0" showErrorMessage="1" showInputMessage="1">
          <x14:formula1>
            <xm:f>kind_of_scheme_in</xm:f>
          </x14:formula1>
          <xm:sqref>AC983086 AC917550 AC852014 AC786478 AC720942 AC655406 AC589870 AC524334 AC458798 AC393262 AC327726 AC262190 AC196654 AC131118 AC65582</xm:sqref>
        </x14:dataValidation>
        <x14:dataValidation xr:uid="{007700B8-000B-4240-BAF2-00B500D80073}" type="textLength" allowBlank="1" error="Допускается ввод не более 900 символов!" errorStyle="stop" errorTitle="Ошибка" imeMode="noControl" operator="lessThanOrEqual" showDropDown="0" showErrorMessage="1" showInputMessage="1">
          <x14:formula1>
            <xm:f>900</xm:f>
          </x14:formula1>
          <xm:sqref>AK65578:AK65585 AK131114:AK131121 AK196650:AK196657 AK262186:AK262193 AK327722:AK327729 AK393258:AK393265 AK458794:AK458801 AK524330:AK524337 AK589866:AK589873 AK655402:AK655409 AK720938:AK720945 AK786474:AK786481 AK852010:AK852017 AK917546:AK917553 AK983082:AK983089 T8 T48 AB48 AB8</xm:sqref>
        </x14:dataValidation>
        <x14:dataValidation xr:uid="{00EC00F7-009B-4E90-996C-00E20087004E}" type="list" allowBlank="1" error="Выберите значение из списка" errorStyle="stop" errorTitle="Ошибка" imeMode="noControl" operator="between" showDropDown="0" showErrorMessage="1" showInputMessage="1">
          <x14:formula1>
            <xm:f>kind_of_heat_transfer</xm:f>
          </x14:formula1>
          <xm:sqref>T65584 T131120 T196656 T262192 T327728 T393264 T458800 T524336 T589872 T655408 T720944 T786480 T852016 T917552 T983088</xm:sqref>
        </x14:dataValidation>
        <x14:dataValidation xr:uid="{00C3006C-00CB-4C29-905F-00A3002100F6}" type="list" allowBlank="1" error="Выберите значение из списка" errorStyle="stop" errorTitle="Ошибка" imeMode="noControl" operator="between" prompt="Выберите значение из списка" showDropDown="0" showErrorMessage="1" showInputMessage="1">
          <x14:formula1>
            <xm:f>UNIT_CONNECT_LIST</xm:f>
          </x14:formula1>
          <xm:sqref>AD39:AE39</xm:sqref>
        </x14:dataValidation>
      </x14:dataValidations>
    </ext>
  </extLst>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9" ySplit="45" topLeftCell="AD46" activePane="bottomRight" state="frozen"/>
      <selection activeCell="A1" activeCellId="0" sqref="A1"/>
    </sheetView>
  </sheetViews>
  <sheetFormatPr defaultColWidth="10.57421875" defaultRowHeight="14.25" customHeight="1"/>
  <cols>
    <col customWidth="1" hidden="1" min="1" max="1" style="53" width="11.57421875"/>
    <col customWidth="1" hidden="1" min="2" max="2" style="53" width="11.00390625"/>
    <col hidden="1" min="3" max="3" style="53" width="10.57421875"/>
    <col customWidth="1" hidden="1" min="4" max="4" style="53" width="12.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4" width="19.140625"/>
    <col customWidth="1" hidden="1" min="13" max="14" style="61" width="12.28125"/>
    <col customWidth="1" hidden="1" min="15" max="15" style="61" width="23.421875"/>
    <col customWidth="1" hidden="1" min="16" max="16" style="61" width="3.7109375"/>
    <col customWidth="1" hidden="1" min="17" max="17" style="539" width="3.7109375"/>
    <col customWidth="1" min="18" max="18" style="479" width="3.00390625"/>
    <col customWidth="1" min="19" max="19" style="86" width="12.00390625"/>
    <col customWidth="1" min="20" max="20" style="50" width="31.00390625"/>
    <col customWidth="1" min="21" max="21" style="50" width="0.140625"/>
    <col customWidth="1" hidden="1" min="22" max="25" style="50" width="21.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3.7109375"/>
    <col customWidth="1" min="31" max="32" style="50" width="3.00390625"/>
    <col customWidth="1" min="33" max="33" style="50" width="24.00390625"/>
    <col customWidth="1" min="34" max="34" style="50" width="3.7109375"/>
    <col customWidth="1" min="35" max="36" style="50" width="3.00390625"/>
    <col customWidth="1" min="37" max="37" style="50" width="24.00390625"/>
    <col customWidth="1" min="38" max="38" style="50" width="3.7109375"/>
    <col customWidth="1" min="39" max="40" style="50" width="3.00390625"/>
    <col customWidth="1" min="41" max="41" style="50" width="18.00390625"/>
    <col customWidth="1" min="42" max="42" style="50" width="3.7109375"/>
    <col customWidth="1" min="43" max="44" style="50" width="3.00390625"/>
    <col customWidth="1" min="45" max="45" style="50" width="18.00390625"/>
    <col customWidth="1" min="46" max="49" style="50" width="21.00390625"/>
    <col customWidth="1" min="50" max="50" style="50" width="11.00390625"/>
    <col customWidth="1" min="51" max="51" style="50" width="3.7109375"/>
    <col customWidth="1" min="52" max="52" style="50" width="11.00390625"/>
    <col customWidth="1" hidden="1" min="53" max="53" style="50" width="8.57421875"/>
    <col customWidth="1" min="54" max="54" style="50" width="4.00390625"/>
    <col customWidth="1" min="55" max="55" style="50" width="115.00390625"/>
    <col customWidth="1" min="56" max="60" style="57" width="10.00390625"/>
    <col hidden="1" min="61" max="61" style="50" width="10.57421875"/>
  </cols>
  <sheetData>
    <row r="1" ht="22.5" hidden="1" customHeight="1">
      <c r="W1" s="50"/>
      <c r="Y1" s="50"/>
      <c r="Z1" s="50"/>
      <c r="AW1" s="50"/>
      <c r="AX1" s="50"/>
      <c r="BI1" s="50" t="s">
        <v>14</v>
      </c>
    </row>
    <row r="2" ht="21" hidden="1" customHeight="1">
      <c r="A2" s="480"/>
      <c r="B2" s="480"/>
      <c r="C2" s="480"/>
      <c r="D2" s="480"/>
      <c r="E2" s="481">
        <v>1</v>
      </c>
      <c r="F2" s="480"/>
      <c r="G2" s="480"/>
      <c r="H2" s="480"/>
      <c r="I2" s="480"/>
      <c r="J2" s="480"/>
      <c r="K2" s="480"/>
      <c r="L2" s="482"/>
      <c r="M2" s="483"/>
      <c r="N2" s="483"/>
      <c r="O2" s="483"/>
      <c r="P2" s="61"/>
      <c r="Q2" s="64"/>
      <c r="R2" s="484"/>
      <c r="S2" s="485" t="e">
        <f>INDEX(PT_DIFFERENTIATION_NUM_NTAR,MATCH(A2,PT_DIFFERENTIATION_NTAR_ID,0))</f>
        <v>#VALUE!</v>
      </c>
      <c r="T2" s="486" t="s">
        <v>119</v>
      </c>
      <c r="U2" s="487"/>
      <c r="V2" s="489"/>
      <c r="W2" s="489"/>
      <c r="X2" s="489"/>
      <c r="Y2" s="489"/>
      <c r="Z2" s="489"/>
      <c r="AA2" s="489"/>
      <c r="AB2" s="489"/>
      <c r="AC2" s="490"/>
      <c r="AD2" s="488" t="e">
        <f>INDEX(PT_DIFFERENTIATION_NTAR,MATCH(A2,PT_DIFFERENTIATION_NTAR_ID,0))</f>
        <v>#VALUE!</v>
      </c>
      <c r="AE2" s="489"/>
      <c r="AF2" s="489"/>
      <c r="AG2" s="489"/>
      <c r="AH2" s="489"/>
      <c r="AI2" s="489"/>
      <c r="AJ2" s="489"/>
      <c r="AK2" s="489"/>
      <c r="AL2" s="489"/>
      <c r="AM2" s="489"/>
      <c r="AN2" s="489"/>
      <c r="AO2" s="489"/>
      <c r="AP2" s="489"/>
      <c r="AQ2" s="489"/>
      <c r="AR2" s="489"/>
      <c r="AS2" s="489"/>
      <c r="AT2" s="489"/>
      <c r="AU2" s="489"/>
      <c r="AV2" s="489"/>
      <c r="AW2" s="489"/>
      <c r="AX2" s="489"/>
      <c r="AY2" s="489"/>
      <c r="AZ2" s="489"/>
      <c r="BA2" s="489"/>
      <c r="BB2" s="490"/>
      <c r="BC2" s="49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130"/>
      <c r="BF2" s="130" t="str">
        <f t="shared" ref="BF2:BF8" si="33">IF(T2="","",T2)</f>
        <v xml:space="preserve">Наименование тарифа</v>
      </c>
      <c r="BG2" s="130"/>
      <c r="BH2" s="130"/>
      <c r="BI2" s="50">
        <v>0</v>
      </c>
    </row>
    <row r="3" ht="21" hidden="1" customHeight="1">
      <c r="A3" s="480"/>
      <c r="B3" s="480"/>
      <c r="C3" s="480"/>
      <c r="D3" s="480"/>
      <c r="E3" s="492"/>
      <c r="F3" s="481">
        <v>1</v>
      </c>
      <c r="G3" s="480"/>
      <c r="H3" s="480"/>
      <c r="I3" s="480"/>
      <c r="J3" s="480"/>
      <c r="K3" s="480"/>
      <c r="L3" s="482"/>
      <c r="M3" s="483"/>
      <c r="N3" s="483"/>
      <c r="O3" s="483"/>
      <c r="P3" s="114"/>
      <c r="Q3" s="630"/>
      <c r="R3" s="494"/>
      <c r="S3" s="485" t="e">
        <f>INDEX(PT_DIFFERENTIATION_NUM_TER,MATCH(B3,PT_DIFFERENTIATION_TER_ID,0))</f>
        <v>#VALUE!</v>
      </c>
      <c r="T3" s="495" t="s">
        <v>391</v>
      </c>
      <c r="U3" s="487"/>
      <c r="V3" s="489"/>
      <c r="W3" s="489"/>
      <c r="X3" s="489"/>
      <c r="Y3" s="489"/>
      <c r="Z3" s="489"/>
      <c r="AA3" s="489"/>
      <c r="AB3" s="489"/>
      <c r="AC3" s="490"/>
      <c r="AD3" s="488" t="e">
        <f>INDEX(PT_DIFFERENTIATION_TER,MATCH(B3,PT_DIFFERENTIATION_TER_ID,0))</f>
        <v>#VALUE!</v>
      </c>
      <c r="AE3" s="489"/>
      <c r="AF3" s="489"/>
      <c r="AG3" s="489"/>
      <c r="AH3" s="489"/>
      <c r="AI3" s="489"/>
      <c r="AJ3" s="489"/>
      <c r="AK3" s="489"/>
      <c r="AL3" s="489"/>
      <c r="AM3" s="489"/>
      <c r="AN3" s="489"/>
      <c r="AO3" s="489"/>
      <c r="AP3" s="489"/>
      <c r="AQ3" s="489"/>
      <c r="AR3" s="489"/>
      <c r="AS3" s="489"/>
      <c r="AT3" s="489"/>
      <c r="AU3" s="489"/>
      <c r="AV3" s="489"/>
      <c r="AW3" s="489"/>
      <c r="AX3" s="489"/>
      <c r="AY3" s="489"/>
      <c r="AZ3" s="489"/>
      <c r="BA3" s="489"/>
      <c r="BB3" s="490"/>
      <c r="BC3" s="491" t="s">
        <v>392</v>
      </c>
      <c r="BE3" s="130"/>
      <c r="BF3" s="130" t="str">
        <f t="shared" si="33"/>
        <v xml:space="preserve">Территория действия тарифа</v>
      </c>
      <c r="BG3" s="130"/>
      <c r="BH3" s="130"/>
      <c r="BI3" s="50">
        <v>0</v>
      </c>
    </row>
    <row r="4" ht="42" hidden="1" customHeight="1">
      <c r="A4" s="480"/>
      <c r="B4" s="480"/>
      <c r="C4" s="480"/>
      <c r="D4" s="480"/>
      <c r="E4" s="492"/>
      <c r="F4" s="492"/>
      <c r="G4" s="481">
        <v>1</v>
      </c>
      <c r="H4" s="480"/>
      <c r="I4" s="480"/>
      <c r="J4" s="480"/>
      <c r="K4" s="480"/>
      <c r="L4" s="482"/>
      <c r="M4" s="483"/>
      <c r="N4" s="483"/>
      <c r="O4" s="483"/>
      <c r="P4" s="136"/>
      <c r="Q4" s="630"/>
      <c r="R4" s="494"/>
      <c r="S4" s="485" t="e">
        <f>INDEX(PT_DIFFERENTIATION_NUM_CS,MATCH(C4,PT_DIFFERENTIATION_CS_ID,0))</f>
        <v>#VALUE!</v>
      </c>
      <c r="T4" s="497" t="s">
        <v>475</v>
      </c>
      <c r="U4" s="487"/>
      <c r="V4" s="489"/>
      <c r="W4" s="489"/>
      <c r="X4" s="489"/>
      <c r="Y4" s="489"/>
      <c r="Z4" s="489"/>
      <c r="AA4" s="489"/>
      <c r="AB4" s="489"/>
      <c r="AC4" s="490"/>
      <c r="AD4" s="488" t="e">
        <f>INDEX(PT_DIFFERENTIATION_CS,MATCH(C4,PT_DIFFERENTIATION_CS_ID,0))</f>
        <v>#VALUE!</v>
      </c>
      <c r="AE4" s="489"/>
      <c r="AF4" s="489"/>
      <c r="AG4" s="489"/>
      <c r="AH4" s="489"/>
      <c r="AI4" s="489"/>
      <c r="AJ4" s="489"/>
      <c r="AK4" s="489"/>
      <c r="AL4" s="489"/>
      <c r="AM4" s="489"/>
      <c r="AN4" s="489"/>
      <c r="AO4" s="489"/>
      <c r="AP4" s="489"/>
      <c r="AQ4" s="489"/>
      <c r="AR4" s="489"/>
      <c r="AS4" s="489"/>
      <c r="AT4" s="489"/>
      <c r="AU4" s="489"/>
      <c r="AV4" s="489"/>
      <c r="AW4" s="489"/>
      <c r="AX4" s="489"/>
      <c r="AY4" s="489"/>
      <c r="AZ4" s="489"/>
      <c r="BA4" s="489"/>
      <c r="BB4" s="490"/>
      <c r="BC4" s="491" t="s">
        <v>476</v>
      </c>
      <c r="BE4" s="130"/>
      <c r="BF4" s="130" t="str">
        <f t="shared" si="33"/>
        <v xml:space="preserve">Наименование централизованной системы холодного водоснабжения</v>
      </c>
      <c r="BG4" s="130"/>
      <c r="BH4" s="130"/>
      <c r="BI4" s="50">
        <v>0</v>
      </c>
    </row>
    <row r="5" s="57" customFormat="1" ht="14.25" hidden="1" customHeight="1">
      <c r="A5" s="134"/>
      <c r="B5" s="134"/>
      <c r="C5" s="134"/>
      <c r="D5" s="134"/>
      <c r="E5" s="492"/>
      <c r="F5" s="492"/>
      <c r="G5" s="492"/>
      <c r="H5" s="481">
        <v>1</v>
      </c>
      <c r="I5" s="134"/>
      <c r="J5" s="134"/>
      <c r="K5" s="134"/>
      <c r="L5" s="213"/>
      <c r="M5" s="465"/>
      <c r="N5" s="465"/>
      <c r="O5" s="465"/>
      <c r="P5" s="695"/>
      <c r="Q5" s="696"/>
      <c r="R5" s="505"/>
      <c r="S5" s="352"/>
      <c r="T5" s="697"/>
      <c r="U5" s="588"/>
      <c r="V5" s="590"/>
      <c r="W5" s="590"/>
      <c r="X5" s="590"/>
      <c r="Y5" s="590"/>
      <c r="Z5" s="590"/>
      <c r="AA5" s="590"/>
      <c r="AB5" s="590"/>
      <c r="AC5" s="591"/>
      <c r="AD5" s="589"/>
      <c r="AE5" s="590"/>
      <c r="AF5" s="590"/>
      <c r="AG5" s="590"/>
      <c r="AH5" s="590"/>
      <c r="AI5" s="590"/>
      <c r="AJ5" s="590"/>
      <c r="AK5" s="590"/>
      <c r="AL5" s="590"/>
      <c r="AM5" s="590"/>
      <c r="AN5" s="590"/>
      <c r="AO5" s="590"/>
      <c r="AP5" s="590"/>
      <c r="AQ5" s="590"/>
      <c r="AR5" s="590"/>
      <c r="AS5" s="590"/>
      <c r="AT5" s="590"/>
      <c r="AU5" s="590"/>
      <c r="AV5" s="590"/>
      <c r="AW5" s="590"/>
      <c r="AX5" s="590"/>
      <c r="AY5" s="590"/>
      <c r="AZ5" s="590"/>
      <c r="BA5" s="590"/>
      <c r="BB5" s="591"/>
      <c r="BC5" s="592" t="s">
        <v>396</v>
      </c>
      <c r="BE5" s="130"/>
      <c r="BF5" s="130" t="str">
        <f t="shared" si="33"/>
        <v/>
      </c>
      <c r="BG5" s="130"/>
      <c r="BH5" s="130"/>
      <c r="BI5" s="57">
        <v>0</v>
      </c>
    </row>
    <row r="6" s="57" customFormat="1" ht="14.25" hidden="1" customHeight="1">
      <c r="A6" s="134"/>
      <c r="B6" s="134"/>
      <c r="C6" s="134"/>
      <c r="D6" s="134"/>
      <c r="E6" s="492"/>
      <c r="F6" s="492"/>
      <c r="G6" s="492"/>
      <c r="H6" s="492"/>
      <c r="I6" s="499" t="str">
        <f>S5&amp;".1"</f>
        <v>.1</v>
      </c>
      <c r="J6" s="134"/>
      <c r="K6" s="134"/>
      <c r="L6" s="213" t="s">
        <v>397</v>
      </c>
      <c r="M6" s="597"/>
      <c r="N6" s="597"/>
      <c r="O6" s="597"/>
      <c r="P6" s="133">
        <v>1</v>
      </c>
      <c r="Q6" s="133"/>
      <c r="R6" s="500"/>
      <c r="S6" s="352"/>
      <c r="T6" s="587"/>
      <c r="U6" s="588"/>
      <c r="V6" s="590"/>
      <c r="W6" s="590"/>
      <c r="X6" s="590"/>
      <c r="Y6" s="590"/>
      <c r="Z6" s="590"/>
      <c r="AA6" s="590"/>
      <c r="AB6" s="590"/>
      <c r="AC6" s="591"/>
      <c r="AD6" s="589"/>
      <c r="AE6" s="590"/>
      <c r="AF6" s="590"/>
      <c r="AG6" s="590"/>
      <c r="AH6" s="590"/>
      <c r="AI6" s="590"/>
      <c r="AJ6" s="590"/>
      <c r="AK6" s="590"/>
      <c r="AL6" s="590"/>
      <c r="AM6" s="590"/>
      <c r="AN6" s="590"/>
      <c r="AO6" s="590"/>
      <c r="AP6" s="590"/>
      <c r="AQ6" s="590"/>
      <c r="AR6" s="590"/>
      <c r="AS6" s="590"/>
      <c r="AT6" s="590"/>
      <c r="AU6" s="590"/>
      <c r="AV6" s="590"/>
      <c r="AW6" s="590"/>
      <c r="AX6" s="590"/>
      <c r="AY6" s="590"/>
      <c r="AZ6" s="590"/>
      <c r="BA6" s="590"/>
      <c r="BB6" s="591"/>
      <c r="BC6" s="592"/>
      <c r="BE6" s="130"/>
      <c r="BF6" s="130" t="str">
        <f t="shared" si="33"/>
        <v/>
      </c>
      <c r="BG6" s="130"/>
      <c r="BH6" s="130"/>
      <c r="BI6" s="57">
        <v>0</v>
      </c>
    </row>
    <row r="7" s="57" customFormat="1" ht="14.25" hidden="1" customHeight="1">
      <c r="A7" s="134"/>
      <c r="B7" s="134"/>
      <c r="C7" s="134"/>
      <c r="D7" s="134"/>
      <c r="E7" s="492"/>
      <c r="F7" s="492"/>
      <c r="G7" s="492"/>
      <c r="H7" s="492"/>
      <c r="I7" s="504"/>
      <c r="J7" s="499" t="str">
        <f>S5&amp;".1"</f>
        <v>.1</v>
      </c>
      <c r="K7" s="134"/>
      <c r="L7" s="213"/>
      <c r="M7" s="597"/>
      <c r="N7" s="597"/>
      <c r="O7" s="597"/>
      <c r="P7" s="133"/>
      <c r="Q7" s="133">
        <v>1</v>
      </c>
      <c r="R7" s="505"/>
      <c r="S7" s="352"/>
      <c r="T7" s="631"/>
      <c r="U7" s="588"/>
      <c r="V7" s="590"/>
      <c r="W7" s="590"/>
      <c r="X7" s="590"/>
      <c r="Y7" s="590"/>
      <c r="Z7" s="590"/>
      <c r="AA7" s="590"/>
      <c r="AB7" s="590"/>
      <c r="AC7" s="591"/>
      <c r="AD7" s="589"/>
      <c r="AE7" s="590"/>
      <c r="AF7" s="590"/>
      <c r="AG7" s="590"/>
      <c r="AH7" s="590"/>
      <c r="AI7" s="590"/>
      <c r="AJ7" s="590"/>
      <c r="AK7" s="590"/>
      <c r="AL7" s="590"/>
      <c r="AM7" s="590"/>
      <c r="AN7" s="590"/>
      <c r="AO7" s="590"/>
      <c r="AP7" s="590"/>
      <c r="AQ7" s="590"/>
      <c r="AR7" s="590"/>
      <c r="AS7" s="590"/>
      <c r="AT7" s="590"/>
      <c r="AU7" s="590"/>
      <c r="AV7" s="590"/>
      <c r="AW7" s="590"/>
      <c r="AX7" s="590"/>
      <c r="AY7" s="590"/>
      <c r="AZ7" s="590"/>
      <c r="BA7" s="590"/>
      <c r="BB7" s="591"/>
      <c r="BC7" s="592"/>
      <c r="BE7" s="130"/>
      <c r="BF7" s="130" t="str">
        <f t="shared" si="33"/>
        <v/>
      </c>
      <c r="BG7" s="130"/>
      <c r="BH7" s="130"/>
      <c r="BI7" s="57">
        <v>0</v>
      </c>
    </row>
    <row r="8" ht="11.25" hidden="1" customHeight="1">
      <c r="A8" s="480"/>
      <c r="B8" s="480"/>
      <c r="C8" s="480"/>
      <c r="D8" s="480"/>
      <c r="E8" s="492"/>
      <c r="F8" s="492"/>
      <c r="G8" s="492"/>
      <c r="H8" s="492"/>
      <c r="I8" s="504"/>
      <c r="J8" s="504"/>
      <c r="K8" s="499" t="e">
        <f>S4&amp;".1"</f>
        <v>#VALUE!</v>
      </c>
      <c r="L8" s="482"/>
      <c r="P8" s="133"/>
      <c r="Q8" s="133"/>
      <c r="R8" s="632">
        <v>1</v>
      </c>
      <c r="S8" s="599" t="e">
        <f>$K8</f>
        <v>#VALUE!</v>
      </c>
      <c r="T8" s="690"/>
      <c r="U8" s="487"/>
      <c r="V8" s="508"/>
      <c r="W8" s="510"/>
      <c r="X8" s="508"/>
      <c r="Y8" s="510"/>
      <c r="Z8" s="511"/>
      <c r="AA8" s="225" t="s">
        <v>64</v>
      </c>
      <c r="AB8" s="511"/>
      <c r="AC8" s="225" t="s">
        <v>64</v>
      </c>
      <c r="AD8" s="315" t="s">
        <v>64</v>
      </c>
      <c r="AE8" s="634"/>
      <c r="AF8" s="346">
        <v>1</v>
      </c>
      <c r="AG8" s="691"/>
      <c r="AH8" s="225" t="s">
        <v>64</v>
      </c>
      <c r="AI8" s="634"/>
      <c r="AJ8" s="346">
        <v>1</v>
      </c>
      <c r="AK8" s="87" t="s">
        <v>22</v>
      </c>
      <c r="AL8" s="225" t="s">
        <v>64</v>
      </c>
      <c r="AM8" s="305"/>
      <c r="AN8" s="346">
        <v>1</v>
      </c>
      <c r="AO8" s="698"/>
      <c r="AP8" s="699" t="s">
        <v>64</v>
      </c>
      <c r="AQ8" s="635"/>
      <c r="AR8" s="346">
        <v>1</v>
      </c>
      <c r="AS8" s="95" t="s">
        <v>22</v>
      </c>
      <c r="AT8" s="508"/>
      <c r="AU8" s="510"/>
      <c r="AV8" s="508"/>
      <c r="AW8" s="510"/>
      <c r="AX8" s="511"/>
      <c r="AY8" s="225" t="s">
        <v>64</v>
      </c>
      <c r="AZ8" s="511"/>
      <c r="BA8" s="225" t="s">
        <v>64</v>
      </c>
      <c r="BB8" s="572"/>
      <c r="BC8" s="512" t="s">
        <v>495</v>
      </c>
      <c r="BE8" s="130"/>
      <c r="BF8" s="130" t="str">
        <f t="shared" si="33"/>
        <v/>
      </c>
      <c r="BG8" s="130"/>
      <c r="BH8" s="130"/>
      <c r="BI8" s="50">
        <v>0</v>
      </c>
    </row>
    <row r="9" ht="11.25" hidden="1" customHeight="1">
      <c r="A9" s="480"/>
      <c r="B9" s="480"/>
      <c r="C9" s="480"/>
      <c r="D9" s="480"/>
      <c r="E9" s="492"/>
      <c r="F9" s="492"/>
      <c r="G9" s="492"/>
      <c r="H9" s="492"/>
      <c r="I9" s="504"/>
      <c r="J9" s="504"/>
      <c r="K9" s="499"/>
      <c r="L9" s="482"/>
      <c r="P9" s="133"/>
      <c r="Q9" s="133"/>
      <c r="R9" s="632"/>
      <c r="S9" s="636"/>
      <c r="T9" s="700"/>
      <c r="U9" s="487"/>
      <c r="V9" s="623"/>
      <c r="W9" s="640"/>
      <c r="X9" s="623"/>
      <c r="Y9" s="640"/>
      <c r="Z9" s="623"/>
      <c r="AA9" s="623"/>
      <c r="AB9" s="623"/>
      <c r="AC9" s="623"/>
      <c r="AD9" s="321"/>
      <c r="AE9" s="634"/>
      <c r="AF9" s="346"/>
      <c r="AG9" s="691"/>
      <c r="AH9" s="225"/>
      <c r="AI9" s="634"/>
      <c r="AJ9" s="346"/>
      <c r="AK9" s="87"/>
      <c r="AL9" s="225"/>
      <c r="AM9" s="311"/>
      <c r="AN9" s="346"/>
      <c r="AO9" s="698"/>
      <c r="AP9" s="701"/>
      <c r="AQ9" s="639"/>
      <c r="AR9" s="178"/>
      <c r="AS9" s="178" t="s">
        <v>496</v>
      </c>
      <c r="AT9" s="623"/>
      <c r="AU9" s="640"/>
      <c r="AV9" s="623"/>
      <c r="AW9" s="640"/>
      <c r="AX9" s="623"/>
      <c r="AY9" s="623"/>
      <c r="AZ9" s="623"/>
      <c r="BA9" s="623"/>
      <c r="BB9" s="638"/>
      <c r="BC9" s="515"/>
      <c r="BE9" s="130"/>
      <c r="BF9" s="130"/>
      <c r="BG9" s="130"/>
      <c r="BH9" s="130"/>
      <c r="BI9" s="50">
        <v>0</v>
      </c>
    </row>
    <row r="10" ht="11.25" hidden="1" customHeight="1">
      <c r="A10" s="480"/>
      <c r="B10" s="480"/>
      <c r="C10" s="480"/>
      <c r="D10" s="480"/>
      <c r="E10" s="492"/>
      <c r="F10" s="492"/>
      <c r="G10" s="492"/>
      <c r="H10" s="492"/>
      <c r="I10" s="504"/>
      <c r="J10" s="504"/>
      <c r="K10" s="499"/>
      <c r="L10" s="482"/>
      <c r="P10" s="133"/>
      <c r="Q10" s="133"/>
      <c r="R10" s="632"/>
      <c r="S10" s="636"/>
      <c r="T10" s="700"/>
      <c r="U10" s="487"/>
      <c r="V10" s="623"/>
      <c r="W10" s="640"/>
      <c r="X10" s="623"/>
      <c r="Y10" s="640"/>
      <c r="Z10" s="623"/>
      <c r="AA10" s="623"/>
      <c r="AB10" s="623"/>
      <c r="AC10" s="623"/>
      <c r="AD10" s="321"/>
      <c r="AE10" s="634"/>
      <c r="AF10" s="346"/>
      <c r="AG10" s="691"/>
      <c r="AH10" s="225"/>
      <c r="AI10" s="634"/>
      <c r="AJ10" s="346"/>
      <c r="AK10" s="87"/>
      <c r="AL10" s="225"/>
      <c r="AM10" s="639"/>
      <c r="AN10" s="702"/>
      <c r="AO10" s="702" t="s">
        <v>497</v>
      </c>
      <c r="AP10" s="178"/>
      <c r="AQ10" s="178"/>
      <c r="AR10" s="178"/>
      <c r="AS10" s="623"/>
      <c r="AT10" s="623"/>
      <c r="AU10" s="640"/>
      <c r="AV10" s="623"/>
      <c r="AW10" s="640"/>
      <c r="AX10" s="623"/>
      <c r="AY10" s="623"/>
      <c r="AZ10" s="623"/>
      <c r="BA10" s="623"/>
      <c r="BB10" s="638"/>
      <c r="BC10" s="515"/>
      <c r="BE10" s="130"/>
      <c r="BF10" s="130"/>
      <c r="BG10" s="130"/>
      <c r="BH10" s="130"/>
      <c r="BI10" s="50">
        <v>0</v>
      </c>
    </row>
    <row r="11" ht="11.25" hidden="1" customHeight="1">
      <c r="A11" s="480"/>
      <c r="B11" s="480"/>
      <c r="C11" s="480"/>
      <c r="D11" s="480"/>
      <c r="E11" s="492"/>
      <c r="F11" s="492"/>
      <c r="G11" s="492"/>
      <c r="H11" s="492"/>
      <c r="I11" s="504"/>
      <c r="J11" s="504"/>
      <c r="K11" s="499"/>
      <c r="L11" s="482"/>
      <c r="P11" s="133"/>
      <c r="Q11" s="133"/>
      <c r="R11" s="632"/>
      <c r="S11" s="636"/>
      <c r="T11" s="700"/>
      <c r="U11" s="487"/>
      <c r="V11" s="623"/>
      <c r="W11" s="640"/>
      <c r="X11" s="623"/>
      <c r="Y11" s="640"/>
      <c r="Z11" s="623"/>
      <c r="AA11" s="623"/>
      <c r="AB11" s="623"/>
      <c r="AC11" s="623"/>
      <c r="AD11" s="321"/>
      <c r="AE11" s="634"/>
      <c r="AF11" s="346"/>
      <c r="AG11" s="691"/>
      <c r="AH11" s="225"/>
      <c r="AI11" s="642"/>
      <c r="AJ11" s="173"/>
      <c r="AK11" s="442" t="s">
        <v>498</v>
      </c>
      <c r="AL11" s="623"/>
      <c r="AM11" s="623"/>
      <c r="AN11" s="623"/>
      <c r="AO11" s="623"/>
      <c r="AP11" s="623"/>
      <c r="AQ11" s="623"/>
      <c r="AR11" s="623"/>
      <c r="AS11" s="623"/>
      <c r="AT11" s="623"/>
      <c r="AU11" s="640"/>
      <c r="AV11" s="623"/>
      <c r="AW11" s="640"/>
      <c r="AX11" s="623"/>
      <c r="AY11" s="623"/>
      <c r="AZ11" s="623"/>
      <c r="BA11" s="623"/>
      <c r="BB11" s="638"/>
      <c r="BC11" s="515"/>
      <c r="BE11" s="130"/>
      <c r="BF11" s="130"/>
      <c r="BG11" s="130"/>
      <c r="BH11" s="130"/>
      <c r="BI11" s="50">
        <v>0</v>
      </c>
    </row>
    <row r="12" ht="11.25" hidden="1" customHeight="1">
      <c r="A12" s="480"/>
      <c r="B12" s="480"/>
      <c r="C12" s="480"/>
      <c r="D12" s="480"/>
      <c r="E12" s="492"/>
      <c r="F12" s="492"/>
      <c r="G12" s="492"/>
      <c r="H12" s="492"/>
      <c r="I12" s="504"/>
      <c r="J12" s="504"/>
      <c r="K12" s="499"/>
      <c r="L12" s="482"/>
      <c r="P12" s="133"/>
      <c r="Q12" s="133"/>
      <c r="R12" s="632"/>
      <c r="S12" s="609"/>
      <c r="T12" s="703"/>
      <c r="U12" s="487"/>
      <c r="V12" s="623"/>
      <c r="W12" s="624" t="str">
        <f>Z8&amp;"-"&amp;AB8</f>
        <v>-</v>
      </c>
      <c r="X12" s="623"/>
      <c r="Y12" s="624" t="str">
        <f>AB8&amp;"-"&amp;AD8</f>
        <v>-да</v>
      </c>
      <c r="Z12" s="623"/>
      <c r="AA12" s="623"/>
      <c r="AB12" s="623"/>
      <c r="AC12" s="623"/>
      <c r="AD12" s="221"/>
      <c r="AE12" s="645"/>
      <c r="AF12" s="646"/>
      <c r="AG12" s="178" t="s">
        <v>499</v>
      </c>
      <c r="AH12" s="623"/>
      <c r="AI12" s="623"/>
      <c r="AJ12" s="623"/>
      <c r="AK12" s="623"/>
      <c r="AL12" s="623"/>
      <c r="AM12" s="623"/>
      <c r="AN12" s="623"/>
      <c r="AO12" s="623"/>
      <c r="AP12" s="623"/>
      <c r="AQ12" s="623"/>
      <c r="AR12" s="623"/>
      <c r="AS12" s="623"/>
      <c r="AT12" s="623"/>
      <c r="AU12" s="624" t="str">
        <f>AX8&amp;"-"&amp;AZ8</f>
        <v>-</v>
      </c>
      <c r="AV12" s="623"/>
      <c r="AW12" s="624" t="str">
        <f>AZ8&amp;"-"&amp;BB8</f>
        <v>-</v>
      </c>
      <c r="AX12" s="623"/>
      <c r="AY12" s="623"/>
      <c r="AZ12" s="623"/>
      <c r="BA12" s="623"/>
      <c r="BB12" s="644" t="str">
        <f>BE8&amp;"-"&amp;BG8</f>
        <v>-</v>
      </c>
      <c r="BC12" s="515"/>
      <c r="BE12" s="130"/>
      <c r="BF12" s="130" t="str">
        <f t="shared" ref="BF12:BF63" si="34">IF(T12="","",T12)</f>
        <v/>
      </c>
      <c r="BG12" s="130"/>
      <c r="BH12" s="130"/>
      <c r="BI12" s="50">
        <v>0</v>
      </c>
    </row>
    <row r="13" ht="11.25" hidden="1" customHeight="1">
      <c r="A13" s="480"/>
      <c r="B13" s="480"/>
      <c r="C13" s="480"/>
      <c r="D13" s="480"/>
      <c r="E13" s="492"/>
      <c r="F13" s="492"/>
      <c r="G13" s="492"/>
      <c r="H13" s="492"/>
      <c r="I13" s="504"/>
      <c r="J13" s="499"/>
      <c r="K13" s="480"/>
      <c r="L13" s="482"/>
      <c r="P13" s="133"/>
      <c r="Q13" s="133"/>
      <c r="R13" s="500"/>
      <c r="S13" s="516"/>
      <c r="T13" s="520" t="s">
        <v>462</v>
      </c>
      <c r="U13" s="215"/>
      <c r="V13" s="215"/>
      <c r="W13" s="215"/>
      <c r="X13" s="215"/>
      <c r="Y13" s="215"/>
      <c r="Z13" s="215"/>
      <c r="AA13" s="215"/>
      <c r="AB13" s="215"/>
      <c r="AC13" s="215"/>
      <c r="AD13" s="675"/>
      <c r="AE13" s="215"/>
      <c r="AF13" s="215"/>
      <c r="AG13" s="215"/>
      <c r="AH13" s="215"/>
      <c r="AI13" s="215"/>
      <c r="AJ13" s="215"/>
      <c r="AK13" s="215"/>
      <c r="AL13" s="215"/>
      <c r="AM13" s="215"/>
      <c r="AN13" s="215"/>
      <c r="AO13" s="215"/>
      <c r="AP13" s="215"/>
      <c r="AQ13" s="215"/>
      <c r="AR13" s="215"/>
      <c r="AS13" s="215"/>
      <c r="AT13" s="215"/>
      <c r="AU13" s="215"/>
      <c r="AV13" s="215"/>
      <c r="AW13" s="215"/>
      <c r="AX13" s="215"/>
      <c r="AY13" s="215"/>
      <c r="AZ13" s="215"/>
      <c r="BA13" s="215"/>
      <c r="BB13" s="518"/>
      <c r="BC13" s="519"/>
      <c r="BE13" s="130"/>
      <c r="BF13" s="130" t="str">
        <f t="shared" si="34"/>
        <v xml:space="preserve">Добавить строку</v>
      </c>
      <c r="BG13" s="130"/>
      <c r="BH13" s="130"/>
      <c r="BI13" s="50">
        <v>0</v>
      </c>
    </row>
    <row r="14" s="57" customFormat="1" ht="14.25" hidden="1" customHeight="1">
      <c r="A14" s="134"/>
      <c r="B14" s="134"/>
      <c r="C14" s="134"/>
      <c r="D14" s="134"/>
      <c r="E14" s="492"/>
      <c r="F14" s="492"/>
      <c r="G14" s="492"/>
      <c r="H14" s="492"/>
      <c r="I14" s="499"/>
      <c r="J14" s="134"/>
      <c r="K14" s="134"/>
      <c r="L14" s="213"/>
      <c r="M14" s="597"/>
      <c r="N14" s="597"/>
      <c r="O14" s="597"/>
      <c r="P14" s="133"/>
      <c r="Q14" s="133"/>
      <c r="R14" s="500"/>
      <c r="S14" s="593"/>
      <c r="T14" s="594"/>
      <c r="U14" s="595"/>
      <c r="V14" s="595"/>
      <c r="W14" s="595"/>
      <c r="X14" s="595"/>
      <c r="Y14" s="595"/>
      <c r="Z14" s="595"/>
      <c r="AA14" s="595"/>
      <c r="AB14" s="595"/>
      <c r="AC14" s="595"/>
      <c r="AD14" s="595"/>
      <c r="AE14" s="595"/>
      <c r="AF14" s="595"/>
      <c r="AG14" s="595"/>
      <c r="AH14" s="595"/>
      <c r="AI14" s="595"/>
      <c r="AJ14" s="595"/>
      <c r="AK14" s="595"/>
      <c r="AL14" s="595"/>
      <c r="AM14" s="595"/>
      <c r="AN14" s="595"/>
      <c r="AO14" s="595"/>
      <c r="AP14" s="595"/>
      <c r="AQ14" s="595"/>
      <c r="AR14" s="595"/>
      <c r="AS14" s="595"/>
      <c r="AT14" s="595"/>
      <c r="AU14" s="595"/>
      <c r="AV14" s="595"/>
      <c r="AW14" s="595"/>
      <c r="AX14" s="595"/>
      <c r="AY14" s="595"/>
      <c r="AZ14" s="595"/>
      <c r="BA14" s="595"/>
      <c r="BB14" s="595"/>
      <c r="BC14" s="596"/>
      <c r="BE14" s="130"/>
      <c r="BF14" s="130" t="str">
        <f t="shared" si="34"/>
        <v/>
      </c>
      <c r="BG14" s="130"/>
      <c r="BH14" s="130"/>
      <c r="BI14" s="57">
        <v>0</v>
      </c>
    </row>
    <row r="15" s="57" customFormat="1" ht="14.25" hidden="1" customHeight="1">
      <c r="A15" s="134"/>
      <c r="B15" s="134"/>
      <c r="C15" s="134"/>
      <c r="D15" s="134"/>
      <c r="E15" s="492"/>
      <c r="F15" s="492"/>
      <c r="G15" s="492"/>
      <c r="H15" s="481"/>
      <c r="I15" s="134"/>
      <c r="J15" s="134"/>
      <c r="K15" s="134"/>
      <c r="L15" s="213"/>
      <c r="M15" s="465"/>
      <c r="N15" s="465"/>
      <c r="O15" s="57"/>
      <c r="P15" s="168"/>
      <c r="Q15" s="525"/>
      <c r="R15" s="647"/>
      <c r="S15" s="593"/>
      <c r="T15" s="594"/>
      <c r="U15" s="595"/>
      <c r="V15" s="595"/>
      <c r="W15" s="595"/>
      <c r="X15" s="595"/>
      <c r="Y15" s="595"/>
      <c r="Z15" s="595"/>
      <c r="AA15" s="595"/>
      <c r="AB15" s="595"/>
      <c r="AC15" s="595"/>
      <c r="AD15" s="595"/>
      <c r="AE15" s="595"/>
      <c r="AF15" s="595"/>
      <c r="AG15" s="595"/>
      <c r="AH15" s="595"/>
      <c r="AI15" s="595"/>
      <c r="AJ15" s="595"/>
      <c r="AK15" s="595"/>
      <c r="AL15" s="595"/>
      <c r="AM15" s="595"/>
      <c r="AN15" s="595"/>
      <c r="AO15" s="595"/>
      <c r="AP15" s="595"/>
      <c r="AQ15" s="595"/>
      <c r="AR15" s="595"/>
      <c r="AS15" s="595"/>
      <c r="AT15" s="595"/>
      <c r="AU15" s="595"/>
      <c r="AV15" s="595"/>
      <c r="AW15" s="595"/>
      <c r="AX15" s="595"/>
      <c r="AY15" s="595"/>
      <c r="AZ15" s="595"/>
      <c r="BA15" s="595"/>
      <c r="BB15" s="595"/>
      <c r="BC15" s="596"/>
      <c r="BE15" s="130"/>
      <c r="BF15" s="130" t="str">
        <f t="shared" si="34"/>
        <v/>
      </c>
      <c r="BG15" s="130"/>
      <c r="BH15" s="130"/>
      <c r="BI15" s="57">
        <v>0</v>
      </c>
    </row>
    <row r="16" s="57" customFormat="1" ht="14.25" hidden="1" customHeight="1">
      <c r="A16" s="134"/>
      <c r="B16" s="134"/>
      <c r="C16" s="134"/>
      <c r="D16" s="134"/>
      <c r="E16" s="492"/>
      <c r="F16" s="492"/>
      <c r="G16" s="481"/>
      <c r="H16" s="134"/>
      <c r="I16" s="134"/>
      <c r="J16" s="134"/>
      <c r="K16" s="134"/>
      <c r="L16" s="213"/>
      <c r="M16" s="465"/>
      <c r="N16" s="465"/>
      <c r="P16" s="168"/>
      <c r="Q16" s="525"/>
      <c r="R16" s="168"/>
      <c r="S16" s="530"/>
      <c r="T16" s="533"/>
      <c r="U16" s="532"/>
      <c r="V16" s="532"/>
      <c r="W16" s="532"/>
      <c r="X16" s="532"/>
      <c r="Y16" s="532"/>
      <c r="Z16" s="532"/>
      <c r="AA16" s="532"/>
      <c r="AB16" s="532"/>
      <c r="AC16" s="532"/>
      <c r="AD16" s="532"/>
      <c r="AE16" s="532"/>
      <c r="AF16" s="532"/>
      <c r="AG16" s="532"/>
      <c r="AH16" s="532"/>
      <c r="AI16" s="532"/>
      <c r="AJ16" s="532"/>
      <c r="AK16" s="532"/>
      <c r="AL16" s="532"/>
      <c r="AM16" s="532"/>
      <c r="AN16" s="532"/>
      <c r="AO16" s="532"/>
      <c r="AP16" s="532"/>
      <c r="AQ16" s="532"/>
      <c r="AR16" s="532"/>
      <c r="AS16" s="532"/>
      <c r="AT16" s="532"/>
      <c r="AU16" s="532"/>
      <c r="AV16" s="532"/>
      <c r="AW16" s="532"/>
      <c r="AX16" s="532"/>
      <c r="AY16" s="532"/>
      <c r="AZ16" s="532"/>
      <c r="BA16" s="532"/>
      <c r="BB16" s="532"/>
      <c r="BC16" s="532"/>
      <c r="BE16" s="130"/>
      <c r="BF16" s="130" t="str">
        <f t="shared" si="34"/>
        <v/>
      </c>
      <c r="BG16" s="130"/>
      <c r="BH16" s="130"/>
      <c r="BI16" s="57">
        <v>0</v>
      </c>
    </row>
    <row r="17" s="57" customFormat="1" ht="14.25" hidden="1" customHeight="1">
      <c r="A17" s="134"/>
      <c r="B17" s="134"/>
      <c r="C17" s="134"/>
      <c r="D17" s="134"/>
      <c r="E17" s="492"/>
      <c r="F17" s="481"/>
      <c r="G17" s="134"/>
      <c r="H17" s="134"/>
      <c r="I17" s="134"/>
      <c r="J17" s="134"/>
      <c r="K17" s="134"/>
      <c r="L17" s="213"/>
      <c r="M17" s="529"/>
      <c r="N17" s="529"/>
      <c r="P17" s="168"/>
      <c r="Q17" s="525"/>
      <c r="R17" s="168"/>
      <c r="S17" s="530"/>
      <c r="T17" s="533" t="s">
        <v>409</v>
      </c>
      <c r="U17" s="532"/>
      <c r="V17" s="532"/>
      <c r="W17" s="532"/>
      <c r="X17" s="532"/>
      <c r="Y17" s="532"/>
      <c r="Z17" s="532"/>
      <c r="AA17" s="532"/>
      <c r="AB17" s="532"/>
      <c r="AC17" s="532"/>
      <c r="AD17" s="532"/>
      <c r="AE17" s="532"/>
      <c r="AF17" s="532"/>
      <c r="AG17" s="532"/>
      <c r="AH17" s="532"/>
      <c r="AI17" s="532"/>
      <c r="AJ17" s="532"/>
      <c r="AK17" s="532"/>
      <c r="AL17" s="532"/>
      <c r="AM17" s="532"/>
      <c r="AN17" s="532"/>
      <c r="AO17" s="532"/>
      <c r="AP17" s="532"/>
      <c r="AQ17" s="532"/>
      <c r="AR17" s="532"/>
      <c r="AS17" s="532"/>
      <c r="AT17" s="532"/>
      <c r="AU17" s="532"/>
      <c r="AV17" s="532"/>
      <c r="AW17" s="532"/>
      <c r="AX17" s="532"/>
      <c r="AY17" s="532"/>
      <c r="AZ17" s="532"/>
      <c r="BA17" s="532"/>
      <c r="BB17" s="532"/>
      <c r="BC17" s="532"/>
      <c r="BE17" s="130"/>
      <c r="BF17" s="130" t="str">
        <f t="shared" si="34"/>
        <v xml:space="preserve">Добавить централизованную систему для дифференциации</v>
      </c>
      <c r="BG17" s="130"/>
      <c r="BH17" s="130"/>
      <c r="BI17" s="57">
        <v>0</v>
      </c>
    </row>
    <row r="18" s="57" customFormat="1" ht="14.25" hidden="1" customHeight="1">
      <c r="A18" s="134"/>
      <c r="B18" s="134"/>
      <c r="C18" s="134"/>
      <c r="D18" s="134"/>
      <c r="E18" s="481"/>
      <c r="F18" s="134"/>
      <c r="G18" s="134"/>
      <c r="H18" s="134"/>
      <c r="I18" s="134"/>
      <c r="J18" s="134"/>
      <c r="K18" s="134"/>
      <c r="L18" s="213"/>
      <c r="M18" s="529"/>
      <c r="N18" s="529"/>
      <c r="O18" s="57"/>
      <c r="P18" s="168"/>
      <c r="Q18" s="525"/>
      <c r="R18" s="168"/>
      <c r="S18" s="530"/>
      <c r="T18" s="533" t="s">
        <v>410</v>
      </c>
      <c r="U18" s="532"/>
      <c r="V18" s="532"/>
      <c r="W18" s="532"/>
      <c r="X18" s="532"/>
      <c r="Y18" s="532"/>
      <c r="Z18" s="532"/>
      <c r="AA18" s="532"/>
      <c r="AB18" s="532"/>
      <c r="AC18" s="532"/>
      <c r="AD18" s="532"/>
      <c r="AE18" s="532"/>
      <c r="AF18" s="532"/>
      <c r="AG18" s="532"/>
      <c r="AH18" s="532"/>
      <c r="AI18" s="532"/>
      <c r="AJ18" s="532"/>
      <c r="AK18" s="532"/>
      <c r="AL18" s="532"/>
      <c r="AM18" s="532"/>
      <c r="AN18" s="532"/>
      <c r="AO18" s="532"/>
      <c r="AP18" s="532"/>
      <c r="AQ18" s="532"/>
      <c r="AR18" s="532"/>
      <c r="AS18" s="532"/>
      <c r="AT18" s="532"/>
      <c r="AU18" s="532"/>
      <c r="AV18" s="532"/>
      <c r="AW18" s="532"/>
      <c r="AX18" s="532"/>
      <c r="AY18" s="532"/>
      <c r="AZ18" s="532"/>
      <c r="BA18" s="532"/>
      <c r="BB18" s="532"/>
      <c r="BC18" s="532"/>
      <c r="BE18" s="130"/>
      <c r="BF18" s="130" t="str">
        <f t="shared" si="34"/>
        <v xml:space="preserve">Добавить территорию для дифференциации</v>
      </c>
      <c r="BG18" s="130"/>
      <c r="BH18" s="130"/>
      <c r="BI18" s="57">
        <v>0</v>
      </c>
    </row>
    <row r="19" ht="14.25" hidden="1" customHeight="1">
      <c r="AC19" s="50"/>
      <c r="BA19" s="50"/>
      <c r="BI19" s="50">
        <v>0</v>
      </c>
    </row>
    <row r="20" ht="14.25" hidden="1" customHeight="1">
      <c r="AD20" s="532" t="s">
        <v>19</v>
      </c>
      <c r="AE20" s="648"/>
      <c r="AF20" s="532">
        <v>1</v>
      </c>
      <c r="AG20" s="649"/>
      <c r="AH20" s="532" t="s">
        <v>19</v>
      </c>
      <c r="AI20" s="648"/>
      <c r="AJ20" s="532">
        <v>1</v>
      </c>
      <c r="AK20" s="649"/>
      <c r="AL20" s="532" t="s">
        <v>19</v>
      </c>
      <c r="AM20" s="650"/>
      <c r="AN20" s="532">
        <v>1</v>
      </c>
      <c r="AO20" s="135"/>
      <c r="AP20" s="532" t="s">
        <v>19</v>
      </c>
      <c r="AQ20" s="650"/>
      <c r="AR20" s="532">
        <v>1</v>
      </c>
      <c r="AS20" s="135"/>
      <c r="AT20" s="509"/>
      <c r="AU20" s="584"/>
      <c r="AV20" s="509"/>
      <c r="AW20" s="584"/>
      <c r="AX20" s="654"/>
      <c r="AY20" s="655" t="s">
        <v>64</v>
      </c>
      <c r="AZ20" s="654"/>
      <c r="BA20" s="655" t="s">
        <v>64</v>
      </c>
      <c r="BI20" s="50">
        <v>0</v>
      </c>
    </row>
    <row r="21" ht="14.25" hidden="1" customHeight="1">
      <c r="BD21" s="132"/>
      <c r="BE21" s="132"/>
      <c r="BF21" s="132"/>
      <c r="BG21" s="132"/>
      <c r="BH21" s="132"/>
      <c r="BI21" s="50">
        <v>0</v>
      </c>
    </row>
    <row r="22" ht="14.25" hidden="1" customHeight="1">
      <c r="O22" s="538" t="s">
        <v>411</v>
      </c>
      <c r="Z22" s="582"/>
      <c r="AB22" s="582"/>
      <c r="AC22" s="50"/>
      <c r="AX22" s="582"/>
      <c r="AZ22" s="582"/>
      <c r="BA22" s="50"/>
      <c r="BD22" s="132"/>
      <c r="BE22" s="132"/>
      <c r="BF22" s="132"/>
      <c r="BG22" s="132"/>
      <c r="BH22" s="132"/>
      <c r="BI22" s="50">
        <v>0</v>
      </c>
    </row>
    <row r="23" ht="14.25" hidden="1" customHeight="1">
      <c r="AC23" s="50"/>
      <c r="BA23" s="50"/>
      <c r="BD23" s="132"/>
      <c r="BE23" s="132"/>
      <c r="BF23" s="132"/>
      <c r="BG23" s="132"/>
      <c r="BH23" s="132"/>
      <c r="BI23" s="50">
        <v>0</v>
      </c>
    </row>
    <row r="24" s="656" customFormat="1" ht="14.25" hidden="1" customHeight="1">
      <c r="M24" s="657"/>
      <c r="N24" s="657"/>
      <c r="O24" s="656" t="s">
        <v>412</v>
      </c>
      <c r="P24" s="657"/>
      <c r="Q24" s="658"/>
      <c r="R24" s="658"/>
      <c r="AA24" s="656" t="s">
        <v>414</v>
      </c>
      <c r="AC24" s="656" t="s">
        <v>415</v>
      </c>
      <c r="AD24" s="656" t="s">
        <v>463</v>
      </c>
      <c r="AH24" s="656" t="s">
        <v>463</v>
      </c>
      <c r="AK24" s="656" t="s">
        <v>500</v>
      </c>
      <c r="AL24" s="656" t="s">
        <v>463</v>
      </c>
      <c r="AP24" s="656" t="s">
        <v>463</v>
      </c>
      <c r="AY24" s="656" t="s">
        <v>414</v>
      </c>
      <c r="BA24" s="656" t="s">
        <v>415</v>
      </c>
      <c r="BD24" s="659"/>
      <c r="BE24" s="659"/>
      <c r="BF24" s="659"/>
      <c r="BG24" s="659"/>
      <c r="BH24" s="659"/>
      <c r="BI24" s="656">
        <v>0</v>
      </c>
    </row>
    <row r="25" ht="14.25" hidden="1" customHeight="1">
      <c r="O25" s="482"/>
      <c r="BD25" s="132"/>
      <c r="BE25" s="132"/>
      <c r="BF25" s="132"/>
      <c r="BG25" s="132"/>
      <c r="BH25" s="132"/>
      <c r="BI25" s="50">
        <v>0</v>
      </c>
    </row>
    <row r="26" ht="14.25" hidden="1" customHeight="1">
      <c r="O26" s="482"/>
      <c r="BD26" s="132"/>
      <c r="BE26" s="132"/>
      <c r="BF26" s="132"/>
      <c r="BG26" s="132"/>
      <c r="BH26" s="132"/>
      <c r="BI26" s="50">
        <v>0</v>
      </c>
    </row>
    <row r="27" ht="14.65" customHeight="1">
      <c r="Q27" s="660"/>
      <c r="R27" s="540"/>
      <c r="S27" s="541"/>
      <c r="T27" s="91"/>
      <c r="U27" s="91"/>
      <c r="V27" s="50"/>
      <c r="W27" s="50"/>
      <c r="X27" s="50"/>
      <c r="Y27" s="50"/>
      <c r="Z27" s="50"/>
      <c r="AA27" s="50"/>
      <c r="AB27" s="50"/>
      <c r="AC27" s="50"/>
      <c r="AD27" s="50"/>
      <c r="AE27" s="50"/>
      <c r="AF27" s="50"/>
      <c r="AG27" s="50"/>
      <c r="AH27" s="50"/>
      <c r="AI27" s="50"/>
      <c r="AJ27" s="50"/>
      <c r="AK27" s="50"/>
      <c r="AL27" s="50"/>
      <c r="AM27" s="50"/>
      <c r="AN27" s="50"/>
      <c r="AO27" s="50"/>
      <c r="AP27" s="50"/>
      <c r="AQ27" s="50"/>
      <c r="AR27" s="50"/>
      <c r="AS27" s="50"/>
      <c r="AT27" s="50"/>
      <c r="AU27" s="50"/>
      <c r="AV27" s="50"/>
      <c r="AW27" s="50"/>
      <c r="AX27" s="50"/>
      <c r="AY27" s="50"/>
      <c r="AZ27" s="50"/>
      <c r="BA27" s="50"/>
      <c r="BI27" s="50">
        <v>14</v>
      </c>
    </row>
    <row r="28" ht="14.65" customHeight="1">
      <c r="Q28" s="660"/>
      <c r="R28" s="540"/>
      <c r="S28" s="453" t="str">
        <f>IF(TEMPLATE_GROUP="P",PT_P_FORM_COLDVSNA_5_NAME_FORM,PT_R_FORM_COLDVSNA_17_NAME_FORM)</f>
        <v xml:space="preserve">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453"/>
      <c r="U28" s="453"/>
      <c r="V28" s="453"/>
      <c r="W28" s="453"/>
      <c r="X28" s="453"/>
      <c r="Y28" s="453"/>
      <c r="Z28" s="453"/>
      <c r="AA28" s="453"/>
      <c r="AB28" s="453"/>
      <c r="AC28" s="453"/>
      <c r="AD28" s="453"/>
      <c r="AE28" s="453"/>
      <c r="AF28" s="453"/>
      <c r="AG28" s="453"/>
      <c r="AH28" s="453"/>
      <c r="AI28" s="453"/>
      <c r="AJ28" s="453"/>
      <c r="AK28" s="453"/>
      <c r="AL28" s="453"/>
      <c r="AM28" s="453"/>
      <c r="AN28" s="453"/>
      <c r="AO28" s="453"/>
      <c r="AP28" s="453"/>
      <c r="AQ28" s="453"/>
      <c r="AR28" s="453"/>
      <c r="AS28" s="453"/>
      <c r="AT28" s="453"/>
      <c r="AU28" s="453"/>
      <c r="AV28" s="453"/>
      <c r="AW28" s="453"/>
      <c r="AX28" s="453"/>
      <c r="AY28" s="453"/>
      <c r="AZ28" s="453"/>
      <c r="BA28" s="241"/>
      <c r="BI28" s="50">
        <v>14</v>
      </c>
    </row>
    <row r="29" ht="14.65" customHeight="1">
      <c r="Q29" s="660"/>
      <c r="R29" s="540"/>
      <c r="S29" s="304" t="str">
        <f>IF(org=0,"Не определено",org)</f>
        <v xml:space="preserve">АО "ДГК" СП "Биробиджанская ТЭЦ"</v>
      </c>
      <c r="T29" s="304"/>
      <c r="U29" s="304"/>
      <c r="V29" s="304"/>
      <c r="W29" s="304"/>
      <c r="X29" s="304"/>
      <c r="Y29" s="304"/>
      <c r="Z29" s="304"/>
      <c r="AA29" s="304"/>
      <c r="AB29" s="304"/>
      <c r="AC29" s="304"/>
      <c r="AD29" s="304"/>
      <c r="AE29" s="304"/>
      <c r="AF29" s="304"/>
      <c r="AG29" s="304"/>
      <c r="AH29" s="304"/>
      <c r="AI29" s="304"/>
      <c r="AJ29" s="304"/>
      <c r="AK29" s="304"/>
      <c r="AL29" s="304"/>
      <c r="AM29" s="304"/>
      <c r="AN29" s="304"/>
      <c r="AO29" s="304"/>
      <c r="AP29" s="304"/>
      <c r="AQ29" s="304"/>
      <c r="AR29" s="304"/>
      <c r="AS29" s="304"/>
      <c r="AT29" s="304"/>
      <c r="AU29" s="304"/>
      <c r="AV29" s="304"/>
      <c r="AW29" s="304"/>
      <c r="AX29" s="304"/>
      <c r="AY29" s="304"/>
      <c r="AZ29" s="304"/>
      <c r="BA29" s="241"/>
      <c r="BI29" s="50">
        <v>14</v>
      </c>
    </row>
    <row r="30" ht="14.25" hidden="1" customHeight="1">
      <c r="Q30" s="660"/>
      <c r="R30" s="540"/>
      <c r="S30" s="541"/>
      <c r="T30" s="91"/>
      <c r="U30" s="91"/>
      <c r="V30" s="542"/>
      <c r="W30" s="542"/>
      <c r="X30" s="542"/>
      <c r="Y30" s="542"/>
      <c r="Z30" s="542"/>
      <c r="AA30" s="542"/>
      <c r="AB30" s="542"/>
      <c r="AC30" s="542"/>
      <c r="AD30" s="542"/>
      <c r="AE30" s="542"/>
      <c r="AF30" s="542"/>
      <c r="AG30" s="542"/>
      <c r="AH30" s="542"/>
      <c r="AI30" s="542"/>
      <c r="AJ30" s="542"/>
      <c r="AK30" s="542"/>
      <c r="AL30" s="542"/>
      <c r="AM30" s="542"/>
      <c r="AN30" s="542"/>
      <c r="AO30" s="542"/>
      <c r="AP30" s="542"/>
      <c r="AQ30" s="542"/>
      <c r="AR30" s="542"/>
      <c r="AS30" s="542"/>
      <c r="AT30" s="542"/>
      <c r="AU30" s="542"/>
      <c r="AV30" s="542"/>
      <c r="AW30" s="542"/>
      <c r="AX30" s="542"/>
      <c r="AY30" s="542"/>
      <c r="AZ30" s="542"/>
      <c r="BA30" s="542"/>
      <c r="BB30" s="50"/>
      <c r="BI30" s="50">
        <v>0</v>
      </c>
    </row>
    <row r="31" s="185" customFormat="1" ht="25.5" hidden="1" customHeight="1">
      <c r="A31" s="152"/>
      <c r="B31" s="152"/>
      <c r="C31" s="152"/>
      <c r="D31" s="152"/>
      <c r="E31" s="152"/>
      <c r="F31" s="152"/>
      <c r="G31" s="152"/>
      <c r="H31" s="152"/>
      <c r="I31" s="152"/>
      <c r="J31" s="152"/>
      <c r="K31" s="152"/>
      <c r="L31" s="482"/>
      <c r="M31" s="152"/>
      <c r="N31" s="152"/>
      <c r="O31" s="152"/>
      <c r="P31" s="152"/>
      <c r="Q31" s="152"/>
      <c r="S31" s="543" t="s">
        <v>41</v>
      </c>
      <c r="T31" s="543"/>
      <c r="U31" s="544"/>
      <c r="V31" s="545" t="str">
        <f>IF(TITLE_NAME_OR_PR_CHANGE="",IF(TITLE_NAME_OR_PR="","",TITLE_NAME_OR_PR),TITLE_NAME_OR_PR_CHANGE)</f>
        <v/>
      </c>
      <c r="W31" s="545"/>
      <c r="X31" s="545"/>
      <c r="Y31" s="545"/>
      <c r="Z31" s="545"/>
      <c r="AA31" s="545"/>
      <c r="AB31" s="545"/>
      <c r="AC31" s="50"/>
      <c r="AD31" s="545" t="str">
        <f>IF(TITLE_NAME_OR_PR_CHANGE="",IF(TITLE_NAME_OR_PR="","",TITLE_NAME_OR_PR),TITLE_NAME_OR_PR_CHANGE)</f>
        <v/>
      </c>
      <c r="AE31" s="545"/>
      <c r="AF31" s="545"/>
      <c r="AG31" s="545"/>
      <c r="AH31" s="545"/>
      <c r="AI31" s="545"/>
      <c r="AJ31" s="545"/>
      <c r="AK31" s="545"/>
      <c r="AL31" s="545"/>
      <c r="AM31" s="545"/>
      <c r="AN31" s="545"/>
      <c r="AO31" s="545"/>
      <c r="AP31" s="545"/>
      <c r="AQ31" s="545"/>
      <c r="AR31" s="545"/>
      <c r="AS31" s="545"/>
      <c r="AT31" s="545"/>
      <c r="AU31" s="545"/>
      <c r="AV31" s="545"/>
      <c r="AW31" s="545"/>
      <c r="AX31" s="545"/>
      <c r="AY31" s="545"/>
      <c r="AZ31" s="545"/>
      <c r="BA31" s="50"/>
      <c r="BB31" s="50"/>
      <c r="BC31" s="546"/>
      <c r="BD31" s="130"/>
      <c r="BE31" s="130"/>
      <c r="BF31" s="130"/>
      <c r="BG31" s="130"/>
      <c r="BH31" s="130"/>
      <c r="BI31" s="185">
        <v>0</v>
      </c>
    </row>
    <row r="32" s="185" customFormat="1" ht="18.75" hidden="1" customHeight="1">
      <c r="A32" s="152"/>
      <c r="B32" s="152"/>
      <c r="C32" s="152"/>
      <c r="D32" s="152"/>
      <c r="E32" s="152"/>
      <c r="F32" s="152"/>
      <c r="G32" s="152"/>
      <c r="H32" s="152"/>
      <c r="I32" s="152"/>
      <c r="J32" s="152"/>
      <c r="K32" s="152"/>
      <c r="L32" s="482"/>
      <c r="M32" s="152"/>
      <c r="N32" s="152"/>
      <c r="O32" s="152"/>
      <c r="P32" s="152"/>
      <c r="Q32" s="152"/>
      <c r="S32" s="543" t="s">
        <v>417</v>
      </c>
      <c r="T32" s="543"/>
      <c r="U32" s="544"/>
      <c r="V32" s="547" t="str">
        <f>IF(TITLE_DATE_PR_CHANGE="",IF(TITLE_DATE_PR="","",TITLE_DATE_PR),TITLE_DATE_PR_CHANGE)</f>
        <v/>
      </c>
      <c r="W32" s="547"/>
      <c r="X32" s="547"/>
      <c r="Y32" s="547"/>
      <c r="Z32" s="547"/>
      <c r="AA32" s="547"/>
      <c r="AB32" s="547"/>
      <c r="AC32" s="50"/>
      <c r="AD32" s="547" t="str">
        <f>IF(TITLE_DATE_PR_CHANGE="",IF(TITLE_DATE_PR="","",TITLE_DATE_PR),TITLE_DATE_PR_CHANGE)</f>
        <v/>
      </c>
      <c r="AE32" s="547"/>
      <c r="AF32" s="547"/>
      <c r="AG32" s="547"/>
      <c r="AH32" s="547"/>
      <c r="AI32" s="547"/>
      <c r="AJ32" s="547"/>
      <c r="AK32" s="547"/>
      <c r="AL32" s="547"/>
      <c r="AM32" s="547"/>
      <c r="AN32" s="547"/>
      <c r="AO32" s="547"/>
      <c r="AP32" s="547"/>
      <c r="AQ32" s="547"/>
      <c r="AR32" s="547"/>
      <c r="AS32" s="547"/>
      <c r="AT32" s="547"/>
      <c r="AU32" s="547"/>
      <c r="AV32" s="547"/>
      <c r="AW32" s="547"/>
      <c r="AX32" s="547"/>
      <c r="AY32" s="547"/>
      <c r="AZ32" s="547"/>
      <c r="BA32" s="50"/>
      <c r="BB32" s="50"/>
      <c r="BC32" s="546"/>
      <c r="BD32" s="130"/>
      <c r="BE32" s="130"/>
      <c r="BF32" s="130"/>
      <c r="BG32" s="130"/>
      <c r="BH32" s="130"/>
      <c r="BI32" s="185">
        <v>0</v>
      </c>
    </row>
    <row r="33" s="185" customFormat="1" ht="18.75" hidden="1" customHeight="1">
      <c r="A33" s="152"/>
      <c r="B33" s="152"/>
      <c r="C33" s="152"/>
      <c r="D33" s="152"/>
      <c r="E33" s="152"/>
      <c r="F33" s="152"/>
      <c r="G33" s="152"/>
      <c r="H33" s="152"/>
      <c r="I33" s="152"/>
      <c r="J33" s="152"/>
      <c r="K33" s="152"/>
      <c r="L33" s="482"/>
      <c r="M33" s="152"/>
      <c r="N33" s="152"/>
      <c r="O33" s="152"/>
      <c r="P33" s="152"/>
      <c r="Q33" s="152"/>
      <c r="S33" s="543" t="s">
        <v>418</v>
      </c>
      <c r="T33" s="543"/>
      <c r="U33" s="544"/>
      <c r="V33" s="545" t="str">
        <f>IF(TITLE_NUMBER_PR_CHANGE="",IF(TITLE_NUMBER_PR="","",TITLE_NUMBER_PR),TITLE_NUMBER_PR_CHANGE)</f>
        <v/>
      </c>
      <c r="W33" s="545"/>
      <c r="X33" s="545"/>
      <c r="Y33" s="545"/>
      <c r="Z33" s="545"/>
      <c r="AA33" s="545"/>
      <c r="AB33" s="545"/>
      <c r="AC33" s="50"/>
      <c r="AD33" s="545" t="str">
        <f>IF(TITLE_NUMBER_PR_CHANGE="",IF(TITLE_NUMBER_PR="","",TITLE_NUMBER_PR),TITLE_NUMBER_PR_CHANGE)</f>
        <v/>
      </c>
      <c r="AE33" s="545"/>
      <c r="AF33" s="545"/>
      <c r="AG33" s="545"/>
      <c r="AH33" s="545"/>
      <c r="AI33" s="545"/>
      <c r="AJ33" s="545"/>
      <c r="AK33" s="545"/>
      <c r="AL33" s="545"/>
      <c r="AM33" s="545"/>
      <c r="AN33" s="545"/>
      <c r="AO33" s="545"/>
      <c r="AP33" s="545"/>
      <c r="AQ33" s="545"/>
      <c r="AR33" s="545"/>
      <c r="AS33" s="545"/>
      <c r="AT33" s="545"/>
      <c r="AU33" s="545"/>
      <c r="AV33" s="545"/>
      <c r="AW33" s="545"/>
      <c r="AX33" s="545"/>
      <c r="AY33" s="545"/>
      <c r="AZ33" s="545"/>
      <c r="BA33" s="50"/>
      <c r="BB33" s="50"/>
      <c r="BC33" s="546"/>
      <c r="BD33" s="130"/>
      <c r="BE33" s="130"/>
      <c r="BF33" s="130"/>
      <c r="BG33" s="130"/>
      <c r="BH33" s="130"/>
      <c r="BI33" s="185">
        <v>0</v>
      </c>
    </row>
    <row r="34" s="185" customFormat="1" ht="18.75" hidden="1" customHeight="1">
      <c r="A34" s="152"/>
      <c r="B34" s="152"/>
      <c r="C34" s="152"/>
      <c r="D34" s="152"/>
      <c r="E34" s="152"/>
      <c r="F34" s="152"/>
      <c r="G34" s="152"/>
      <c r="H34" s="152"/>
      <c r="I34" s="152"/>
      <c r="J34" s="152"/>
      <c r="K34" s="152"/>
      <c r="L34" s="482"/>
      <c r="M34" s="152"/>
      <c r="N34" s="152"/>
      <c r="O34" s="152"/>
      <c r="P34" s="152"/>
      <c r="Q34" s="152"/>
      <c r="S34" s="543" t="s">
        <v>42</v>
      </c>
      <c r="T34" s="543"/>
      <c r="U34" s="544"/>
      <c r="V34" s="545" t="str">
        <f>IF(TITLE_IST_PUB_CHANGE="",IF(TITLE_IST_PUB="","",TITLE_IST_PUB),TITLE_IST_PUB_CHANGE)</f>
        <v/>
      </c>
      <c r="W34" s="545"/>
      <c r="X34" s="545"/>
      <c r="Y34" s="545"/>
      <c r="Z34" s="545"/>
      <c r="AA34" s="545"/>
      <c r="AB34" s="545"/>
      <c r="AC34" s="50"/>
      <c r="AD34" s="545" t="str">
        <f>IF(TITLE_IST_PUB_CHANGE="",IF(TITLE_IST_PUB="","",TITLE_IST_PUB),TITLE_IST_PUB_CHANGE)</f>
        <v/>
      </c>
      <c r="AE34" s="545"/>
      <c r="AF34" s="545"/>
      <c r="AG34" s="545"/>
      <c r="AH34" s="545"/>
      <c r="AI34" s="545"/>
      <c r="AJ34" s="545"/>
      <c r="AK34" s="545"/>
      <c r="AL34" s="545"/>
      <c r="AM34" s="545"/>
      <c r="AN34" s="545"/>
      <c r="AO34" s="545"/>
      <c r="AP34" s="545"/>
      <c r="AQ34" s="545"/>
      <c r="AR34" s="545"/>
      <c r="AS34" s="545"/>
      <c r="AT34" s="545"/>
      <c r="AU34" s="545"/>
      <c r="AV34" s="545"/>
      <c r="AW34" s="545"/>
      <c r="AX34" s="545"/>
      <c r="AY34" s="545"/>
      <c r="AZ34" s="545"/>
      <c r="BA34" s="50"/>
      <c r="BB34" s="50"/>
      <c r="BC34" s="546"/>
      <c r="BD34" s="130"/>
      <c r="BE34" s="130"/>
      <c r="BF34" s="130"/>
      <c r="BG34" s="130"/>
      <c r="BH34" s="130"/>
      <c r="BI34" s="185">
        <v>0</v>
      </c>
    </row>
    <row r="35" ht="14.25" hidden="1" customHeight="1">
      <c r="Q35" s="660"/>
      <c r="R35" s="540"/>
      <c r="S35" s="541"/>
      <c r="T35" s="91"/>
      <c r="U35" s="91"/>
      <c r="V35" s="542"/>
      <c r="W35" s="542"/>
      <c r="X35" s="542"/>
      <c r="Y35" s="542"/>
      <c r="Z35" s="542"/>
      <c r="AA35" s="542"/>
      <c r="AB35" s="542"/>
      <c r="AC35" s="542"/>
      <c r="AD35" s="542"/>
      <c r="AE35" s="542"/>
      <c r="AF35" s="542"/>
      <c r="AG35" s="542"/>
      <c r="AH35" s="542"/>
      <c r="AI35" s="542"/>
      <c r="AJ35" s="542"/>
      <c r="AK35" s="542"/>
      <c r="AL35" s="542"/>
      <c r="AM35" s="542"/>
      <c r="AN35" s="542"/>
      <c r="AO35" s="542"/>
      <c r="AP35" s="542"/>
      <c r="AQ35" s="542"/>
      <c r="AR35" s="542"/>
      <c r="AS35" s="542"/>
      <c r="AT35" s="542"/>
      <c r="AU35" s="542"/>
      <c r="AV35" s="542"/>
      <c r="AW35" s="542"/>
      <c r="AX35" s="542"/>
      <c r="AY35" s="542"/>
      <c r="AZ35" s="542"/>
      <c r="BA35" s="542"/>
      <c r="BB35" s="50"/>
      <c r="BI35" s="50">
        <v>0</v>
      </c>
    </row>
    <row r="36" s="185" customFormat="1" ht="18.75" hidden="1" customHeight="1">
      <c r="A36" s="152"/>
      <c r="B36" s="152"/>
      <c r="C36" s="152"/>
      <c r="D36" s="152"/>
      <c r="E36" s="152"/>
      <c r="F36" s="152"/>
      <c r="G36" s="152"/>
      <c r="H36" s="152"/>
      <c r="I36" s="152"/>
      <c r="J36" s="152"/>
      <c r="K36" s="152"/>
      <c r="L36" s="482"/>
      <c r="M36" s="152"/>
      <c r="N36" s="152"/>
      <c r="O36" s="152"/>
      <c r="P36" s="152"/>
      <c r="Q36" s="152"/>
      <c r="S36" s="543" t="s">
        <v>417</v>
      </c>
      <c r="T36" s="543"/>
      <c r="U36" s="544"/>
      <c r="V36" s="547" t="str">
        <f>IF(TITLE_DATE_PR_CHANGE="",IF(TITLE_DATE_PR="","",TITLE_DATE_PR),TITLE_DATE_PR_CHANGE)</f>
        <v/>
      </c>
      <c r="W36" s="547"/>
      <c r="X36" s="547"/>
      <c r="Y36" s="547"/>
      <c r="Z36" s="547"/>
      <c r="AA36" s="547"/>
      <c r="AB36" s="547"/>
      <c r="AC36" s="50"/>
      <c r="AD36" s="547" t="str">
        <f>IF(TITLE_DATE_PR_CHANGE="",IF(TITLE_DATE_PR="","",TITLE_DATE_PR),TITLE_DATE_PR_CHANGE)</f>
        <v/>
      </c>
      <c r="AE36" s="547"/>
      <c r="AF36" s="547"/>
      <c r="AG36" s="547"/>
      <c r="AH36" s="547"/>
      <c r="AI36" s="547"/>
      <c r="AJ36" s="547"/>
      <c r="AK36" s="547"/>
      <c r="AL36" s="547"/>
      <c r="AM36" s="547"/>
      <c r="AN36" s="547"/>
      <c r="AO36" s="547"/>
      <c r="AP36" s="547"/>
      <c r="AQ36" s="547"/>
      <c r="AR36" s="547"/>
      <c r="AS36" s="547"/>
      <c r="AT36" s="547"/>
      <c r="AU36" s="547"/>
      <c r="AV36" s="547"/>
      <c r="AW36" s="547"/>
      <c r="AX36" s="547"/>
      <c r="AY36" s="547"/>
      <c r="AZ36" s="547"/>
      <c r="BA36" s="50"/>
      <c r="BB36" s="50"/>
      <c r="BC36" s="546"/>
      <c r="BD36" s="130"/>
      <c r="BE36" s="130"/>
      <c r="BF36" s="130"/>
      <c r="BG36" s="130"/>
      <c r="BH36" s="130"/>
      <c r="BI36" s="185">
        <v>0</v>
      </c>
    </row>
    <row r="37" s="185" customFormat="1" ht="18.75" hidden="1" customHeight="1">
      <c r="A37" s="152"/>
      <c r="B37" s="152"/>
      <c r="C37" s="152"/>
      <c r="D37" s="152"/>
      <c r="E37" s="152"/>
      <c r="F37" s="152"/>
      <c r="G37" s="152"/>
      <c r="H37" s="152"/>
      <c r="I37" s="152"/>
      <c r="J37" s="152"/>
      <c r="K37" s="152"/>
      <c r="L37" s="482"/>
      <c r="M37" s="152"/>
      <c r="N37" s="152"/>
      <c r="O37" s="152"/>
      <c r="P37" s="152"/>
      <c r="Q37" s="152"/>
      <c r="S37" s="543" t="s">
        <v>418</v>
      </c>
      <c r="T37" s="543"/>
      <c r="U37" s="544"/>
      <c r="V37" s="545" t="str">
        <f>IF(TITLE_NUMBER_PR_CHANGE="",IF(TITLE_NUMBER_PR="","",TITLE_NUMBER_PR),TITLE_NUMBER_PR_CHANGE)</f>
        <v/>
      </c>
      <c r="W37" s="545"/>
      <c r="X37" s="545"/>
      <c r="Y37" s="545"/>
      <c r="Z37" s="545"/>
      <c r="AA37" s="545"/>
      <c r="AB37" s="545"/>
      <c r="AC37" s="50"/>
      <c r="AD37" s="545" t="str">
        <f>IF(TITLE_NUMBER_PR_CHANGE="",IF(TITLE_NUMBER_PR="","",TITLE_NUMBER_PR),TITLE_NUMBER_PR_CHANGE)</f>
        <v/>
      </c>
      <c r="AE37" s="545"/>
      <c r="AF37" s="545"/>
      <c r="AG37" s="545"/>
      <c r="AH37" s="545"/>
      <c r="AI37" s="545"/>
      <c r="AJ37" s="545"/>
      <c r="AK37" s="545"/>
      <c r="AL37" s="545"/>
      <c r="AM37" s="545"/>
      <c r="AN37" s="545"/>
      <c r="AO37" s="545"/>
      <c r="AP37" s="545"/>
      <c r="AQ37" s="545"/>
      <c r="AR37" s="545"/>
      <c r="AS37" s="545"/>
      <c r="AT37" s="545"/>
      <c r="AU37" s="545"/>
      <c r="AV37" s="545"/>
      <c r="AW37" s="545"/>
      <c r="AX37" s="545"/>
      <c r="AY37" s="545"/>
      <c r="AZ37" s="545"/>
      <c r="BA37" s="50"/>
      <c r="BB37" s="50"/>
      <c r="BC37" s="546"/>
      <c r="BD37" s="130"/>
      <c r="BE37" s="130"/>
      <c r="BF37" s="130"/>
      <c r="BG37" s="130"/>
      <c r="BH37" s="130"/>
      <c r="BI37" s="185">
        <v>0</v>
      </c>
    </row>
    <row r="38" s="185" customFormat="1" ht="0" customHeight="1">
      <c r="A38" s="152"/>
      <c r="B38" s="152"/>
      <c r="C38" s="152"/>
      <c r="D38" s="152"/>
      <c r="E38" s="152"/>
      <c r="F38" s="152"/>
      <c r="G38" s="152"/>
      <c r="H38" s="152"/>
      <c r="I38" s="152"/>
      <c r="J38" s="152"/>
      <c r="K38" s="152"/>
      <c r="L38" s="482"/>
      <c r="M38" s="152"/>
      <c r="N38" s="152"/>
      <c r="O38" s="152"/>
      <c r="P38" s="152"/>
      <c r="Q38" s="152"/>
      <c r="S38" s="50"/>
      <c r="T38" s="50"/>
      <c r="U38" s="141"/>
      <c r="V38" s="50"/>
      <c r="W38" s="50"/>
      <c r="X38" s="50"/>
      <c r="Y38" s="50"/>
      <c r="Z38" s="50"/>
      <c r="AA38" s="50"/>
      <c r="AB38" s="50"/>
      <c r="AC38" s="57" t="s">
        <v>421</v>
      </c>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7" t="s">
        <v>421</v>
      </c>
      <c r="BD38" s="130"/>
      <c r="BE38" s="130"/>
      <c r="BF38" s="130"/>
      <c r="BG38" s="130"/>
      <c r="BH38" s="130"/>
      <c r="BI38" s="185">
        <v>0</v>
      </c>
    </row>
    <row r="39" ht="14.65" customHeight="1">
      <c r="Q39" s="660"/>
      <c r="R39" s="540"/>
      <c r="S39" s="541"/>
      <c r="T39" s="91"/>
      <c r="U39" s="548"/>
      <c r="V39" s="549"/>
      <c r="W39" s="549"/>
      <c r="X39" s="549"/>
      <c r="Y39" s="549"/>
      <c r="Z39" s="549"/>
      <c r="AA39" s="549"/>
      <c r="AB39" s="549"/>
      <c r="AC39" s="549"/>
      <c r="AD39" s="549"/>
      <c r="AE39" s="549"/>
      <c r="AF39" s="549"/>
      <c r="AG39" s="549"/>
      <c r="AH39" s="549"/>
      <c r="AI39" s="549"/>
      <c r="AJ39" s="549"/>
      <c r="AK39" s="549"/>
      <c r="AL39" s="549"/>
      <c r="AM39" s="549"/>
      <c r="AN39" s="549"/>
      <c r="AO39" s="549"/>
      <c r="AP39" s="549"/>
      <c r="AQ39" s="549"/>
      <c r="AR39" s="549"/>
      <c r="AS39" s="549"/>
      <c r="AT39" s="549"/>
      <c r="AU39" s="549"/>
      <c r="AV39" s="549"/>
      <c r="AW39" s="549"/>
      <c r="AX39" s="549"/>
      <c r="AY39" s="549"/>
      <c r="AZ39" s="549"/>
      <c r="BA39" s="549"/>
      <c r="BI39" s="50">
        <v>14</v>
      </c>
    </row>
    <row r="40" ht="14.65" customHeight="1">
      <c r="Q40" s="660"/>
      <c r="R40" s="540"/>
      <c r="S40" s="158" t="s">
        <v>294</v>
      </c>
      <c r="T40" s="158"/>
      <c r="U40" s="158"/>
      <c r="V40" s="158"/>
      <c r="W40" s="158"/>
      <c r="X40" s="158"/>
      <c r="Y40" s="158"/>
      <c r="Z40" s="158"/>
      <c r="AA40" s="158"/>
      <c r="AB40" s="158"/>
      <c r="AC40" s="158"/>
      <c r="AD40" s="158"/>
      <c r="AE40" s="158"/>
      <c r="AF40" s="158"/>
      <c r="AG40" s="158"/>
      <c r="AH40" s="158"/>
      <c r="AI40" s="158"/>
      <c r="AJ40" s="158"/>
      <c r="AK40" s="158"/>
      <c r="AL40" s="158"/>
      <c r="AM40" s="158"/>
      <c r="AN40" s="158"/>
      <c r="AO40" s="158"/>
      <c r="AP40" s="158"/>
      <c r="AQ40" s="158"/>
      <c r="AR40" s="158"/>
      <c r="AS40" s="158"/>
      <c r="AT40" s="158"/>
      <c r="AU40" s="158"/>
      <c r="AV40" s="158"/>
      <c r="AW40" s="158"/>
      <c r="AX40" s="158"/>
      <c r="AY40" s="158"/>
      <c r="AZ40" s="158"/>
      <c r="BA40" s="158"/>
      <c r="BB40" s="158"/>
      <c r="BC40" s="158" t="s">
        <v>295</v>
      </c>
      <c r="BI40" s="50">
        <v>14</v>
      </c>
    </row>
    <row r="41" ht="14.65" customHeight="1">
      <c r="Q41" s="660"/>
      <c r="R41" s="540"/>
      <c r="S41" s="485" t="s">
        <v>87</v>
      </c>
      <c r="T41" s="348" t="s">
        <v>501</v>
      </c>
      <c r="U41" s="550"/>
      <c r="V41" s="551" t="s">
        <v>423</v>
      </c>
      <c r="W41" s="552"/>
      <c r="X41" s="552"/>
      <c r="Y41" s="552"/>
      <c r="Z41" s="552"/>
      <c r="AA41" s="552"/>
      <c r="AB41" s="553"/>
      <c r="AC41" s="554" t="s">
        <v>424</v>
      </c>
      <c r="AD41" s="662" t="s">
        <v>502</v>
      </c>
      <c r="AE41" s="585"/>
      <c r="AF41" s="585"/>
      <c r="AG41" s="663"/>
      <c r="AH41" s="662" t="s">
        <v>503</v>
      </c>
      <c r="AI41" s="585"/>
      <c r="AJ41" s="585"/>
      <c r="AK41" s="663"/>
      <c r="AL41" s="662" t="s">
        <v>504</v>
      </c>
      <c r="AM41" s="585"/>
      <c r="AN41" s="585"/>
      <c r="AO41" s="663"/>
      <c r="AP41" s="662" t="s">
        <v>505</v>
      </c>
      <c r="AQ41" s="585"/>
      <c r="AR41" s="585"/>
      <c r="AS41" s="663"/>
      <c r="AT41" s="551" t="s">
        <v>423</v>
      </c>
      <c r="AU41" s="552"/>
      <c r="AV41" s="552"/>
      <c r="AW41" s="552"/>
      <c r="AX41" s="552"/>
      <c r="AY41" s="552"/>
      <c r="AZ41" s="553"/>
      <c r="BA41" s="554" t="s">
        <v>424</v>
      </c>
      <c r="BB41" s="555" t="s">
        <v>426</v>
      </c>
      <c r="BC41" s="158"/>
      <c r="BI41" s="50">
        <v>14</v>
      </c>
    </row>
    <row r="42" ht="35.649999999999999" customHeight="1">
      <c r="Q42" s="660"/>
      <c r="R42" s="540"/>
      <c r="S42" s="485"/>
      <c r="T42" s="348"/>
      <c r="U42" s="556"/>
      <c r="V42" s="305" t="s">
        <v>506</v>
      </c>
      <c r="W42" s="306"/>
      <c r="X42" s="305" t="s">
        <v>507</v>
      </c>
      <c r="Y42" s="306"/>
      <c r="Z42" s="305" t="s">
        <v>508</v>
      </c>
      <c r="AA42" s="627"/>
      <c r="AB42" s="306"/>
      <c r="AC42" s="558"/>
      <c r="AD42" s="665"/>
      <c r="AE42" s="666"/>
      <c r="AF42" s="666"/>
      <c r="AG42" s="667"/>
      <c r="AH42" s="665"/>
      <c r="AI42" s="666"/>
      <c r="AJ42" s="666"/>
      <c r="AK42" s="667"/>
      <c r="AL42" s="665"/>
      <c r="AM42" s="666"/>
      <c r="AN42" s="666"/>
      <c r="AO42" s="667"/>
      <c r="AP42" s="665"/>
      <c r="AQ42" s="666"/>
      <c r="AR42" s="666"/>
      <c r="AS42" s="667"/>
      <c r="AT42" s="305" t="s">
        <v>506</v>
      </c>
      <c r="AU42" s="306"/>
      <c r="AV42" s="305" t="s">
        <v>507</v>
      </c>
      <c r="AW42" s="306"/>
      <c r="AX42" s="305" t="s">
        <v>508</v>
      </c>
      <c r="AY42" s="627"/>
      <c r="AZ42" s="306"/>
      <c r="BA42" s="558"/>
      <c r="BB42" s="559"/>
      <c r="BC42" s="158"/>
      <c r="BI42" s="50">
        <v>34</v>
      </c>
    </row>
    <row r="43" ht="14.65" customHeight="1">
      <c r="Q43" s="660"/>
      <c r="R43" s="540"/>
      <c r="S43" s="485"/>
      <c r="T43" s="348"/>
      <c r="U43" s="556"/>
      <c r="V43" s="311"/>
      <c r="W43" s="312"/>
      <c r="X43" s="311"/>
      <c r="Y43" s="312"/>
      <c r="Z43" s="311"/>
      <c r="AA43" s="628"/>
      <c r="AB43" s="312"/>
      <c r="AC43" s="558"/>
      <c r="AD43" s="665"/>
      <c r="AE43" s="666"/>
      <c r="AF43" s="666"/>
      <c r="AG43" s="667"/>
      <c r="AH43" s="665"/>
      <c r="AI43" s="666"/>
      <c r="AJ43" s="666"/>
      <c r="AK43" s="667"/>
      <c r="AL43" s="665"/>
      <c r="AM43" s="666"/>
      <c r="AN43" s="666"/>
      <c r="AO43" s="667"/>
      <c r="AP43" s="665"/>
      <c r="AQ43" s="666"/>
      <c r="AR43" s="666"/>
      <c r="AS43" s="667"/>
      <c r="AT43" s="311"/>
      <c r="AU43" s="312"/>
      <c r="AV43" s="311"/>
      <c r="AW43" s="312"/>
      <c r="AX43" s="311"/>
      <c r="AY43" s="628"/>
      <c r="AZ43" s="312"/>
      <c r="BA43" s="558"/>
      <c r="BB43" s="559"/>
      <c r="BC43" s="158"/>
      <c r="BI43" s="50">
        <v>14</v>
      </c>
    </row>
    <row r="44" ht="14.65" customHeight="1">
      <c r="A44" s="152"/>
      <c r="B44" s="152" t="s">
        <v>131</v>
      </c>
      <c r="C44" s="152" t="s">
        <v>132</v>
      </c>
      <c r="D44" s="152" t="s">
        <v>133</v>
      </c>
      <c r="E44" s="482" t="s">
        <v>431</v>
      </c>
      <c r="F44" s="482" t="s">
        <v>432</v>
      </c>
      <c r="G44" s="482" t="s">
        <v>433</v>
      </c>
      <c r="H44" s="482" t="s">
        <v>434</v>
      </c>
      <c r="I44" s="482" t="s">
        <v>435</v>
      </c>
      <c r="J44" s="482" t="s">
        <v>436</v>
      </c>
      <c r="K44" s="482" t="s">
        <v>437</v>
      </c>
      <c r="L44" s="482" t="s">
        <v>412</v>
      </c>
      <c r="Q44" s="660"/>
      <c r="R44" s="540"/>
      <c r="S44" s="485"/>
      <c r="T44" s="348"/>
      <c r="U44" s="560"/>
      <c r="V44" s="348" t="s">
        <v>472</v>
      </c>
      <c r="W44" s="348" t="s">
        <v>473</v>
      </c>
      <c r="X44" s="348" t="s">
        <v>472</v>
      </c>
      <c r="Y44" s="348" t="s">
        <v>473</v>
      </c>
      <c r="Z44" s="247" t="s">
        <v>440</v>
      </c>
      <c r="AA44" s="416" t="s">
        <v>441</v>
      </c>
      <c r="AB44" s="418"/>
      <c r="AC44" s="562"/>
      <c r="AD44" s="671"/>
      <c r="AE44" s="672"/>
      <c r="AF44" s="672"/>
      <c r="AG44" s="673"/>
      <c r="AH44" s="671"/>
      <c r="AI44" s="672"/>
      <c r="AJ44" s="672"/>
      <c r="AK44" s="673"/>
      <c r="AL44" s="671"/>
      <c r="AM44" s="672"/>
      <c r="AN44" s="672"/>
      <c r="AO44" s="673"/>
      <c r="AP44" s="671"/>
      <c r="AQ44" s="672"/>
      <c r="AR44" s="672"/>
      <c r="AS44" s="673"/>
      <c r="AT44" s="348" t="s">
        <v>472</v>
      </c>
      <c r="AU44" s="348" t="s">
        <v>473</v>
      </c>
      <c r="AV44" s="348" t="s">
        <v>472</v>
      </c>
      <c r="AW44" s="348" t="s">
        <v>473</v>
      </c>
      <c r="AX44" s="247" t="s">
        <v>440</v>
      </c>
      <c r="AY44" s="416" t="s">
        <v>441</v>
      </c>
      <c r="AZ44" s="418"/>
      <c r="BA44" s="562"/>
      <c r="BB44" s="563"/>
      <c r="BC44" s="158"/>
      <c r="BI44" s="50">
        <v>14</v>
      </c>
    </row>
    <row r="45" s="132" customFormat="1" ht="11.25" hidden="1" customHeight="1">
      <c r="A45" s="152"/>
      <c r="B45" s="152"/>
      <c r="C45" s="152"/>
      <c r="D45" s="152"/>
      <c r="E45" s="152"/>
      <c r="F45" s="152"/>
      <c r="G45" s="152"/>
      <c r="H45" s="152"/>
      <c r="I45" s="152"/>
      <c r="J45" s="152"/>
      <c r="K45" s="152"/>
      <c r="L45" s="482"/>
      <c r="M45" s="61"/>
      <c r="N45" s="61"/>
      <c r="O45" s="61"/>
      <c r="P45" s="597"/>
      <c r="Q45" s="566"/>
      <c r="R45" s="566">
        <v>1</v>
      </c>
      <c r="S45" s="567" t="s">
        <v>105</v>
      </c>
      <c r="T45" s="568" t="s">
        <v>106</v>
      </c>
      <c r="U45" s="569" t="str">
        <f ca="1">OFFSET(U45,0,-1)</f>
        <v>2</v>
      </c>
      <c r="V45" s="570">
        <f ca="1">OFFSET(V45,0,-1)+1</f>
        <v>3</v>
      </c>
      <c r="W45" s="570">
        <f ca="1">OFFSET(W45,0,-1)+1</f>
        <v>4</v>
      </c>
      <c r="X45" s="570">
        <f ca="1">OFFSET(X45,0,-1)+1</f>
        <v>5</v>
      </c>
      <c r="Y45" s="570">
        <f ca="1">OFFSET(Y45,0,-1)+1</f>
        <v>6</v>
      </c>
      <c r="Z45" s="570">
        <f ca="1">OFFSET(Z45,0,-1)+1</f>
        <v>7</v>
      </c>
      <c r="AA45" s="570">
        <f ca="1">OFFSET(AA45,0,-1)+1</f>
        <v>8</v>
      </c>
      <c r="AB45" s="570"/>
      <c r="AC45" s="570">
        <f ca="1">OFFSET(AC45,0,-2)+1</f>
        <v>9</v>
      </c>
      <c r="AD45" s="570">
        <f ca="1">OFFSET(AD45,0,-1)+1</f>
        <v>10</v>
      </c>
      <c r="AE45" s="570"/>
      <c r="AF45" s="570"/>
      <c r="AG45" s="570"/>
      <c r="AH45" s="570"/>
      <c r="AI45" s="570"/>
      <c r="AJ45" s="570"/>
      <c r="AK45" s="570"/>
      <c r="AL45" s="570"/>
      <c r="AM45" s="570"/>
      <c r="AN45" s="570"/>
      <c r="AO45" s="570"/>
      <c r="AP45" s="570"/>
      <c r="AQ45" s="570"/>
      <c r="AR45" s="570"/>
      <c r="AS45" s="570"/>
      <c r="AT45" s="570"/>
      <c r="AU45" s="570"/>
      <c r="AV45" s="570"/>
      <c r="AW45" s="570">
        <f ca="1">OFFSET(AW45,0,-1)+1</f>
        <v>1</v>
      </c>
      <c r="AX45" s="570">
        <f ca="1">OFFSET(AX45,0,-1)+1</f>
        <v>2</v>
      </c>
      <c r="AY45" s="570">
        <f ca="1">OFFSET(AY45,0,-1)+1</f>
        <v>3</v>
      </c>
      <c r="AZ45" s="570"/>
      <c r="BA45" s="570">
        <f ca="1">OFFSET(BA45,0,-2)+1</f>
        <v>4</v>
      </c>
      <c r="BB45" s="569">
        <f ca="1">OFFSET(BB45,0,-1)</f>
        <v>4</v>
      </c>
      <c r="BC45" s="570">
        <f ca="1">OFFSET(BC45,0,-1)+1</f>
        <v>5</v>
      </c>
      <c r="BD45" s="57"/>
      <c r="BE45" s="57"/>
      <c r="BF45" s="57"/>
      <c r="BG45" s="57"/>
      <c r="BH45" s="57"/>
      <c r="BI45" s="132">
        <v>0</v>
      </c>
    </row>
    <row r="46" ht="22" customHeight="1">
      <c r="A46" s="480" t="s">
        <v>240</v>
      </c>
      <c r="B46" s="480"/>
      <c r="C46" s="480"/>
      <c r="D46" s="480"/>
      <c r="E46" s="481">
        <v>1</v>
      </c>
      <c r="F46" s="480"/>
      <c r="G46" s="480"/>
      <c r="H46" s="480"/>
      <c r="I46" s="480"/>
      <c r="J46" s="480"/>
      <c r="K46" s="480"/>
      <c r="L46" s="482"/>
      <c r="M46" s="483"/>
      <c r="N46" s="483"/>
      <c r="O46" s="483"/>
      <c r="P46" s="61"/>
      <c r="Q46" s="64"/>
      <c r="R46" s="484"/>
      <c r="S46" s="485">
        <f>INDEX(PT_DIFFERENTIATION_NUM_NTAR,MATCH(A46,PT_DIFFERENTIATION_NTAR_ID,0))</f>
        <v>0</v>
      </c>
      <c r="T46" s="486" t="s">
        <v>119</v>
      </c>
      <c r="U46" s="487"/>
      <c r="V46" s="489"/>
      <c r="W46" s="489"/>
      <c r="X46" s="489"/>
      <c r="Y46" s="489"/>
      <c r="Z46" s="489"/>
      <c r="AA46" s="489"/>
      <c r="AB46" s="489"/>
      <c r="AC46" s="490"/>
      <c r="AD46" s="488" t="str">
        <f>INDEX(PT_DIFFERENTIATION_NTAR,MATCH(A46,PT_DIFFERENTIATION_NTAR_ID,0))</f>
        <v/>
      </c>
      <c r="AE46" s="489"/>
      <c r="AF46" s="489"/>
      <c r="AG46" s="489"/>
      <c r="AH46" s="489"/>
      <c r="AI46" s="489"/>
      <c r="AJ46" s="489"/>
      <c r="AK46" s="489"/>
      <c r="AL46" s="489"/>
      <c r="AM46" s="489"/>
      <c r="AN46" s="489"/>
      <c r="AO46" s="489"/>
      <c r="AP46" s="489"/>
      <c r="AQ46" s="489"/>
      <c r="AR46" s="489"/>
      <c r="AS46" s="489"/>
      <c r="AT46" s="489"/>
      <c r="AU46" s="489"/>
      <c r="AV46" s="489"/>
      <c r="AW46" s="489"/>
      <c r="AX46" s="489"/>
      <c r="AY46" s="489"/>
      <c r="AZ46" s="489"/>
      <c r="BA46" s="489"/>
      <c r="BB46" s="490"/>
      <c r="BC46" s="49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130"/>
      <c r="BF46" s="130" t="str">
        <f t="shared" si="34"/>
        <v xml:space="preserve">Наименование тарифа</v>
      </c>
      <c r="BG46" s="130"/>
      <c r="BH46" s="130"/>
      <c r="BI46" s="50">
        <v>21</v>
      </c>
    </row>
    <row r="47" ht="22" customHeight="1">
      <c r="A47" s="480" t="s">
        <v>240</v>
      </c>
      <c r="B47" s="480" t="s">
        <v>241</v>
      </c>
      <c r="C47" s="480"/>
      <c r="D47" s="480"/>
      <c r="E47" s="492"/>
      <c r="F47" s="481">
        <v>1</v>
      </c>
      <c r="G47" s="480"/>
      <c r="H47" s="480"/>
      <c r="I47" s="480"/>
      <c r="J47" s="480"/>
      <c r="K47" s="480"/>
      <c r="L47" s="482"/>
      <c r="M47" s="483"/>
      <c r="N47" s="483"/>
      <c r="O47" s="483"/>
      <c r="P47" s="114"/>
      <c r="Q47" s="630"/>
      <c r="R47" s="494"/>
      <c r="S47" s="485" t="str">
        <f>INDEX(PT_DIFFERENTIATION_NUM_TER,MATCH(B47,PT_DIFFERENTIATION_TER_ID,0))</f>
        <v>.</v>
      </c>
      <c r="T47" s="495" t="s">
        <v>391</v>
      </c>
      <c r="U47" s="487"/>
      <c r="V47" s="489"/>
      <c r="W47" s="489"/>
      <c r="X47" s="489"/>
      <c r="Y47" s="489"/>
      <c r="Z47" s="489"/>
      <c r="AA47" s="489"/>
      <c r="AB47" s="489"/>
      <c r="AC47" s="490"/>
      <c r="AD47" s="488" t="str">
        <f>INDEX(PT_DIFFERENTIATION_TER,MATCH(B47,PT_DIFFERENTIATION_TER_ID,0))</f>
        <v/>
      </c>
      <c r="AE47" s="489"/>
      <c r="AF47" s="489"/>
      <c r="AG47" s="489"/>
      <c r="AH47" s="489"/>
      <c r="AI47" s="489"/>
      <c r="AJ47" s="489"/>
      <c r="AK47" s="489"/>
      <c r="AL47" s="489"/>
      <c r="AM47" s="489"/>
      <c r="AN47" s="489"/>
      <c r="AO47" s="489"/>
      <c r="AP47" s="489"/>
      <c r="AQ47" s="489"/>
      <c r="AR47" s="489"/>
      <c r="AS47" s="489"/>
      <c r="AT47" s="489"/>
      <c r="AU47" s="489"/>
      <c r="AV47" s="489"/>
      <c r="AW47" s="489"/>
      <c r="AX47" s="489"/>
      <c r="AY47" s="489"/>
      <c r="AZ47" s="489"/>
      <c r="BA47" s="489"/>
      <c r="BB47" s="490"/>
      <c r="BC47" s="491" t="s">
        <v>392</v>
      </c>
      <c r="BE47" s="130"/>
      <c r="BF47" s="130" t="str">
        <f t="shared" si="34"/>
        <v xml:space="preserve">Территория действия тарифа</v>
      </c>
      <c r="BG47" s="130"/>
      <c r="BH47" s="130"/>
      <c r="BI47" s="50">
        <v>21</v>
      </c>
    </row>
    <row r="48" ht="43.049999999999997" customHeight="1">
      <c r="A48" s="480" t="s">
        <v>240</v>
      </c>
      <c r="B48" s="480" t="s">
        <v>241</v>
      </c>
      <c r="C48" s="480" t="s">
        <v>242</v>
      </c>
      <c r="D48" s="480"/>
      <c r="E48" s="492"/>
      <c r="F48" s="492"/>
      <c r="G48" s="481">
        <v>1</v>
      </c>
      <c r="H48" s="480"/>
      <c r="I48" s="480"/>
      <c r="J48" s="480"/>
      <c r="K48" s="480"/>
      <c r="L48" s="482"/>
      <c r="M48" s="483"/>
      <c r="N48" s="483"/>
      <c r="O48" s="483"/>
      <c r="P48" s="136"/>
      <c r="Q48" s="630"/>
      <c r="R48" s="494"/>
      <c r="S48" s="485" t="str">
        <f>INDEX(PT_DIFFERENTIATION_NUM_CS,MATCH(C48,PT_DIFFERENTIATION_CS_ID,0))</f>
        <v>..</v>
      </c>
      <c r="T48" s="497" t="s">
        <v>475</v>
      </c>
      <c r="U48" s="487"/>
      <c r="V48" s="489"/>
      <c r="W48" s="489"/>
      <c r="X48" s="489"/>
      <c r="Y48" s="489"/>
      <c r="Z48" s="489"/>
      <c r="AA48" s="489"/>
      <c r="AB48" s="489"/>
      <c r="AC48" s="490"/>
      <c r="AD48" s="488" t="str">
        <f>INDEX(PT_DIFFERENTIATION_CS,MATCH(C48,PT_DIFFERENTIATION_CS_ID,0))</f>
        <v/>
      </c>
      <c r="AE48" s="489"/>
      <c r="AF48" s="489"/>
      <c r="AG48" s="489"/>
      <c r="AH48" s="489"/>
      <c r="AI48" s="489"/>
      <c r="AJ48" s="489"/>
      <c r="AK48" s="489"/>
      <c r="AL48" s="489"/>
      <c r="AM48" s="489"/>
      <c r="AN48" s="489"/>
      <c r="AO48" s="489"/>
      <c r="AP48" s="489"/>
      <c r="AQ48" s="489"/>
      <c r="AR48" s="489"/>
      <c r="AS48" s="489"/>
      <c r="AT48" s="489"/>
      <c r="AU48" s="489"/>
      <c r="AV48" s="489"/>
      <c r="AW48" s="489"/>
      <c r="AX48" s="489"/>
      <c r="AY48" s="489"/>
      <c r="AZ48" s="489"/>
      <c r="BA48" s="489"/>
      <c r="BB48" s="490"/>
      <c r="BC48" s="491" t="s">
        <v>476</v>
      </c>
      <c r="BE48" s="130"/>
      <c r="BF48" s="130" t="str">
        <f t="shared" si="34"/>
        <v xml:space="preserve">Наименование централизованной системы холодного водоснабжения</v>
      </c>
      <c r="BG48" s="130"/>
      <c r="BH48" s="130"/>
      <c r="BI48" s="50">
        <v>41</v>
      </c>
    </row>
    <row r="49" s="57" customFormat="1" ht="0" customHeight="1">
      <c r="A49" s="134" t="s">
        <v>240</v>
      </c>
      <c r="B49" s="134" t="s">
        <v>241</v>
      </c>
      <c r="C49" s="134" t="s">
        <v>242</v>
      </c>
      <c r="D49" s="134" t="s">
        <v>509</v>
      </c>
      <c r="E49" s="492"/>
      <c r="F49" s="492"/>
      <c r="G49" s="492"/>
      <c r="H49" s="481">
        <v>1</v>
      </c>
      <c r="I49" s="134"/>
      <c r="J49" s="134"/>
      <c r="K49" s="134"/>
      <c r="L49" s="213"/>
      <c r="M49" s="465"/>
      <c r="N49" s="465"/>
      <c r="O49" s="465"/>
      <c r="P49" s="695"/>
      <c r="Q49" s="696"/>
      <c r="R49" s="505"/>
      <c r="S49" s="352"/>
      <c r="T49" s="697"/>
      <c r="U49" s="588"/>
      <c r="V49" s="590"/>
      <c r="W49" s="590"/>
      <c r="X49" s="590"/>
      <c r="Y49" s="590"/>
      <c r="Z49" s="590"/>
      <c r="AA49" s="590"/>
      <c r="AB49" s="590"/>
      <c r="AC49" s="591"/>
      <c r="AD49" s="589"/>
      <c r="AE49" s="590"/>
      <c r="AF49" s="590"/>
      <c r="AG49" s="590"/>
      <c r="AH49" s="590"/>
      <c r="AI49" s="590"/>
      <c r="AJ49" s="590"/>
      <c r="AK49" s="590"/>
      <c r="AL49" s="590"/>
      <c r="AM49" s="590"/>
      <c r="AN49" s="590"/>
      <c r="AO49" s="590"/>
      <c r="AP49" s="590"/>
      <c r="AQ49" s="590"/>
      <c r="AR49" s="590"/>
      <c r="AS49" s="590"/>
      <c r="AT49" s="590"/>
      <c r="AU49" s="590"/>
      <c r="AV49" s="590"/>
      <c r="AW49" s="590"/>
      <c r="AX49" s="590"/>
      <c r="AY49" s="590"/>
      <c r="AZ49" s="590"/>
      <c r="BA49" s="590"/>
      <c r="BB49" s="591"/>
      <c r="BC49" s="592" t="s">
        <v>396</v>
      </c>
      <c r="BE49" s="130"/>
      <c r="BF49" s="130" t="str">
        <f t="shared" si="34"/>
        <v/>
      </c>
      <c r="BG49" s="130"/>
      <c r="BH49" s="130"/>
      <c r="BI49" s="57">
        <v>0</v>
      </c>
    </row>
    <row r="50" s="57" customFormat="1" ht="0" customHeight="1">
      <c r="A50" s="134" t="s">
        <v>240</v>
      </c>
      <c r="B50" s="134" t="s">
        <v>241</v>
      </c>
      <c r="C50" s="134" t="s">
        <v>242</v>
      </c>
      <c r="D50" s="134" t="s">
        <v>509</v>
      </c>
      <c r="E50" s="492"/>
      <c r="F50" s="492"/>
      <c r="G50" s="492"/>
      <c r="H50" s="492"/>
      <c r="I50" s="499" t="str">
        <f>S49&amp;".1"</f>
        <v>.1</v>
      </c>
      <c r="J50" s="134"/>
      <c r="K50" s="134"/>
      <c r="L50" s="213" t="s">
        <v>397</v>
      </c>
      <c r="M50" s="597"/>
      <c r="N50" s="597"/>
      <c r="O50" s="597"/>
      <c r="P50" s="133">
        <v>1</v>
      </c>
      <c r="Q50" s="133"/>
      <c r="R50" s="500"/>
      <c r="S50" s="352"/>
      <c r="T50" s="587"/>
      <c r="U50" s="588"/>
      <c r="V50" s="590"/>
      <c r="W50" s="590"/>
      <c r="X50" s="590"/>
      <c r="Y50" s="590"/>
      <c r="Z50" s="590"/>
      <c r="AA50" s="590"/>
      <c r="AB50" s="590"/>
      <c r="AC50" s="591"/>
      <c r="AD50" s="589"/>
      <c r="AE50" s="590"/>
      <c r="AF50" s="590"/>
      <c r="AG50" s="590"/>
      <c r="AH50" s="590"/>
      <c r="AI50" s="590"/>
      <c r="AJ50" s="590"/>
      <c r="AK50" s="590"/>
      <c r="AL50" s="590"/>
      <c r="AM50" s="590"/>
      <c r="AN50" s="590"/>
      <c r="AO50" s="590"/>
      <c r="AP50" s="590"/>
      <c r="AQ50" s="590"/>
      <c r="AR50" s="590"/>
      <c r="AS50" s="590"/>
      <c r="AT50" s="590"/>
      <c r="AU50" s="590"/>
      <c r="AV50" s="590"/>
      <c r="AW50" s="590"/>
      <c r="AX50" s="590"/>
      <c r="AY50" s="590"/>
      <c r="AZ50" s="590"/>
      <c r="BA50" s="590"/>
      <c r="BB50" s="591"/>
      <c r="BC50" s="592"/>
      <c r="BE50" s="130"/>
      <c r="BF50" s="130" t="str">
        <f t="shared" si="34"/>
        <v/>
      </c>
      <c r="BG50" s="130"/>
      <c r="BH50" s="130"/>
      <c r="BI50" s="57">
        <v>0</v>
      </c>
    </row>
    <row r="51" s="57" customFormat="1" ht="0" customHeight="1">
      <c r="A51" s="134" t="s">
        <v>240</v>
      </c>
      <c r="B51" s="134" t="s">
        <v>241</v>
      </c>
      <c r="C51" s="134" t="s">
        <v>242</v>
      </c>
      <c r="D51" s="134" t="s">
        <v>509</v>
      </c>
      <c r="E51" s="492"/>
      <c r="F51" s="492"/>
      <c r="G51" s="492"/>
      <c r="H51" s="492"/>
      <c r="I51" s="504"/>
      <c r="J51" s="499" t="str">
        <f>S49&amp;".1"</f>
        <v>.1</v>
      </c>
      <c r="K51" s="134"/>
      <c r="L51" s="213"/>
      <c r="M51" s="597"/>
      <c r="N51" s="597"/>
      <c r="O51" s="597"/>
      <c r="P51" s="133"/>
      <c r="Q51" s="133">
        <v>1</v>
      </c>
      <c r="R51" s="505"/>
      <c r="S51" s="352"/>
      <c r="T51" s="631"/>
      <c r="U51" s="588"/>
      <c r="V51" s="590"/>
      <c r="W51" s="590"/>
      <c r="X51" s="590"/>
      <c r="Y51" s="590"/>
      <c r="Z51" s="590"/>
      <c r="AA51" s="590"/>
      <c r="AB51" s="590"/>
      <c r="AC51" s="591"/>
      <c r="AD51" s="589"/>
      <c r="AE51" s="590"/>
      <c r="AF51" s="590"/>
      <c r="AG51" s="590"/>
      <c r="AH51" s="590"/>
      <c r="AI51" s="590"/>
      <c r="AJ51" s="590"/>
      <c r="AK51" s="590"/>
      <c r="AL51" s="590"/>
      <c r="AM51" s="590"/>
      <c r="AN51" s="704"/>
      <c r="AO51" s="704"/>
      <c r="AP51" s="590"/>
      <c r="AQ51" s="590"/>
      <c r="AR51" s="590"/>
      <c r="AS51" s="590"/>
      <c r="AT51" s="590"/>
      <c r="AU51" s="590"/>
      <c r="AV51" s="590"/>
      <c r="AW51" s="590"/>
      <c r="AX51" s="590"/>
      <c r="AY51" s="590"/>
      <c r="AZ51" s="590"/>
      <c r="BA51" s="590"/>
      <c r="BB51" s="591"/>
      <c r="BC51" s="592"/>
      <c r="BE51" s="130"/>
      <c r="BF51" s="130" t="str">
        <f t="shared" si="34"/>
        <v/>
      </c>
      <c r="BG51" s="130"/>
      <c r="BH51" s="130"/>
      <c r="BI51" s="57">
        <v>0</v>
      </c>
    </row>
    <row r="52" ht="11.5" customHeight="1">
      <c r="A52" s="480" t="s">
        <v>240</v>
      </c>
      <c r="B52" s="480" t="s">
        <v>241</v>
      </c>
      <c r="C52" s="480" t="s">
        <v>242</v>
      </c>
      <c r="D52" s="480" t="s">
        <v>509</v>
      </c>
      <c r="E52" s="492"/>
      <c r="F52" s="492"/>
      <c r="G52" s="492"/>
      <c r="H52" s="492"/>
      <c r="I52" s="504"/>
      <c r="J52" s="504"/>
      <c r="K52" s="499" t="str">
        <f>S48&amp;".1"</f>
        <v>...1</v>
      </c>
      <c r="L52" s="482"/>
      <c r="P52" s="133"/>
      <c r="Q52" s="133"/>
      <c r="R52" s="505">
        <v>1</v>
      </c>
      <c r="S52" s="599" t="str">
        <f>$K52</f>
        <v>...1</v>
      </c>
      <c r="T52" s="690"/>
      <c r="U52" s="487"/>
      <c r="V52" s="508"/>
      <c r="W52" s="510"/>
      <c r="X52" s="508"/>
      <c r="Y52" s="510"/>
      <c r="Z52" s="511"/>
      <c r="AA52" s="225" t="s">
        <v>64</v>
      </c>
      <c r="AB52" s="511"/>
      <c r="AC52" s="225" t="s">
        <v>64</v>
      </c>
      <c r="AD52" s="315" t="s">
        <v>64</v>
      </c>
      <c r="AE52" s="634"/>
      <c r="AF52" s="346">
        <v>1</v>
      </c>
      <c r="AG52" s="691"/>
      <c r="AH52" s="225" t="s">
        <v>64</v>
      </c>
      <c r="AI52" s="634"/>
      <c r="AJ52" s="346">
        <v>1</v>
      </c>
      <c r="AK52" s="87" t="s">
        <v>22</v>
      </c>
      <c r="AL52" s="225" t="s">
        <v>64</v>
      </c>
      <c r="AM52" s="305"/>
      <c r="AN52" s="346">
        <v>1</v>
      </c>
      <c r="AO52" s="698"/>
      <c r="AP52" s="699" t="s">
        <v>64</v>
      </c>
      <c r="AQ52" s="635"/>
      <c r="AR52" s="346">
        <v>1</v>
      </c>
      <c r="AS52" s="95" t="s">
        <v>22</v>
      </c>
      <c r="AT52" s="508"/>
      <c r="AU52" s="510"/>
      <c r="AV52" s="508"/>
      <c r="AW52" s="510"/>
      <c r="AX52" s="511"/>
      <c r="AY52" s="225" t="s">
        <v>64</v>
      </c>
      <c r="AZ52" s="511"/>
      <c r="BA52" s="225" t="s">
        <v>64</v>
      </c>
      <c r="BB52" s="572"/>
      <c r="BC52" s="512" t="s">
        <v>495</v>
      </c>
      <c r="BE52" s="130"/>
      <c r="BF52" s="130" t="str">
        <f t="shared" si="34"/>
        <v/>
      </c>
      <c r="BG52" s="130"/>
      <c r="BH52" s="130"/>
      <c r="BI52" s="50">
        <v>11</v>
      </c>
    </row>
    <row r="53" ht="11.5" customHeight="1">
      <c r="A53" s="480"/>
      <c r="B53" s="480"/>
      <c r="C53" s="480"/>
      <c r="D53" s="480"/>
      <c r="E53" s="492"/>
      <c r="F53" s="492"/>
      <c r="G53" s="492"/>
      <c r="H53" s="492"/>
      <c r="I53" s="504"/>
      <c r="J53" s="504"/>
      <c r="K53" s="499"/>
      <c r="L53" s="482"/>
      <c r="P53" s="133"/>
      <c r="Q53" s="133"/>
      <c r="R53" s="505"/>
      <c r="S53" s="636"/>
      <c r="T53" s="700"/>
      <c r="U53" s="487"/>
      <c r="V53" s="623"/>
      <c r="W53" s="640"/>
      <c r="X53" s="623"/>
      <c r="Y53" s="640"/>
      <c r="Z53" s="623"/>
      <c r="AA53" s="623"/>
      <c r="AB53" s="623"/>
      <c r="AC53" s="623"/>
      <c r="AD53" s="321"/>
      <c r="AE53" s="634"/>
      <c r="AF53" s="346"/>
      <c r="AG53" s="691"/>
      <c r="AH53" s="225"/>
      <c r="AI53" s="634"/>
      <c r="AJ53" s="346"/>
      <c r="AK53" s="87"/>
      <c r="AL53" s="225"/>
      <c r="AM53" s="311"/>
      <c r="AN53" s="346"/>
      <c r="AO53" s="698"/>
      <c r="AP53" s="701"/>
      <c r="AQ53" s="639"/>
      <c r="AR53" s="178"/>
      <c r="AS53" s="178" t="s">
        <v>496</v>
      </c>
      <c r="AT53" s="623"/>
      <c r="AU53" s="640"/>
      <c r="AV53" s="623"/>
      <c r="AW53" s="640"/>
      <c r="AX53" s="623"/>
      <c r="AY53" s="623"/>
      <c r="AZ53" s="623"/>
      <c r="BA53" s="623"/>
      <c r="BB53" s="638"/>
      <c r="BC53" s="515"/>
      <c r="BE53" s="130"/>
      <c r="BF53" s="130"/>
      <c r="BG53" s="130"/>
      <c r="BH53" s="130"/>
      <c r="BI53" s="50">
        <v>11</v>
      </c>
    </row>
    <row r="54" ht="11.5" customHeight="1">
      <c r="A54" s="480" t="s">
        <v>240</v>
      </c>
      <c r="B54" s="480"/>
      <c r="C54" s="480"/>
      <c r="D54" s="480"/>
      <c r="E54" s="492"/>
      <c r="F54" s="492"/>
      <c r="G54" s="492"/>
      <c r="H54" s="492"/>
      <c r="I54" s="504"/>
      <c r="J54" s="504"/>
      <c r="K54" s="499"/>
      <c r="L54" s="482"/>
      <c r="P54" s="133"/>
      <c r="Q54" s="133"/>
      <c r="R54" s="505"/>
      <c r="S54" s="636"/>
      <c r="T54" s="700"/>
      <c r="U54" s="487"/>
      <c r="V54" s="623"/>
      <c r="W54" s="640"/>
      <c r="X54" s="623"/>
      <c r="Y54" s="640"/>
      <c r="Z54" s="623"/>
      <c r="AA54" s="623"/>
      <c r="AB54" s="623"/>
      <c r="AC54" s="623"/>
      <c r="AD54" s="321"/>
      <c r="AE54" s="634"/>
      <c r="AF54" s="346"/>
      <c r="AG54" s="691"/>
      <c r="AH54" s="225"/>
      <c r="AI54" s="634"/>
      <c r="AJ54" s="346"/>
      <c r="AK54" s="87"/>
      <c r="AL54" s="225"/>
      <c r="AM54" s="639"/>
      <c r="AN54" s="702"/>
      <c r="AO54" s="702" t="s">
        <v>497</v>
      </c>
      <c r="AP54" s="178"/>
      <c r="AQ54" s="178"/>
      <c r="AR54" s="178"/>
      <c r="AS54" s="623"/>
      <c r="AT54" s="623"/>
      <c r="AU54" s="640"/>
      <c r="AV54" s="623"/>
      <c r="AW54" s="640"/>
      <c r="AX54" s="623"/>
      <c r="AY54" s="623"/>
      <c r="AZ54" s="623"/>
      <c r="BA54" s="623"/>
      <c r="BB54" s="638"/>
      <c r="BC54" s="515"/>
      <c r="BE54" s="130"/>
      <c r="BF54" s="130"/>
      <c r="BG54" s="130"/>
      <c r="BH54" s="130"/>
      <c r="BI54" s="50">
        <v>11</v>
      </c>
    </row>
    <row r="55" ht="11.5" customHeight="1">
      <c r="A55" s="480" t="s">
        <v>240</v>
      </c>
      <c r="B55" s="480"/>
      <c r="C55" s="480"/>
      <c r="D55" s="480"/>
      <c r="E55" s="492"/>
      <c r="F55" s="492"/>
      <c r="G55" s="492"/>
      <c r="H55" s="492"/>
      <c r="I55" s="504"/>
      <c r="J55" s="504"/>
      <c r="K55" s="499"/>
      <c r="L55" s="482"/>
      <c r="P55" s="133"/>
      <c r="Q55" s="133"/>
      <c r="R55" s="505"/>
      <c r="S55" s="636"/>
      <c r="T55" s="700"/>
      <c r="U55" s="487"/>
      <c r="V55" s="623"/>
      <c r="W55" s="640"/>
      <c r="X55" s="623"/>
      <c r="Y55" s="640"/>
      <c r="Z55" s="623"/>
      <c r="AA55" s="623"/>
      <c r="AB55" s="623"/>
      <c r="AC55" s="623"/>
      <c r="AD55" s="321"/>
      <c r="AE55" s="634"/>
      <c r="AF55" s="346"/>
      <c r="AG55" s="691"/>
      <c r="AH55" s="225"/>
      <c r="AI55" s="642"/>
      <c r="AJ55" s="173"/>
      <c r="AK55" s="442" t="s">
        <v>498</v>
      </c>
      <c r="AL55" s="623"/>
      <c r="AM55" s="623"/>
      <c r="AN55" s="623"/>
      <c r="AO55" s="623"/>
      <c r="AP55" s="623"/>
      <c r="AQ55" s="623"/>
      <c r="AR55" s="623"/>
      <c r="AS55" s="623"/>
      <c r="AT55" s="623"/>
      <c r="AU55" s="640"/>
      <c r="AV55" s="623"/>
      <c r="AW55" s="640"/>
      <c r="AX55" s="623"/>
      <c r="AY55" s="623"/>
      <c r="AZ55" s="623"/>
      <c r="BA55" s="623"/>
      <c r="BB55" s="638"/>
      <c r="BC55" s="515"/>
      <c r="BE55" s="130"/>
      <c r="BF55" s="130"/>
      <c r="BG55" s="130"/>
      <c r="BH55" s="130"/>
      <c r="BI55" s="50">
        <v>11</v>
      </c>
    </row>
    <row r="56" ht="11.5" customHeight="1">
      <c r="A56" s="480" t="s">
        <v>240</v>
      </c>
      <c r="B56" s="480" t="s">
        <v>241</v>
      </c>
      <c r="C56" s="480" t="s">
        <v>242</v>
      </c>
      <c r="D56" s="480" t="s">
        <v>509</v>
      </c>
      <c r="E56" s="492"/>
      <c r="F56" s="492"/>
      <c r="G56" s="492"/>
      <c r="H56" s="492"/>
      <c r="I56" s="504"/>
      <c r="J56" s="504"/>
      <c r="K56" s="499"/>
      <c r="L56" s="482"/>
      <c r="P56" s="133"/>
      <c r="Q56" s="133"/>
      <c r="R56" s="505"/>
      <c r="S56" s="609"/>
      <c r="T56" s="703"/>
      <c r="U56" s="487"/>
      <c r="V56" s="623"/>
      <c r="W56" s="624" t="str">
        <f>Z52&amp;"-"&amp;AB52</f>
        <v>-</v>
      </c>
      <c r="X56" s="623"/>
      <c r="Y56" s="624" t="str">
        <f>AB52&amp;"-"&amp;AD52</f>
        <v>-да</v>
      </c>
      <c r="Z56" s="623"/>
      <c r="AA56" s="623"/>
      <c r="AB56" s="623"/>
      <c r="AC56" s="623"/>
      <c r="AD56" s="221"/>
      <c r="AE56" s="645"/>
      <c r="AF56" s="646"/>
      <c r="AG56" s="178" t="s">
        <v>499</v>
      </c>
      <c r="AH56" s="623"/>
      <c r="AI56" s="623"/>
      <c r="AJ56" s="623"/>
      <c r="AK56" s="623"/>
      <c r="AL56" s="623"/>
      <c r="AM56" s="623"/>
      <c r="AN56" s="623"/>
      <c r="AO56" s="623"/>
      <c r="AP56" s="623"/>
      <c r="AQ56" s="623"/>
      <c r="AR56" s="623"/>
      <c r="AS56" s="623"/>
      <c r="AT56" s="623"/>
      <c r="AU56" s="624" t="str">
        <f>AX52&amp;"-"&amp;AZ52</f>
        <v>-</v>
      </c>
      <c r="AV56" s="623"/>
      <c r="AW56" s="624" t="str">
        <f>AZ52&amp;"-"&amp;BB52</f>
        <v>-</v>
      </c>
      <c r="AX56" s="623"/>
      <c r="AY56" s="623"/>
      <c r="AZ56" s="623"/>
      <c r="BA56" s="623"/>
      <c r="BB56" s="644" t="str">
        <f>BE52&amp;"-"&amp;BG52</f>
        <v>-</v>
      </c>
      <c r="BC56" s="515"/>
      <c r="BE56" s="130"/>
      <c r="BF56" s="130" t="str">
        <f t="shared" si="34"/>
        <v/>
      </c>
      <c r="BG56" s="130"/>
      <c r="BH56" s="130"/>
      <c r="BI56" s="50">
        <v>11</v>
      </c>
    </row>
    <row r="57" ht="11.5" customHeight="1">
      <c r="A57" s="480" t="s">
        <v>240</v>
      </c>
      <c r="B57" s="480" t="s">
        <v>241</v>
      </c>
      <c r="C57" s="480" t="s">
        <v>242</v>
      </c>
      <c r="D57" s="480" t="s">
        <v>509</v>
      </c>
      <c r="E57" s="492"/>
      <c r="F57" s="492"/>
      <c r="G57" s="492"/>
      <c r="H57" s="492"/>
      <c r="I57" s="504"/>
      <c r="J57" s="499"/>
      <c r="K57" s="480"/>
      <c r="L57" s="482"/>
      <c r="P57" s="133"/>
      <c r="Q57" s="133"/>
      <c r="R57" s="500"/>
      <c r="S57" s="516"/>
      <c r="T57" s="520" t="s">
        <v>462</v>
      </c>
      <c r="U57" s="215"/>
      <c r="V57" s="215"/>
      <c r="W57" s="215"/>
      <c r="X57" s="215"/>
      <c r="Y57" s="215"/>
      <c r="Z57" s="215"/>
      <c r="AA57" s="215"/>
      <c r="AB57" s="215"/>
      <c r="AC57" s="518"/>
      <c r="AD57" s="675"/>
      <c r="AE57" s="215"/>
      <c r="AF57" s="215"/>
      <c r="AG57" s="215"/>
      <c r="AH57" s="215"/>
      <c r="AI57" s="215"/>
      <c r="AJ57" s="215"/>
      <c r="AK57" s="215"/>
      <c r="AL57" s="215"/>
      <c r="AM57" s="215"/>
      <c r="AN57" s="215"/>
      <c r="AO57" s="215"/>
      <c r="AP57" s="215"/>
      <c r="AQ57" s="215"/>
      <c r="AR57" s="215"/>
      <c r="AS57" s="215"/>
      <c r="AT57" s="215"/>
      <c r="AU57" s="215"/>
      <c r="AV57" s="215"/>
      <c r="AW57" s="215"/>
      <c r="AX57" s="215"/>
      <c r="AY57" s="215"/>
      <c r="AZ57" s="215"/>
      <c r="BA57" s="215"/>
      <c r="BB57" s="518"/>
      <c r="BC57" s="519"/>
      <c r="BE57" s="130"/>
      <c r="BF57" s="130" t="str">
        <f t="shared" si="34"/>
        <v xml:space="preserve">Добавить строку</v>
      </c>
      <c r="BG57" s="130"/>
      <c r="BH57" s="130"/>
      <c r="BI57" s="50">
        <v>11</v>
      </c>
    </row>
    <row r="58" s="57" customFormat="1" ht="0" customHeight="1">
      <c r="A58" s="134" t="s">
        <v>240</v>
      </c>
      <c r="B58" s="134" t="s">
        <v>241</v>
      </c>
      <c r="C58" s="134" t="s">
        <v>242</v>
      </c>
      <c r="D58" s="134" t="s">
        <v>509</v>
      </c>
      <c r="E58" s="492"/>
      <c r="F58" s="492"/>
      <c r="G58" s="492"/>
      <c r="H58" s="492"/>
      <c r="I58" s="499"/>
      <c r="J58" s="134"/>
      <c r="K58" s="134"/>
      <c r="L58" s="213"/>
      <c r="M58" s="597"/>
      <c r="N58" s="597"/>
      <c r="O58" s="597"/>
      <c r="P58" s="133"/>
      <c r="Q58" s="133"/>
      <c r="R58" s="500"/>
      <c r="S58" s="593"/>
      <c r="T58" s="594"/>
      <c r="U58" s="595"/>
      <c r="V58" s="595"/>
      <c r="W58" s="595"/>
      <c r="X58" s="595"/>
      <c r="Y58" s="595"/>
      <c r="Z58" s="595"/>
      <c r="AA58" s="595"/>
      <c r="AB58" s="595"/>
      <c r="AC58" s="595"/>
      <c r="AD58" s="595"/>
      <c r="AE58" s="595"/>
      <c r="AF58" s="595"/>
      <c r="AG58" s="595"/>
      <c r="AH58" s="595"/>
      <c r="AI58" s="595"/>
      <c r="AJ58" s="595"/>
      <c r="AK58" s="595"/>
      <c r="AL58" s="595"/>
      <c r="AM58" s="595"/>
      <c r="AN58" s="595"/>
      <c r="AO58" s="595"/>
      <c r="AP58" s="595"/>
      <c r="AQ58" s="595"/>
      <c r="AR58" s="595"/>
      <c r="AS58" s="595"/>
      <c r="AT58" s="595"/>
      <c r="AU58" s="595"/>
      <c r="AV58" s="595"/>
      <c r="AW58" s="595"/>
      <c r="AX58" s="595"/>
      <c r="AY58" s="595"/>
      <c r="AZ58" s="595"/>
      <c r="BA58" s="595"/>
      <c r="BB58" s="595"/>
      <c r="BC58" s="596"/>
      <c r="BE58" s="130"/>
      <c r="BF58" s="130" t="str">
        <f t="shared" si="34"/>
        <v/>
      </c>
      <c r="BG58" s="130"/>
      <c r="BH58" s="130"/>
      <c r="BI58" s="57">
        <v>0</v>
      </c>
    </row>
    <row r="59" s="57" customFormat="1" ht="0" customHeight="1">
      <c r="A59" s="134" t="s">
        <v>240</v>
      </c>
      <c r="B59" s="134" t="s">
        <v>241</v>
      </c>
      <c r="C59" s="134" t="s">
        <v>242</v>
      </c>
      <c r="D59" s="134" t="s">
        <v>509</v>
      </c>
      <c r="E59" s="492"/>
      <c r="F59" s="492"/>
      <c r="G59" s="492"/>
      <c r="H59" s="481"/>
      <c r="I59" s="134"/>
      <c r="J59" s="134"/>
      <c r="K59" s="134"/>
      <c r="L59" s="213"/>
      <c r="M59" s="465"/>
      <c r="N59" s="465"/>
      <c r="O59" s="57"/>
      <c r="P59" s="168"/>
      <c r="Q59" s="525"/>
      <c r="R59" s="647"/>
      <c r="S59" s="593"/>
      <c r="T59" s="594"/>
      <c r="U59" s="595"/>
      <c r="V59" s="595"/>
      <c r="W59" s="595"/>
      <c r="X59" s="595"/>
      <c r="Y59" s="595"/>
      <c r="Z59" s="595"/>
      <c r="AA59" s="595"/>
      <c r="AB59" s="595"/>
      <c r="AC59" s="595"/>
      <c r="AD59" s="595"/>
      <c r="AE59" s="595"/>
      <c r="AF59" s="595"/>
      <c r="AG59" s="595"/>
      <c r="AH59" s="595"/>
      <c r="AI59" s="595"/>
      <c r="AJ59" s="595"/>
      <c r="AK59" s="595"/>
      <c r="AL59" s="595"/>
      <c r="AM59" s="595"/>
      <c r="AN59" s="595"/>
      <c r="AO59" s="595"/>
      <c r="AP59" s="595"/>
      <c r="AQ59" s="595"/>
      <c r="AR59" s="595"/>
      <c r="AS59" s="595"/>
      <c r="AT59" s="595"/>
      <c r="AU59" s="595"/>
      <c r="AV59" s="595"/>
      <c r="AW59" s="595"/>
      <c r="AX59" s="595"/>
      <c r="AY59" s="595"/>
      <c r="AZ59" s="595"/>
      <c r="BA59" s="595"/>
      <c r="BB59" s="595"/>
      <c r="BC59" s="596"/>
      <c r="BE59" s="130"/>
      <c r="BF59" s="130" t="str">
        <f t="shared" si="34"/>
        <v/>
      </c>
      <c r="BG59" s="130"/>
      <c r="BH59" s="130"/>
      <c r="BI59" s="57">
        <v>0</v>
      </c>
    </row>
    <row r="60" s="57" customFormat="1" ht="0" customHeight="1">
      <c r="A60" s="134" t="s">
        <v>240</v>
      </c>
      <c r="B60" s="134" t="s">
        <v>241</v>
      </c>
      <c r="C60" s="134" t="s">
        <v>242</v>
      </c>
      <c r="D60" s="134"/>
      <c r="E60" s="492"/>
      <c r="F60" s="492"/>
      <c r="G60" s="481"/>
      <c r="H60" s="134"/>
      <c r="I60" s="134"/>
      <c r="J60" s="134"/>
      <c r="K60" s="134"/>
      <c r="L60" s="213"/>
      <c r="M60" s="465"/>
      <c r="N60" s="465"/>
      <c r="P60" s="168"/>
      <c r="Q60" s="525"/>
      <c r="R60" s="168"/>
      <c r="S60" s="530"/>
      <c r="T60" s="533"/>
      <c r="U60" s="532"/>
      <c r="V60" s="532"/>
      <c r="W60" s="532"/>
      <c r="X60" s="532"/>
      <c r="Y60" s="532"/>
      <c r="Z60" s="532"/>
      <c r="AA60" s="532"/>
      <c r="AB60" s="532"/>
      <c r="AC60" s="532"/>
      <c r="AD60" s="532"/>
      <c r="AE60" s="532"/>
      <c r="AF60" s="532"/>
      <c r="AG60" s="532"/>
      <c r="AH60" s="532"/>
      <c r="AI60" s="532"/>
      <c r="AJ60" s="532"/>
      <c r="AK60" s="532"/>
      <c r="AL60" s="532"/>
      <c r="AM60" s="532"/>
      <c r="AN60" s="532"/>
      <c r="AO60" s="532"/>
      <c r="AP60" s="532"/>
      <c r="AQ60" s="532"/>
      <c r="AR60" s="532"/>
      <c r="AS60" s="532"/>
      <c r="AT60" s="532"/>
      <c r="AU60" s="532"/>
      <c r="AV60" s="532"/>
      <c r="AW60" s="532"/>
      <c r="AX60" s="532"/>
      <c r="AY60" s="532"/>
      <c r="AZ60" s="532"/>
      <c r="BA60" s="532"/>
      <c r="BB60" s="532"/>
      <c r="BC60" s="532"/>
      <c r="BE60" s="130"/>
      <c r="BF60" s="130" t="str">
        <f t="shared" si="34"/>
        <v/>
      </c>
      <c r="BG60" s="130"/>
      <c r="BH60" s="130"/>
      <c r="BI60" s="57">
        <v>0</v>
      </c>
    </row>
    <row r="61" s="57" customFormat="1" ht="0" customHeight="1">
      <c r="A61" s="134" t="s">
        <v>240</v>
      </c>
      <c r="B61" s="134" t="s">
        <v>241</v>
      </c>
      <c r="C61" s="134"/>
      <c r="D61" s="134"/>
      <c r="E61" s="492"/>
      <c r="F61" s="481"/>
      <c r="G61" s="134"/>
      <c r="H61" s="134"/>
      <c r="I61" s="134"/>
      <c r="J61" s="134"/>
      <c r="K61" s="134"/>
      <c r="L61" s="213"/>
      <c r="M61" s="529"/>
      <c r="N61" s="529"/>
      <c r="P61" s="168"/>
      <c r="Q61" s="525"/>
      <c r="R61" s="168"/>
      <c r="S61" s="530"/>
      <c r="T61" s="533" t="s">
        <v>409</v>
      </c>
      <c r="U61" s="532"/>
      <c r="V61" s="532"/>
      <c r="W61" s="532"/>
      <c r="X61" s="532"/>
      <c r="Y61" s="532"/>
      <c r="Z61" s="532"/>
      <c r="AA61" s="532"/>
      <c r="AB61" s="532"/>
      <c r="AC61" s="532"/>
      <c r="AD61" s="532"/>
      <c r="AE61" s="532"/>
      <c r="AF61" s="532"/>
      <c r="AG61" s="532"/>
      <c r="AH61" s="532"/>
      <c r="AI61" s="532"/>
      <c r="AJ61" s="532"/>
      <c r="AK61" s="532"/>
      <c r="AL61" s="532"/>
      <c r="AM61" s="532"/>
      <c r="AN61" s="532"/>
      <c r="AO61" s="532"/>
      <c r="AP61" s="532"/>
      <c r="AQ61" s="532"/>
      <c r="AR61" s="532"/>
      <c r="AS61" s="532"/>
      <c r="AT61" s="532"/>
      <c r="AU61" s="532"/>
      <c r="AV61" s="532"/>
      <c r="AW61" s="532"/>
      <c r="AX61" s="532"/>
      <c r="AY61" s="532"/>
      <c r="AZ61" s="532"/>
      <c r="BA61" s="532"/>
      <c r="BB61" s="532"/>
      <c r="BC61" s="532"/>
      <c r="BE61" s="130"/>
      <c r="BF61" s="130" t="str">
        <f t="shared" si="34"/>
        <v xml:space="preserve">Добавить централизованную систему для дифференциации</v>
      </c>
      <c r="BG61" s="130"/>
      <c r="BH61" s="130"/>
      <c r="BI61" s="57">
        <v>0</v>
      </c>
    </row>
    <row r="62" s="57" customFormat="1" ht="0" customHeight="1">
      <c r="A62" s="134" t="s">
        <v>240</v>
      </c>
      <c r="B62" s="134"/>
      <c r="C62" s="134"/>
      <c r="D62" s="134"/>
      <c r="E62" s="481"/>
      <c r="F62" s="134"/>
      <c r="G62" s="134"/>
      <c r="H62" s="134"/>
      <c r="I62" s="134"/>
      <c r="J62" s="134"/>
      <c r="K62" s="134"/>
      <c r="L62" s="213"/>
      <c r="M62" s="529"/>
      <c r="N62" s="529"/>
      <c r="O62" s="57"/>
      <c r="P62" s="168"/>
      <c r="Q62" s="525"/>
      <c r="R62" s="168"/>
      <c r="S62" s="530"/>
      <c r="T62" s="533" t="s">
        <v>410</v>
      </c>
      <c r="U62" s="532"/>
      <c r="V62" s="532"/>
      <c r="W62" s="532"/>
      <c r="X62" s="532"/>
      <c r="Y62" s="532"/>
      <c r="Z62" s="532"/>
      <c r="AA62" s="532"/>
      <c r="AB62" s="532"/>
      <c r="AC62" s="532"/>
      <c r="AD62" s="532"/>
      <c r="AE62" s="532"/>
      <c r="AF62" s="532"/>
      <c r="AG62" s="532"/>
      <c r="AH62" s="532"/>
      <c r="AI62" s="532"/>
      <c r="AJ62" s="532"/>
      <c r="AK62" s="532"/>
      <c r="AL62" s="532"/>
      <c r="AM62" s="532"/>
      <c r="AN62" s="532"/>
      <c r="AO62" s="532"/>
      <c r="AP62" s="532"/>
      <c r="AQ62" s="532"/>
      <c r="AR62" s="532"/>
      <c r="AS62" s="532"/>
      <c r="AT62" s="532"/>
      <c r="AU62" s="532"/>
      <c r="AV62" s="532"/>
      <c r="AW62" s="532"/>
      <c r="AX62" s="532"/>
      <c r="AY62" s="532"/>
      <c r="AZ62" s="532"/>
      <c r="BA62" s="532"/>
      <c r="BB62" s="532"/>
      <c r="BC62" s="532"/>
      <c r="BE62" s="130"/>
      <c r="BF62" s="130" t="str">
        <f t="shared" si="34"/>
        <v xml:space="preserve">Добавить территорию для дифференциации</v>
      </c>
      <c r="BG62" s="130"/>
      <c r="BH62" s="130"/>
      <c r="BI62" s="57">
        <v>0</v>
      </c>
    </row>
    <row r="63" s="57" customFormat="1" ht="0" customHeight="1">
      <c r="A63" s="134"/>
      <c r="B63" s="134"/>
      <c r="C63" s="134"/>
      <c r="D63" s="134"/>
      <c r="E63" s="134"/>
      <c r="F63" s="134"/>
      <c r="G63" s="134"/>
      <c r="H63" s="134"/>
      <c r="I63" s="134"/>
      <c r="J63" s="134"/>
      <c r="K63" s="134"/>
      <c r="L63" s="213"/>
      <c r="M63" s="529"/>
      <c r="N63" s="529"/>
      <c r="P63" s="168"/>
      <c r="Q63" s="525"/>
      <c r="R63" s="168"/>
      <c r="S63" s="530"/>
      <c r="T63" s="533" t="s">
        <v>442</v>
      </c>
      <c r="U63" s="532"/>
      <c r="V63" s="532"/>
      <c r="W63" s="532"/>
      <c r="X63" s="532"/>
      <c r="Y63" s="532"/>
      <c r="Z63" s="532"/>
      <c r="AA63" s="532"/>
      <c r="AB63" s="532"/>
      <c r="AC63" s="532"/>
      <c r="AD63" s="532"/>
      <c r="AE63" s="532"/>
      <c r="AF63" s="532"/>
      <c r="AG63" s="532"/>
      <c r="AH63" s="532"/>
      <c r="AI63" s="532"/>
      <c r="AJ63" s="532"/>
      <c r="AK63" s="532"/>
      <c r="AL63" s="532"/>
      <c r="AM63" s="532"/>
      <c r="AN63" s="532"/>
      <c r="AO63" s="532"/>
      <c r="AP63" s="532"/>
      <c r="AQ63" s="532"/>
      <c r="AR63" s="532"/>
      <c r="AS63" s="532"/>
      <c r="AT63" s="532"/>
      <c r="AU63" s="532"/>
      <c r="AV63" s="532"/>
      <c r="AW63" s="532"/>
      <c r="AX63" s="532"/>
      <c r="AY63" s="532"/>
      <c r="AZ63" s="532"/>
      <c r="BA63" s="532"/>
      <c r="BB63" s="532"/>
      <c r="BC63" s="532"/>
      <c r="BE63" s="130"/>
      <c r="BF63" s="130" t="str">
        <f t="shared" si="34"/>
        <v xml:space="preserve">Добавить наименование тарифа</v>
      </c>
      <c r="BG63" s="130"/>
      <c r="BH63" s="130"/>
      <c r="BI63" s="57">
        <v>0</v>
      </c>
    </row>
    <row r="64" ht="11.5" customHeight="1">
      <c r="M64" s="53"/>
      <c r="N64" s="53"/>
      <c r="O64" s="53"/>
      <c r="P64" s="53"/>
      <c r="Q64" s="53"/>
      <c r="R64" s="50"/>
      <c r="S64" s="50"/>
      <c r="BD64" s="50"/>
      <c r="BE64" s="50"/>
      <c r="BF64" s="50"/>
      <c r="BG64" s="50"/>
      <c r="BH64" s="50"/>
      <c r="BI64" s="50">
        <v>11</v>
      </c>
    </row>
    <row r="65" ht="19.949999999999999" customHeight="1">
      <c r="O65" s="53"/>
      <c r="S65" s="477"/>
      <c r="T65" s="575"/>
      <c r="U65" s="575"/>
      <c r="V65" s="575"/>
      <c r="W65" s="575"/>
      <c r="X65" s="575"/>
      <c r="Y65" s="575"/>
      <c r="Z65" s="575"/>
      <c r="AA65" s="575"/>
      <c r="AB65" s="575"/>
      <c r="AC65" s="575"/>
      <c r="AD65" s="575"/>
      <c r="AE65" s="575"/>
      <c r="AF65" s="575"/>
      <c r="AG65" s="575"/>
      <c r="AH65" s="575"/>
      <c r="AI65" s="575"/>
      <c r="AJ65" s="575"/>
      <c r="AK65" s="575"/>
      <c r="AL65" s="575"/>
      <c r="AM65" s="575"/>
      <c r="AN65" s="575"/>
      <c r="AO65" s="575"/>
      <c r="AP65" s="575"/>
      <c r="AQ65" s="575"/>
      <c r="AR65" s="575"/>
      <c r="AS65" s="575"/>
      <c r="AT65" s="575"/>
      <c r="AU65" s="575"/>
      <c r="AV65" s="575"/>
      <c r="AW65" s="575"/>
      <c r="AX65" s="575"/>
      <c r="AY65" s="575"/>
      <c r="AZ65" s="575"/>
      <c r="BA65" s="575"/>
      <c r="BB65" s="575"/>
      <c r="BC65" s="575"/>
      <c r="BI65" s="50">
        <v>19</v>
      </c>
    </row>
    <row r="66" ht="14.65" customHeight="1">
      <c r="O66" s="53"/>
      <c r="T66" s="575"/>
      <c r="U66" s="575"/>
      <c r="V66" s="575"/>
      <c r="W66" s="575"/>
      <c r="X66" s="575"/>
      <c r="Y66" s="575"/>
      <c r="Z66" s="575"/>
      <c r="AA66" s="575"/>
      <c r="AB66" s="575"/>
      <c r="AC66" s="575"/>
      <c r="AD66" s="575"/>
      <c r="AE66" s="575"/>
      <c r="AF66" s="575"/>
      <c r="AG66" s="575"/>
      <c r="AH66" s="575"/>
      <c r="AI66" s="575"/>
      <c r="AJ66" s="575"/>
      <c r="AK66" s="575"/>
      <c r="AL66" s="575"/>
      <c r="AM66" s="575"/>
      <c r="AN66" s="575"/>
      <c r="AO66" s="575"/>
      <c r="AP66" s="575"/>
      <c r="AQ66" s="575"/>
      <c r="AR66" s="575"/>
      <c r="AS66" s="575"/>
      <c r="AT66" s="575"/>
      <c r="AU66" s="575"/>
      <c r="AV66" s="575"/>
      <c r="AW66" s="575"/>
      <c r="AX66" s="575"/>
      <c r="AY66" s="575"/>
      <c r="AZ66" s="575"/>
      <c r="BA66" s="575"/>
      <c r="BB66" s="575"/>
      <c r="BC66" s="575"/>
      <c r="BI66" s="50">
        <v>14</v>
      </c>
    </row>
    <row r="67" ht="19.949999999999999" customHeight="1">
      <c r="O67" s="53"/>
      <c r="S67" s="477"/>
      <c r="T67" s="575"/>
      <c r="U67" s="575"/>
      <c r="V67" s="575"/>
      <c r="W67" s="575"/>
      <c r="X67" s="575"/>
      <c r="Y67" s="575"/>
      <c r="Z67" s="575"/>
      <c r="AA67" s="575"/>
      <c r="AB67" s="575"/>
      <c r="AC67" s="575"/>
      <c r="AD67" s="575"/>
      <c r="AE67" s="575"/>
      <c r="AF67" s="575"/>
      <c r="AG67" s="575"/>
      <c r="AH67" s="575"/>
      <c r="AI67" s="575"/>
      <c r="AJ67" s="575"/>
      <c r="AK67" s="575"/>
      <c r="AL67" s="575"/>
      <c r="AM67" s="575"/>
      <c r="AN67" s="575"/>
      <c r="AO67" s="575"/>
      <c r="AP67" s="575"/>
      <c r="AQ67" s="575"/>
      <c r="AR67" s="575"/>
      <c r="AS67" s="575"/>
      <c r="AT67" s="575"/>
      <c r="AU67" s="575"/>
      <c r="AV67" s="575"/>
      <c r="AW67" s="575"/>
      <c r="AX67" s="575"/>
      <c r="AY67" s="575"/>
      <c r="AZ67" s="575"/>
      <c r="BA67" s="575"/>
      <c r="BB67" s="575"/>
      <c r="BC67" s="575"/>
      <c r="BI67" s="50">
        <v>19</v>
      </c>
    </row>
    <row r="68" ht="14.65" customHeight="1">
      <c r="O68" s="53"/>
      <c r="BI68" s="50">
        <v>14</v>
      </c>
    </row>
    <row r="69" ht="14.25" hidden="1" customHeight="1">
      <c r="A69" s="53" t="s">
        <v>81</v>
      </c>
      <c r="B69" s="53">
        <v>0</v>
      </c>
      <c r="C69" s="53">
        <v>0</v>
      </c>
      <c r="D69" s="53">
        <v>0</v>
      </c>
      <c r="E69" s="53">
        <v>0</v>
      </c>
      <c r="F69" s="53">
        <v>0</v>
      </c>
      <c r="G69" s="53">
        <v>0</v>
      </c>
      <c r="H69" s="53">
        <v>0</v>
      </c>
      <c r="I69" s="53">
        <v>0</v>
      </c>
      <c r="J69" s="53">
        <v>0</v>
      </c>
      <c r="K69" s="53">
        <v>0</v>
      </c>
      <c r="L69" s="114">
        <v>0</v>
      </c>
      <c r="M69" s="61">
        <v>0</v>
      </c>
      <c r="N69" s="61">
        <v>0</v>
      </c>
      <c r="O69" s="61">
        <v>0</v>
      </c>
      <c r="P69" s="61">
        <v>0</v>
      </c>
      <c r="Q69" s="539">
        <v>0</v>
      </c>
      <c r="R69" s="479">
        <v>3</v>
      </c>
      <c r="S69" s="86">
        <v>12</v>
      </c>
      <c r="T69" s="50">
        <v>31</v>
      </c>
      <c r="U69" s="50">
        <v>0</v>
      </c>
      <c r="V69" s="50">
        <v>0</v>
      </c>
      <c r="W69" s="50">
        <v>0</v>
      </c>
      <c r="X69" s="50">
        <v>0</v>
      </c>
      <c r="Y69" s="50">
        <v>0</v>
      </c>
      <c r="Z69" s="50">
        <v>0</v>
      </c>
      <c r="AA69" s="50">
        <v>0</v>
      </c>
      <c r="AB69" s="50">
        <v>0</v>
      </c>
      <c r="AC69" s="50">
        <v>0</v>
      </c>
      <c r="AD69" s="50">
        <v>3</v>
      </c>
      <c r="AE69" s="50">
        <v>3</v>
      </c>
      <c r="AF69" s="50">
        <v>3</v>
      </c>
      <c r="AG69" s="50">
        <v>24</v>
      </c>
      <c r="AH69" s="50">
        <v>3</v>
      </c>
      <c r="AI69" s="50">
        <v>3</v>
      </c>
      <c r="AJ69" s="50">
        <v>3</v>
      </c>
      <c r="AK69" s="50">
        <v>24</v>
      </c>
      <c r="AL69" s="50">
        <v>3</v>
      </c>
      <c r="AM69" s="50">
        <v>3</v>
      </c>
      <c r="AN69" s="50">
        <v>3</v>
      </c>
      <c r="AO69" s="50">
        <v>18</v>
      </c>
      <c r="AP69" s="50">
        <v>3</v>
      </c>
      <c r="AQ69" s="50">
        <v>3</v>
      </c>
      <c r="AR69" s="50">
        <v>3</v>
      </c>
      <c r="AS69" s="50">
        <v>18</v>
      </c>
      <c r="AT69" s="50">
        <v>21</v>
      </c>
      <c r="AU69" s="50">
        <v>21</v>
      </c>
      <c r="AV69" s="50">
        <v>21</v>
      </c>
      <c r="AW69" s="50">
        <v>21</v>
      </c>
      <c r="AX69" s="50">
        <v>11</v>
      </c>
      <c r="AY69" s="50">
        <v>3</v>
      </c>
      <c r="AZ69" s="50">
        <v>11</v>
      </c>
      <c r="BA69" s="50">
        <v>0</v>
      </c>
      <c r="BB69" s="50">
        <v>4</v>
      </c>
      <c r="BC69" s="50">
        <v>115</v>
      </c>
      <c r="BD69" s="57">
        <v>10</v>
      </c>
      <c r="BE69" s="57">
        <v>10</v>
      </c>
      <c r="BF69" s="57">
        <v>10</v>
      </c>
      <c r="BG69" s="57">
        <v>10</v>
      </c>
      <c r="BH69" s="57">
        <v>10</v>
      </c>
      <c r="BI69" s="50">
        <v>23</v>
      </c>
    </row>
  </sheetData>
  <sheetProtection autoFilter="0" deleteColumns="1" deleteRows="1" formatCells="1" formatColumns="0" formatRows="0" insertColumns="1" insertHyperlinks="1" insertRows="1" objects="0" pivotTables="1" scenarios="0" selectLockedCells="0" selectUnlockedCells="0" sheet="1" sort="1"/>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D8:AD12"/>
    <mergeCell ref="AE8:AE11"/>
    <mergeCell ref="AF8:AF11"/>
    <mergeCell ref="AG8:AG11"/>
    <mergeCell ref="AH8:AH11"/>
    <mergeCell ref="AI8:AI10"/>
    <mergeCell ref="AJ8:AJ10"/>
    <mergeCell ref="AK8:AK10"/>
    <mergeCell ref="AL8:AL10"/>
    <mergeCell ref="AM8:AM9"/>
    <mergeCell ref="AN8:AN9"/>
    <mergeCell ref="AO8:AO9"/>
    <mergeCell ref="AP8:AP9"/>
    <mergeCell ref="BC8:BC13"/>
    <mergeCell ref="S28:AZ28"/>
    <mergeCell ref="S29:AZ29"/>
    <mergeCell ref="S31:T31"/>
    <mergeCell ref="V31:AB31"/>
    <mergeCell ref="AD31:AZ31"/>
    <mergeCell ref="S32:T32"/>
    <mergeCell ref="V32:AB32"/>
    <mergeCell ref="AD32:AZ32"/>
    <mergeCell ref="S33:T33"/>
    <mergeCell ref="V33:AB33"/>
    <mergeCell ref="AD33:AZ33"/>
    <mergeCell ref="S34:T34"/>
    <mergeCell ref="V34:AB34"/>
    <mergeCell ref="AD34:AZ34"/>
    <mergeCell ref="S36:T36"/>
    <mergeCell ref="V36:AB36"/>
    <mergeCell ref="AD36:AZ36"/>
    <mergeCell ref="S37:T37"/>
    <mergeCell ref="V37:AB37"/>
    <mergeCell ref="AD37:AZ37"/>
    <mergeCell ref="V39:AC39"/>
    <mergeCell ref="AD39:BA39"/>
    <mergeCell ref="S40:BB40"/>
    <mergeCell ref="BC40:BC44"/>
    <mergeCell ref="S41:S44"/>
    <mergeCell ref="T41:T44"/>
    <mergeCell ref="V41:AB41"/>
    <mergeCell ref="AC41:AC44"/>
    <mergeCell ref="AD41:AG44"/>
    <mergeCell ref="AH41:AK44"/>
    <mergeCell ref="AL41:AO44"/>
    <mergeCell ref="AP41:AS44"/>
    <mergeCell ref="AT41:AZ41"/>
    <mergeCell ref="BA41:BA44"/>
    <mergeCell ref="BB41:BB44"/>
    <mergeCell ref="V42:W43"/>
    <mergeCell ref="X42:Y43"/>
    <mergeCell ref="Z42:AB43"/>
    <mergeCell ref="AT42:AU43"/>
    <mergeCell ref="AV42:AW43"/>
    <mergeCell ref="AX42:AZ43"/>
    <mergeCell ref="AA44:AB44"/>
    <mergeCell ref="AY44:AZ44"/>
    <mergeCell ref="AA45:AB45"/>
    <mergeCell ref="AY45:AZ45"/>
    <mergeCell ref="E46:E62"/>
    <mergeCell ref="V46:AC46"/>
    <mergeCell ref="AD46:BB46"/>
    <mergeCell ref="F47:F61"/>
    <mergeCell ref="V47:AC47"/>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F52:AF55"/>
    <mergeCell ref="AG52:AG55"/>
    <mergeCell ref="AH52:AH55"/>
    <mergeCell ref="AI52:AI54"/>
    <mergeCell ref="AJ52:AJ54"/>
    <mergeCell ref="AK52:AK54"/>
    <mergeCell ref="AL52:AL54"/>
    <mergeCell ref="AM52:AM53"/>
    <mergeCell ref="AN52:AN53"/>
    <mergeCell ref="AO52:AO53"/>
    <mergeCell ref="AP52:AP53"/>
    <mergeCell ref="BC52:BC57"/>
    <mergeCell ref="T65:BC65"/>
    <mergeCell ref="T67:BC67"/>
  </mergeCells>
  <dataValidations count="4" disablePrompts="0">
    <dataValidation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type="none" allowBlank="1" errorStyle="stop" imeMode="noControl" operator="between" promptTitle="checkPeriodRange" showDropDown="0" showErrorMessage="0" showInputMessage="0"/>
    <dataValidation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S65591:BC65597 S983095:BC983101 S917559:BC917565 S852023:BC852029 S786487:BC786493 S720951:BC720957 S655415:BC655421 S589879:BC589885 S524343:BC524349 S458807:BC458813 S393271:BC393277 S327735:BC327741 S262199:BC262205 S196663:BC196669 S131127:BC131133"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disablePrompts="0">
        <x14:dataValidation xr:uid="{00F900EC-0074-4185-A4B3-002200A4008D}" type="list" allowBlank="1" error="Выберите значение из списка" errorStyle="stop" errorTitle="Ошибка" imeMode="noControl" operator="between" showDropDown="0" showErrorMessage="1" showInputMessage="1">
          <x14:formula1>
            <xm:f>kind_of_heat_transfer</xm:f>
          </x14:formula1>
          <xm:sqref>T65589 T131125 T196661 T262197 T327733 T393269 T458805 T524341 T589877 T655413 T720949 T786485 T852021 T917557 T983093</xm:sqref>
        </x14:dataValidation>
        <x14:dataValidation xr:uid="{00FA0004-00A2-44AC-8D29-00EA00A1004C}" type="list" allowBlank="1" error="Выберите значение из списка" errorStyle="stop" errorTitle="Ошибка" imeMode="noControl" operator="between" showDropDown="0" showErrorMessage="1" showInputMessage="1">
          <x14:formula1>
            <xm:f>kind_of_scheme_in</xm:f>
          </x14:formula1>
          <xm:sqref>AD917555:AS917555 AD983091:AS983091 AD65587:AS65587 AD131123:AS131123 AD196659:AS196659 AD262195:AS262195 AD327731:AS327731 AD393267:AS393267 AD458803:AS458803 AD524339:AS524339 AD589875:AS589875 AD655411:AS655411 AD720947:AS720947 AD786483:AS786483 AD852019:AS852019</xm:sqref>
        </x14:dataValidation>
        <x14:dataValidation xr:uid="{007800A6-007E-4782-8921-008700E70029}" type="textLength" allowBlank="1" error="Допускается ввод не более 900 символов!" errorStyle="stop" errorTitle="Ошибка" imeMode="noControl" operator="lessThanOrEqual" showDropDown="0" showErrorMessage="1" showInputMessage="1">
          <x14:formula1>
            <xm:f>900</xm:f>
          </x14:formula1>
          <xm:sqref>BC65583:BC65590 BC131119:BC131126 BC196655:BC196662 BC262191:BC262198 BC327727:BC327734 BC393263:BC393270 BC458799:BC458806 BC524335:BC524342 BC589871:BC589878 BC655407:BC655414 BC720943:BC720950 BC786479:BC786486 BC852015:BC852022 BC917551:BC917558 BC983087:BC983094 AS8 T8:T12 AS52 T52:T56</xm:sqref>
        </x14:dataValidation>
        <x14:dataValidation xr:uid="{00A2008C-00B5-4515-9779-00490049009F}"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AO52:AO53 AG8:AG11 AO8:AO9 AG52:AG55</xm:sqref>
        </x14:dataValidation>
        <x14:dataValidation xr:uid="{006F00D7-00D0-4723-812E-00E300AE0059}"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V983092:BB983092 V917556:BB917556 V852020:BB852020 V786484:BB786484 V720948:BB720948 V655412:BB655412 V589876:BB589876 V524340:BB524340 V458804:BB458804 V393268:BB393268 V327732:BB327732 V262196:BB262196 V196660:BB196660 V131124:BB131124 V65588:BB65588</xm:sqref>
        </x14:dataValidation>
      </x14:dataValidations>
    </ext>
  </extLst>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8" ySplit="40" topLeftCell="AC41"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4.140625"/>
    <col customWidth="1" hidden="1" min="10" max="10" style="53" width="9.8515625"/>
    <col customWidth="1" hidden="1" min="11" max="11" style="53" width="14.7109375"/>
    <col customWidth="1" hidden="1" min="12" max="12" style="114" width="19.140625"/>
    <col customWidth="1" hidden="1" min="13" max="14" style="61" width="12.28125"/>
    <col customWidth="1" hidden="1" min="15" max="15" style="61" width="23.421875"/>
    <col customWidth="1" min="16" max="16" style="60" width="3.00390625"/>
    <col customWidth="1" min="17" max="18" style="479" width="3.00390625"/>
    <col customWidth="1" min="19" max="19" style="86" width="12.00390625"/>
    <col customWidth="1" min="20" max="20" style="50" width="35.00390625"/>
    <col customWidth="1" min="21" max="21" style="50" width="0.140625"/>
    <col customWidth="1" hidden="1" min="22" max="24" style="50" width="24.7109375"/>
    <col customWidth="1" hidden="1" min="25" max="25" style="50" width="11.7109375"/>
    <col customWidth="1" hidden="1" min="26" max="26" style="50" width="3.7109375"/>
    <col customWidth="1" hidden="1" min="27" max="27" style="50" width="11.7109375"/>
    <col customWidth="1" hidden="1" min="28" max="28" style="50" width="8.57421875"/>
    <col customWidth="1" min="29" max="29" style="50" width="24.7109375"/>
    <col customWidth="1" min="30" max="31" style="50" width="24.00390625"/>
    <col customWidth="1" min="32" max="32" style="50" width="11.00390625"/>
    <col customWidth="1" min="33" max="33" style="50" width="3.7109375"/>
    <col customWidth="1" min="34" max="34" style="50" width="11.00390625"/>
    <col customWidth="1" hidden="1" min="35" max="35" style="50" width="8.57421875"/>
    <col customWidth="1" min="36" max="36" style="50" width="4.00390625"/>
    <col customWidth="1" min="37" max="37" style="50" width="115.00390625"/>
    <col customWidth="1" min="38" max="42" style="57" width="10.00390625"/>
    <col hidden="1" min="43" max="43" style="50" width="10.57421875"/>
  </cols>
  <sheetData>
    <row r="1" ht="22.5" hidden="1" customHeight="1">
      <c r="X1" s="50"/>
      <c r="Y1" s="50"/>
      <c r="AE1" s="50"/>
      <c r="AF1" s="50"/>
      <c r="AQ1" s="50" t="s">
        <v>14</v>
      </c>
    </row>
    <row r="2" ht="23.25" hidden="1" customHeight="1">
      <c r="A2" s="480"/>
      <c r="B2" s="480"/>
      <c r="C2" s="480"/>
      <c r="D2" s="480"/>
      <c r="E2" s="481">
        <v>1</v>
      </c>
      <c r="F2" s="480"/>
      <c r="G2" s="480"/>
      <c r="H2" s="480"/>
      <c r="I2" s="480"/>
      <c r="J2" s="480"/>
      <c r="K2" s="480"/>
      <c r="L2" s="482"/>
      <c r="M2" s="483"/>
      <c r="N2" s="483"/>
      <c r="O2" s="483"/>
      <c r="P2" s="60"/>
      <c r="Q2" s="144"/>
      <c r="R2" s="484"/>
      <c r="S2" s="485" t="e">
        <f>INDEX(PT_DIFFERENTIATION_NUM_NTAR,MATCH(A2,PT_DIFFERENTIATION_NTAR_ID,0))</f>
        <v>#VALUE!</v>
      </c>
      <c r="T2" s="486" t="s">
        <v>119</v>
      </c>
      <c r="U2" s="487"/>
      <c r="V2" s="488"/>
      <c r="W2" s="489"/>
      <c r="X2" s="489"/>
      <c r="Y2" s="489"/>
      <c r="Z2" s="489"/>
      <c r="AA2" s="489"/>
      <c r="AB2" s="490"/>
      <c r="AC2" s="488" t="e">
        <f>INDEX(PT_DIFFERENTIATION_NTAR,MATCH(A2,PT_DIFFERENTIATION_NTAR_ID,0))</f>
        <v>#VALUE!</v>
      </c>
      <c r="AD2" s="489"/>
      <c r="AE2" s="489"/>
      <c r="AF2" s="489"/>
      <c r="AG2" s="489"/>
      <c r="AH2" s="489"/>
      <c r="AI2" s="489"/>
      <c r="AJ2" s="490"/>
      <c r="AK2" s="49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130"/>
      <c r="AN2" s="130" t="str">
        <f t="shared" ref="AN2:AN9" si="35">IF(T2="","",T2)</f>
        <v xml:space="preserve">Наименование тарифа</v>
      </c>
      <c r="AO2" s="130"/>
      <c r="AP2" s="130"/>
      <c r="AQ2" s="50">
        <v>0</v>
      </c>
    </row>
    <row r="3" ht="23.25" hidden="1" customHeight="1">
      <c r="A3" s="480"/>
      <c r="B3" s="480"/>
      <c r="C3" s="480"/>
      <c r="D3" s="480"/>
      <c r="E3" s="492"/>
      <c r="F3" s="481">
        <v>1</v>
      </c>
      <c r="G3" s="480"/>
      <c r="H3" s="480"/>
      <c r="I3" s="480"/>
      <c r="J3" s="480"/>
      <c r="K3" s="480"/>
      <c r="L3" s="482"/>
      <c r="M3" s="483"/>
      <c r="N3" s="483"/>
      <c r="O3" s="483"/>
      <c r="P3" s="51"/>
      <c r="Q3" s="493"/>
      <c r="R3" s="494"/>
      <c r="S3" s="485" t="e">
        <f>INDEX(PT_DIFFERENTIATION_NUM_TER,MATCH(B3,PT_DIFFERENTIATION_TER_ID,0))</f>
        <v>#VALUE!</v>
      </c>
      <c r="T3" s="495" t="s">
        <v>391</v>
      </c>
      <c r="U3" s="487"/>
      <c r="V3" s="488"/>
      <c r="W3" s="489"/>
      <c r="X3" s="489"/>
      <c r="Y3" s="489"/>
      <c r="Z3" s="489"/>
      <c r="AA3" s="489"/>
      <c r="AB3" s="490"/>
      <c r="AC3" s="488" t="e">
        <f>INDEX(PT_DIFFERENTIATION_TER,MATCH(B3,PT_DIFFERENTIATION_TER_ID,0))</f>
        <v>#VALUE!</v>
      </c>
      <c r="AD3" s="489"/>
      <c r="AE3" s="489"/>
      <c r="AF3" s="489"/>
      <c r="AG3" s="489"/>
      <c r="AH3" s="489"/>
      <c r="AI3" s="489"/>
      <c r="AJ3" s="490"/>
      <c r="AK3" s="491" t="s">
        <v>392</v>
      </c>
      <c r="AM3" s="130"/>
      <c r="AN3" s="130" t="str">
        <f t="shared" si="35"/>
        <v xml:space="preserve">Территория действия тарифа</v>
      </c>
      <c r="AO3" s="130"/>
      <c r="AP3" s="130"/>
      <c r="AQ3" s="50">
        <v>0</v>
      </c>
    </row>
    <row r="4" ht="23.25" hidden="1" customHeight="1">
      <c r="A4" s="480"/>
      <c r="B4" s="480"/>
      <c r="C4" s="480"/>
      <c r="D4" s="480"/>
      <c r="E4" s="492"/>
      <c r="F4" s="492"/>
      <c r="G4" s="481">
        <v>1</v>
      </c>
      <c r="H4" s="480"/>
      <c r="I4" s="480"/>
      <c r="J4" s="480"/>
      <c r="K4" s="480"/>
      <c r="L4" s="482"/>
      <c r="M4" s="483"/>
      <c r="N4" s="483"/>
      <c r="O4" s="483"/>
      <c r="P4" s="496"/>
      <c r="Q4" s="493"/>
      <c r="R4" s="494"/>
      <c r="S4" s="485" t="e">
        <f>INDEX(PT_DIFFERENTIATION_NUM_CS,MATCH(C4,PT_DIFFERENTIATION_CS_ID,0))</f>
        <v>#VALUE!</v>
      </c>
      <c r="T4" s="497" t="s">
        <v>510</v>
      </c>
      <c r="U4" s="487"/>
      <c r="V4" s="488"/>
      <c r="W4" s="489"/>
      <c r="X4" s="489"/>
      <c r="Y4" s="489"/>
      <c r="Z4" s="489"/>
      <c r="AA4" s="489"/>
      <c r="AB4" s="490"/>
      <c r="AC4" s="488" t="e">
        <f>INDEX(PT_DIFFERENTIATION_CS,MATCH(C4,PT_DIFFERENTIATION_CS_ID,0))</f>
        <v>#VALUE!</v>
      </c>
      <c r="AD4" s="489"/>
      <c r="AE4" s="489"/>
      <c r="AF4" s="489"/>
      <c r="AG4" s="489"/>
      <c r="AH4" s="489"/>
      <c r="AI4" s="489"/>
      <c r="AJ4" s="490"/>
      <c r="AK4" s="491" t="s">
        <v>511</v>
      </c>
      <c r="AM4" s="130"/>
      <c r="AN4" s="130" t="str">
        <f t="shared" si="35"/>
        <v xml:space="preserve">Наименование централизованной системы водоотведения</v>
      </c>
      <c r="AO4" s="130"/>
      <c r="AP4" s="130"/>
      <c r="AQ4" s="50">
        <v>0</v>
      </c>
    </row>
    <row r="5" ht="23.25" hidden="1" customHeight="1">
      <c r="A5" s="480"/>
      <c r="B5" s="480"/>
      <c r="C5" s="480"/>
      <c r="D5" s="480"/>
      <c r="E5" s="492"/>
      <c r="F5" s="492"/>
      <c r="G5" s="492"/>
      <c r="H5" s="492"/>
      <c r="I5" s="499" t="e">
        <f>S4&amp;".1"</f>
        <v>#VALUE!</v>
      </c>
      <c r="J5" s="480"/>
      <c r="K5" s="480"/>
      <c r="L5" s="482"/>
      <c r="P5" s="133">
        <v>1</v>
      </c>
      <c r="Q5" s="133"/>
      <c r="R5" s="500"/>
      <c r="S5" s="485" t="e">
        <f>$I5</f>
        <v>#VALUE!</v>
      </c>
      <c r="T5" s="501" t="s">
        <v>477</v>
      </c>
      <c r="U5" s="487"/>
      <c r="V5" s="677"/>
      <c r="W5" s="678"/>
      <c r="X5" s="678"/>
      <c r="Y5" s="678"/>
      <c r="Z5" s="678"/>
      <c r="AA5" s="678"/>
      <c r="AB5" s="679"/>
      <c r="AC5" s="680"/>
      <c r="AD5" s="681"/>
      <c r="AE5" s="681"/>
      <c r="AF5" s="681"/>
      <c r="AG5" s="681"/>
      <c r="AH5" s="681"/>
      <c r="AI5" s="681"/>
      <c r="AJ5" s="682"/>
      <c r="AK5" s="491" t="s">
        <v>478</v>
      </c>
      <c r="AM5" s="130"/>
      <c r="AN5" s="130" t="str">
        <f t="shared" si="35"/>
        <v xml:space="preserve">Наименование признака дифференциации</v>
      </c>
      <c r="AO5" s="130"/>
      <c r="AP5" s="130"/>
      <c r="AQ5" s="50">
        <v>0</v>
      </c>
    </row>
    <row r="6" ht="23.25" hidden="1" customHeight="1">
      <c r="A6" s="480"/>
      <c r="B6" s="480"/>
      <c r="C6" s="480"/>
      <c r="D6" s="480"/>
      <c r="E6" s="492"/>
      <c r="F6" s="492"/>
      <c r="G6" s="492"/>
      <c r="H6" s="492"/>
      <c r="I6" s="504"/>
      <c r="J6" s="499" t="e">
        <f>I5&amp;".1"</f>
        <v>#VALUE!</v>
      </c>
      <c r="K6" s="480"/>
      <c r="L6" s="482" t="s">
        <v>400</v>
      </c>
      <c r="P6" s="133"/>
      <c r="Q6" s="133">
        <v>1</v>
      </c>
      <c r="R6" s="505"/>
      <c r="S6" s="485" t="e">
        <f>$J6</f>
        <v>#VALUE!</v>
      </c>
      <c r="T6" s="506" t="s">
        <v>401</v>
      </c>
      <c r="U6" s="487"/>
      <c r="V6" s="432"/>
      <c r="W6" s="502"/>
      <c r="X6" s="502"/>
      <c r="Y6" s="502"/>
      <c r="Z6" s="502"/>
      <c r="AA6" s="502"/>
      <c r="AB6" s="503"/>
      <c r="AC6" s="432"/>
      <c r="AD6" s="502"/>
      <c r="AE6" s="502"/>
      <c r="AF6" s="502"/>
      <c r="AG6" s="502"/>
      <c r="AH6" s="502"/>
      <c r="AI6" s="502"/>
      <c r="AJ6" s="503"/>
      <c r="AK6" s="618" t="s">
        <v>479</v>
      </c>
      <c r="AM6" s="130"/>
      <c r="AN6" s="130" t="str">
        <f t="shared" si="35"/>
        <v xml:space="preserve">Группа потребителей</v>
      </c>
      <c r="AO6" s="130"/>
      <c r="AP6" s="130"/>
      <c r="AQ6" s="50">
        <v>0</v>
      </c>
    </row>
    <row r="7" ht="23.25" hidden="1" customHeight="1">
      <c r="A7" s="480"/>
      <c r="B7" s="480"/>
      <c r="C7" s="480"/>
      <c r="D7" s="480"/>
      <c r="E7" s="492"/>
      <c r="F7" s="492"/>
      <c r="G7" s="492"/>
      <c r="H7" s="492"/>
      <c r="I7" s="504"/>
      <c r="J7" s="504"/>
      <c r="K7" s="499" t="e">
        <f>J6&amp;".1"</f>
        <v>#VALUE!</v>
      </c>
      <c r="L7" s="482"/>
      <c r="P7" s="133"/>
      <c r="Q7" s="133"/>
      <c r="R7" s="505">
        <v>1</v>
      </c>
      <c r="S7" s="485" t="e">
        <f>$K7</f>
        <v>#VALUE!</v>
      </c>
      <c r="T7" s="683"/>
      <c r="U7" s="487"/>
      <c r="V7" s="508"/>
      <c r="W7" s="508"/>
      <c r="X7" s="510"/>
      <c r="Y7" s="511"/>
      <c r="Z7" s="225" t="s">
        <v>64</v>
      </c>
      <c r="AA7" s="511"/>
      <c r="AB7" s="225" t="s">
        <v>64</v>
      </c>
      <c r="AC7" s="508"/>
      <c r="AD7" s="508"/>
      <c r="AE7" s="510"/>
      <c r="AF7" s="511"/>
      <c r="AG7" s="225" t="s">
        <v>64</v>
      </c>
      <c r="AH7" s="571"/>
      <c r="AI7" s="225" t="s">
        <v>64</v>
      </c>
      <c r="AJ7" s="684"/>
      <c r="AK7" s="68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 t="e">
        <f>STRCHECKDATE(V8:AJ8)</f>
        <v>#NAME?</v>
      </c>
      <c r="AM7" s="130"/>
      <c r="AN7" s="130" t="str">
        <f t="shared" si="35"/>
        <v/>
      </c>
      <c r="AO7" s="130"/>
      <c r="AP7" s="130"/>
      <c r="AQ7" s="50">
        <v>0</v>
      </c>
    </row>
    <row r="8" ht="14.25" hidden="1" customHeight="1">
      <c r="A8" s="480"/>
      <c r="B8" s="480"/>
      <c r="C8" s="480"/>
      <c r="D8" s="480"/>
      <c r="E8" s="492"/>
      <c r="F8" s="492"/>
      <c r="G8" s="492"/>
      <c r="H8" s="492"/>
      <c r="I8" s="504"/>
      <c r="J8" s="504"/>
      <c r="K8" s="499"/>
      <c r="L8" s="482"/>
      <c r="P8" s="133"/>
      <c r="Q8" s="133"/>
      <c r="R8" s="505"/>
      <c r="S8" s="459"/>
      <c r="T8" s="487"/>
      <c r="U8" s="487"/>
      <c r="V8" s="509"/>
      <c r="W8" s="509"/>
      <c r="X8" s="513" t="str">
        <f>Y7&amp;"-"&amp;AA7</f>
        <v>-</v>
      </c>
      <c r="Y8" s="514"/>
      <c r="Z8" s="225"/>
      <c r="AA8" s="514"/>
      <c r="AB8" s="225"/>
      <c r="AC8" s="509"/>
      <c r="AD8" s="509"/>
      <c r="AE8" s="513" t="str">
        <f>AF7&amp;"-"&amp;AH7</f>
        <v>-</v>
      </c>
      <c r="AF8" s="514"/>
      <c r="AG8" s="225"/>
      <c r="AH8" s="573"/>
      <c r="AI8" s="225"/>
      <c r="AJ8" s="686"/>
      <c r="AK8" s="685"/>
      <c r="AM8" s="130"/>
      <c r="AN8" s="130" t="str">
        <f t="shared" si="35"/>
        <v/>
      </c>
      <c r="AO8" s="130"/>
      <c r="AP8" s="130"/>
      <c r="AQ8" s="50">
        <v>0</v>
      </c>
    </row>
    <row r="9" ht="21" hidden="1" customHeight="1">
      <c r="A9" s="480"/>
      <c r="B9" s="480"/>
      <c r="C9" s="480"/>
      <c r="D9" s="480"/>
      <c r="E9" s="492"/>
      <c r="F9" s="492"/>
      <c r="G9" s="492"/>
      <c r="H9" s="492"/>
      <c r="I9" s="504"/>
      <c r="J9" s="499"/>
      <c r="K9" s="480"/>
      <c r="L9" s="482"/>
      <c r="P9" s="133"/>
      <c r="Q9" s="133"/>
      <c r="R9" s="500"/>
      <c r="S9" s="516"/>
      <c r="T9" s="520" t="s">
        <v>480</v>
      </c>
      <c r="U9" s="215"/>
      <c r="V9" s="215"/>
      <c r="W9" s="215"/>
      <c r="X9" s="215"/>
      <c r="Y9" s="215"/>
      <c r="Z9" s="215"/>
      <c r="AA9" s="215"/>
      <c r="AB9" s="215"/>
      <c r="AC9" s="215"/>
      <c r="AD9" s="215"/>
      <c r="AE9" s="215"/>
      <c r="AF9" s="215"/>
      <c r="AG9" s="215"/>
      <c r="AH9" s="215"/>
      <c r="AI9" s="215"/>
      <c r="AJ9" s="215"/>
      <c r="AK9" s="491" t="s">
        <v>481</v>
      </c>
      <c r="AM9" s="130"/>
      <c r="AN9" s="130" t="str">
        <f t="shared" si="35"/>
        <v xml:space="preserve">Добавить значение признака дифференциации</v>
      </c>
      <c r="AO9" s="130"/>
      <c r="AP9" s="130"/>
      <c r="AQ9" s="50">
        <v>0</v>
      </c>
    </row>
    <row r="10" ht="21" hidden="1" customHeight="1">
      <c r="A10" s="480"/>
      <c r="B10" s="480"/>
      <c r="C10" s="480"/>
      <c r="D10" s="480"/>
      <c r="E10" s="492"/>
      <c r="F10" s="492"/>
      <c r="G10" s="492"/>
      <c r="H10" s="492"/>
      <c r="I10" s="499"/>
      <c r="J10" s="480"/>
      <c r="K10" s="480"/>
      <c r="L10" s="482"/>
      <c r="P10" s="133"/>
      <c r="Q10" s="133"/>
      <c r="R10" s="500"/>
      <c r="S10" s="516"/>
      <c r="T10" s="524" t="s">
        <v>406</v>
      </c>
      <c r="U10" s="215"/>
      <c r="V10" s="215"/>
      <c r="W10" s="215"/>
      <c r="X10" s="215"/>
      <c r="Y10" s="215"/>
      <c r="Z10" s="215"/>
      <c r="AA10" s="215"/>
      <c r="AB10" s="521"/>
      <c r="AC10" s="215"/>
      <c r="AD10" s="215"/>
      <c r="AE10" s="215"/>
      <c r="AF10" s="215"/>
      <c r="AG10" s="215"/>
      <c r="AH10" s="215"/>
      <c r="AI10" s="521"/>
      <c r="AJ10" s="215"/>
      <c r="AK10" s="687"/>
      <c r="AM10" s="130"/>
      <c r="AN10" s="130" t="str">
        <f t="shared" ref="AN10:AN53" si="36">IF(T10="","",T10)</f>
        <v xml:space="preserve">Добавить группу потребителей</v>
      </c>
      <c r="AO10" s="130"/>
      <c r="AP10" s="130"/>
      <c r="AQ10" s="50">
        <v>0</v>
      </c>
    </row>
    <row r="11" ht="21" hidden="1" customHeight="1">
      <c r="A11" s="480"/>
      <c r="B11" s="480"/>
      <c r="C11" s="480"/>
      <c r="D11" s="480"/>
      <c r="E11" s="492"/>
      <c r="F11" s="492"/>
      <c r="G11" s="492"/>
      <c r="H11" s="481"/>
      <c r="I11" s="480"/>
      <c r="J11" s="480"/>
      <c r="K11" s="480"/>
      <c r="L11" s="482"/>
      <c r="M11" s="483"/>
      <c r="N11" s="483"/>
      <c r="O11" s="53"/>
      <c r="P11" s="144"/>
      <c r="Q11" s="523"/>
      <c r="R11" s="484"/>
      <c r="S11" s="516"/>
      <c r="T11" s="688" t="s">
        <v>482</v>
      </c>
      <c r="U11" s="215"/>
      <c r="V11" s="215"/>
      <c r="W11" s="215"/>
      <c r="X11" s="215"/>
      <c r="Y11" s="215"/>
      <c r="Z11" s="215"/>
      <c r="AA11" s="215"/>
      <c r="AB11" s="521"/>
      <c r="AC11" s="215"/>
      <c r="AD11" s="215"/>
      <c r="AE11" s="215"/>
      <c r="AF11" s="215"/>
      <c r="AG11" s="215"/>
      <c r="AH11" s="215"/>
      <c r="AI11" s="521"/>
      <c r="AJ11" s="215"/>
      <c r="AK11" s="522"/>
      <c r="AM11" s="130"/>
      <c r="AN11" s="130" t="str">
        <f t="shared" si="36"/>
        <v xml:space="preserve">Добавить наименование признака дифференциации</v>
      </c>
      <c r="AO11" s="130"/>
      <c r="AP11" s="130"/>
      <c r="AQ11" s="50">
        <v>0</v>
      </c>
    </row>
    <row r="12" s="57" customFormat="1" ht="14.25" hidden="1" customHeight="1">
      <c r="A12" s="134"/>
      <c r="B12" s="134"/>
      <c r="C12" s="134"/>
      <c r="D12" s="134"/>
      <c r="E12" s="492"/>
      <c r="F12" s="481"/>
      <c r="G12" s="134"/>
      <c r="H12" s="134"/>
      <c r="I12" s="134"/>
      <c r="J12" s="134"/>
      <c r="K12" s="134"/>
      <c r="L12" s="213"/>
      <c r="M12" s="529"/>
      <c r="N12" s="529"/>
      <c r="P12" s="168"/>
      <c r="Q12" s="525"/>
      <c r="R12" s="168"/>
      <c r="S12" s="530"/>
      <c r="T12" s="533" t="s">
        <v>409</v>
      </c>
      <c r="U12" s="532"/>
      <c r="V12" s="532"/>
      <c r="W12" s="532"/>
      <c r="X12" s="532"/>
      <c r="Y12" s="532"/>
      <c r="Z12" s="532"/>
      <c r="AA12" s="532"/>
      <c r="AB12" s="532"/>
      <c r="AC12" s="532"/>
      <c r="AD12" s="532"/>
      <c r="AE12" s="532"/>
      <c r="AF12" s="532"/>
      <c r="AG12" s="532"/>
      <c r="AH12" s="532"/>
      <c r="AI12" s="532"/>
      <c r="AJ12" s="532"/>
      <c r="AK12" s="532"/>
      <c r="AM12" s="130"/>
      <c r="AN12" s="130" t="str">
        <f t="shared" si="36"/>
        <v xml:space="preserve">Добавить централизованную систему для дифференциации</v>
      </c>
      <c r="AO12" s="130"/>
      <c r="AP12" s="130"/>
      <c r="AQ12" s="57">
        <v>0</v>
      </c>
    </row>
    <row r="13" s="57" customFormat="1" ht="14.25" hidden="1" customHeight="1">
      <c r="A13" s="134"/>
      <c r="B13" s="134"/>
      <c r="C13" s="134"/>
      <c r="D13" s="134"/>
      <c r="E13" s="481"/>
      <c r="F13" s="134"/>
      <c r="G13" s="134"/>
      <c r="H13" s="134"/>
      <c r="I13" s="134"/>
      <c r="J13" s="134"/>
      <c r="K13" s="134"/>
      <c r="L13" s="213"/>
      <c r="M13" s="529"/>
      <c r="N13" s="529"/>
      <c r="O13" s="57"/>
      <c r="P13" s="168"/>
      <c r="Q13" s="525"/>
      <c r="R13" s="168"/>
      <c r="S13" s="530"/>
      <c r="T13" s="533" t="s">
        <v>410</v>
      </c>
      <c r="U13" s="532"/>
      <c r="V13" s="532"/>
      <c r="W13" s="532"/>
      <c r="X13" s="532"/>
      <c r="Y13" s="532"/>
      <c r="Z13" s="532"/>
      <c r="AA13" s="532"/>
      <c r="AB13" s="532"/>
      <c r="AC13" s="532"/>
      <c r="AD13" s="532"/>
      <c r="AE13" s="532"/>
      <c r="AF13" s="532"/>
      <c r="AG13" s="532"/>
      <c r="AH13" s="532"/>
      <c r="AI13" s="532"/>
      <c r="AJ13" s="532"/>
      <c r="AK13" s="532"/>
      <c r="AM13" s="130"/>
      <c r="AN13" s="130" t="str">
        <f t="shared" si="36"/>
        <v xml:space="preserve">Добавить территорию для дифференциации</v>
      </c>
      <c r="AO13" s="130"/>
      <c r="AP13" s="130"/>
      <c r="AQ13" s="57">
        <v>0</v>
      </c>
    </row>
    <row r="14" ht="14.25" hidden="1" customHeight="1">
      <c r="AB14" s="50"/>
      <c r="AI14" s="50"/>
      <c r="AQ14" s="50">
        <v>0</v>
      </c>
    </row>
    <row r="15" ht="14.25" hidden="1" customHeight="1">
      <c r="AC15" s="534"/>
      <c r="AD15" s="534"/>
      <c r="AE15" s="535"/>
      <c r="AF15" s="536"/>
      <c r="AG15" s="537" t="s">
        <v>64</v>
      </c>
      <c r="AH15" s="536"/>
      <c r="AI15" s="537" t="s">
        <v>64</v>
      </c>
      <c r="AQ15" s="50">
        <v>0</v>
      </c>
    </row>
    <row r="16" ht="14.25" hidden="1" customHeight="1">
      <c r="AC16" s="534"/>
      <c r="AD16" s="534"/>
      <c r="AE16" s="513" t="str">
        <f>AF15&amp;"-"&amp;AH15</f>
        <v>-</v>
      </c>
      <c r="AF16" s="537"/>
      <c r="AG16" s="537"/>
      <c r="AH16" s="537"/>
      <c r="AI16" s="537"/>
      <c r="AQ16" s="50">
        <v>0</v>
      </c>
    </row>
    <row r="17" ht="14.25" hidden="1" customHeight="1">
      <c r="AI17" s="50"/>
      <c r="AQ17" s="50">
        <v>0</v>
      </c>
    </row>
    <row r="18" s="53" customFormat="1" ht="22.5" hidden="1" customHeight="1">
      <c r="L18" s="114"/>
      <c r="M18" s="61"/>
      <c r="N18" s="61"/>
      <c r="O18" s="538" t="s">
        <v>411</v>
      </c>
      <c r="P18" s="61"/>
      <c r="Q18" s="539"/>
      <c r="R18" s="539"/>
      <c r="S18" s="483"/>
      <c r="Y18" s="538"/>
      <c r="AA18" s="538"/>
      <c r="AB18" s="53"/>
      <c r="AF18" s="538"/>
      <c r="AH18" s="538"/>
      <c r="AI18" s="53"/>
      <c r="AL18" s="57"/>
      <c r="AM18" s="57"/>
      <c r="AN18" s="57"/>
      <c r="AO18" s="57"/>
      <c r="AP18" s="57"/>
      <c r="AQ18" s="53">
        <v>0</v>
      </c>
    </row>
    <row r="19" s="53" customFormat="1" ht="14.25" hidden="1" customHeight="1">
      <c r="L19" s="114"/>
      <c r="M19" s="61"/>
      <c r="N19" s="61"/>
      <c r="O19" s="61"/>
      <c r="P19" s="61"/>
      <c r="Q19" s="539"/>
      <c r="R19" s="539"/>
      <c r="S19" s="483"/>
      <c r="AB19" s="53"/>
      <c r="AI19" s="53"/>
      <c r="AL19" s="57"/>
      <c r="AM19" s="57"/>
      <c r="AN19" s="57"/>
      <c r="AO19" s="57"/>
      <c r="AP19" s="57"/>
      <c r="AQ19" s="53">
        <v>0</v>
      </c>
    </row>
    <row r="20" s="53" customFormat="1" ht="12" hidden="1" customHeight="1">
      <c r="L20" s="114"/>
      <c r="M20" s="61"/>
      <c r="N20" s="61"/>
      <c r="O20" s="482" t="s">
        <v>412</v>
      </c>
      <c r="P20" s="61"/>
      <c r="Q20" s="689"/>
      <c r="R20" s="689"/>
      <c r="S20" s="483"/>
      <c r="T20" s="53" t="s">
        <v>413</v>
      </c>
      <c r="Z20" s="152" t="s">
        <v>414</v>
      </c>
      <c r="AB20" s="152" t="s">
        <v>415</v>
      </c>
      <c r="AC20" s="53" t="s">
        <v>413</v>
      </c>
      <c r="AG20" s="152" t="s">
        <v>416</v>
      </c>
      <c r="AI20" s="152" t="s">
        <v>415</v>
      </c>
      <c r="AQ20" s="53">
        <v>0</v>
      </c>
    </row>
    <row r="21" ht="14.25" hidden="1" customHeight="1">
      <c r="O21" s="482"/>
      <c r="AQ21" s="50">
        <v>0</v>
      </c>
    </row>
    <row r="22" ht="14.25" hidden="1" customHeight="1">
      <c r="O22" s="482"/>
      <c r="AQ22" s="50">
        <v>0</v>
      </c>
    </row>
    <row r="23" ht="14.65" customHeight="1">
      <c r="Q23" s="540"/>
      <c r="R23" s="540"/>
      <c r="S23" s="541"/>
      <c r="T23" s="91"/>
      <c r="U23" s="91"/>
      <c r="V23" s="50"/>
      <c r="W23" s="50"/>
      <c r="X23" s="50"/>
      <c r="Y23" s="50"/>
      <c r="Z23" s="50"/>
      <c r="AA23" s="50"/>
      <c r="AB23" s="50"/>
      <c r="AC23" s="50"/>
      <c r="AD23" s="50"/>
      <c r="AE23" s="50"/>
      <c r="AF23" s="50"/>
      <c r="AG23" s="50"/>
      <c r="AH23" s="50"/>
      <c r="AI23" s="50"/>
      <c r="AQ23" s="50">
        <v>14</v>
      </c>
    </row>
    <row r="24" ht="14.65" customHeight="1">
      <c r="Q24" s="540"/>
      <c r="R24" s="540"/>
      <c r="S24" s="453" t="str">
        <f>IF(TEMPLATE_GROUP="P",PT_P_FORM_VOTV_4_NAME_FORM,PT_R_FORM_VOTV_16_NAME_FORM)</f>
        <v xml:space="preserve">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453"/>
      <c r="U24" s="453"/>
      <c r="V24" s="453"/>
      <c r="W24" s="453"/>
      <c r="X24" s="453"/>
      <c r="Y24" s="453"/>
      <c r="Z24" s="453"/>
      <c r="AA24" s="453"/>
      <c r="AB24" s="453"/>
      <c r="AC24" s="453"/>
      <c r="AD24" s="453"/>
      <c r="AE24" s="453"/>
      <c r="AF24" s="453"/>
      <c r="AG24" s="453"/>
      <c r="AH24" s="453"/>
      <c r="AI24" s="241"/>
      <c r="AQ24" s="50">
        <v>14</v>
      </c>
    </row>
    <row r="25" ht="14.65" customHeight="1">
      <c r="Q25" s="540"/>
      <c r="R25" s="540"/>
      <c r="S25" s="304" t="str">
        <f>IF(org=0,"Не определено",org)</f>
        <v xml:space="preserve">АО "ДГК" СП "Биробиджанская ТЭЦ"</v>
      </c>
      <c r="T25" s="304"/>
      <c r="U25" s="304"/>
      <c r="V25" s="304"/>
      <c r="W25" s="304"/>
      <c r="X25" s="304"/>
      <c r="Y25" s="304"/>
      <c r="Z25" s="304"/>
      <c r="AA25" s="304"/>
      <c r="AB25" s="304"/>
      <c r="AC25" s="304"/>
      <c r="AD25" s="304"/>
      <c r="AE25" s="304"/>
      <c r="AF25" s="304"/>
      <c r="AG25" s="304"/>
      <c r="AH25" s="304"/>
      <c r="AI25" s="241"/>
      <c r="AQ25" s="50">
        <v>14</v>
      </c>
    </row>
    <row r="26" ht="14.25" hidden="1" customHeight="1">
      <c r="Q26" s="540"/>
      <c r="R26" s="540"/>
      <c r="S26" s="541"/>
      <c r="T26" s="91"/>
      <c r="U26" s="91"/>
      <c r="V26" s="542"/>
      <c r="W26" s="542"/>
      <c r="X26" s="542"/>
      <c r="Y26" s="542"/>
      <c r="Z26" s="542"/>
      <c r="AA26" s="542"/>
      <c r="AB26" s="542"/>
      <c r="AC26" s="542"/>
      <c r="AD26" s="542"/>
      <c r="AE26" s="542"/>
      <c r="AF26" s="542"/>
      <c r="AG26" s="542"/>
      <c r="AH26" s="542"/>
      <c r="AI26" s="542"/>
      <c r="AJ26" s="50"/>
      <c r="AQ26" s="50">
        <v>0</v>
      </c>
    </row>
    <row r="27" s="185" customFormat="1" ht="25.5" hidden="1" customHeight="1">
      <c r="A27" s="152"/>
      <c r="B27" s="152"/>
      <c r="C27" s="152"/>
      <c r="D27" s="152"/>
      <c r="E27" s="152"/>
      <c r="F27" s="152"/>
      <c r="G27" s="152"/>
      <c r="H27" s="152"/>
      <c r="I27" s="152"/>
      <c r="J27" s="152"/>
      <c r="K27" s="152"/>
      <c r="L27" s="482"/>
      <c r="M27" s="152"/>
      <c r="N27" s="152"/>
      <c r="O27" s="152"/>
      <c r="S27" s="543" t="s">
        <v>41</v>
      </c>
      <c r="T27" s="543"/>
      <c r="U27" s="544"/>
      <c r="V27" s="545" t="str">
        <f>IF(TITLE_NAME_OR_PR_CHANGE="",IF(TITLE_NAME_OR_PR="","",TITLE_NAME_OR_PR),TITLE_NAME_OR_PR_CHANGE)</f>
        <v/>
      </c>
      <c r="W27" s="545"/>
      <c r="X27" s="545"/>
      <c r="Y27" s="545"/>
      <c r="Z27" s="545"/>
      <c r="AA27" s="545"/>
      <c r="AB27" s="50"/>
      <c r="AC27" s="545" t="str">
        <f>IF(TITLE_NAME_OR_PR_CHANGE="",IF(TITLE_NAME_OR_PR="","",TITLE_NAME_OR_PR),TITLE_NAME_OR_PR_CHANGE)</f>
        <v/>
      </c>
      <c r="AD27" s="545"/>
      <c r="AE27" s="545"/>
      <c r="AF27" s="545"/>
      <c r="AG27" s="545"/>
      <c r="AH27" s="545"/>
      <c r="AI27" s="50"/>
      <c r="AJ27" s="50"/>
      <c r="AK27" s="546"/>
      <c r="AL27" s="130"/>
      <c r="AM27" s="130"/>
      <c r="AN27" s="130"/>
      <c r="AO27" s="130"/>
      <c r="AP27" s="130"/>
      <c r="AQ27" s="185">
        <v>0</v>
      </c>
    </row>
    <row r="28" s="185" customFormat="1" ht="18.75" hidden="1" customHeight="1">
      <c r="A28" s="152"/>
      <c r="B28" s="152"/>
      <c r="C28" s="152"/>
      <c r="D28" s="152"/>
      <c r="E28" s="152"/>
      <c r="F28" s="152"/>
      <c r="G28" s="152"/>
      <c r="H28" s="152"/>
      <c r="I28" s="152"/>
      <c r="J28" s="152"/>
      <c r="K28" s="152"/>
      <c r="L28" s="482"/>
      <c r="M28" s="152"/>
      <c r="N28" s="152"/>
      <c r="O28" s="152"/>
      <c r="S28" s="543" t="s">
        <v>417</v>
      </c>
      <c r="T28" s="543"/>
      <c r="U28" s="544"/>
      <c r="V28" s="547" t="str">
        <f>IF(TITLE_DATE_PR_CHANGE="",IF(TITLE_DATE_PR="","",TITLE_DATE_PR),TITLE_DATE_PR_CHANGE)</f>
        <v/>
      </c>
      <c r="W28" s="547"/>
      <c r="X28" s="547"/>
      <c r="Y28" s="547"/>
      <c r="Z28" s="547"/>
      <c r="AA28" s="547"/>
      <c r="AB28" s="50"/>
      <c r="AC28" s="547" t="str">
        <f>IF(TITLE_DATE_PR_CHANGE="",IF(TITLE_DATE_PR="","",TITLE_DATE_PR),TITLE_DATE_PR_CHANGE)</f>
        <v/>
      </c>
      <c r="AD28" s="547"/>
      <c r="AE28" s="547"/>
      <c r="AF28" s="547"/>
      <c r="AG28" s="547"/>
      <c r="AH28" s="547"/>
      <c r="AI28" s="50"/>
      <c r="AJ28" s="50"/>
      <c r="AK28" s="546"/>
      <c r="AL28" s="130"/>
      <c r="AM28" s="130"/>
      <c r="AN28" s="130"/>
      <c r="AO28" s="130"/>
      <c r="AP28" s="130"/>
      <c r="AQ28" s="185">
        <v>0</v>
      </c>
    </row>
    <row r="29" s="185" customFormat="1" ht="18.75" hidden="1" customHeight="1">
      <c r="A29" s="152"/>
      <c r="B29" s="152"/>
      <c r="C29" s="152"/>
      <c r="D29" s="152"/>
      <c r="E29" s="152"/>
      <c r="F29" s="152"/>
      <c r="G29" s="152"/>
      <c r="H29" s="152"/>
      <c r="I29" s="152"/>
      <c r="J29" s="152"/>
      <c r="K29" s="152"/>
      <c r="L29" s="482"/>
      <c r="M29" s="152"/>
      <c r="N29" s="152"/>
      <c r="O29" s="152"/>
      <c r="S29" s="543" t="s">
        <v>418</v>
      </c>
      <c r="T29" s="543"/>
      <c r="U29" s="544"/>
      <c r="V29" s="545" t="str">
        <f>IF(TITLE_NUMBER_PR_CHANGE="",IF(TITLE_NUMBER_PR="","",TITLE_NUMBER_PR),TITLE_NUMBER_PR_CHANGE)</f>
        <v/>
      </c>
      <c r="W29" s="545"/>
      <c r="X29" s="545"/>
      <c r="Y29" s="545"/>
      <c r="Z29" s="545"/>
      <c r="AA29" s="545"/>
      <c r="AB29" s="50"/>
      <c r="AC29" s="545" t="str">
        <f>IF(TITLE_NUMBER_PR_CHANGE="",IF(TITLE_NUMBER_PR="","",TITLE_NUMBER_PR),TITLE_NUMBER_PR_CHANGE)</f>
        <v/>
      </c>
      <c r="AD29" s="545"/>
      <c r="AE29" s="545"/>
      <c r="AF29" s="545"/>
      <c r="AG29" s="545"/>
      <c r="AH29" s="545"/>
      <c r="AI29" s="50"/>
      <c r="AJ29" s="50"/>
      <c r="AK29" s="546"/>
      <c r="AL29" s="130"/>
      <c r="AM29" s="130"/>
      <c r="AN29" s="130"/>
      <c r="AO29" s="130"/>
      <c r="AP29" s="130"/>
      <c r="AQ29" s="185">
        <v>0</v>
      </c>
    </row>
    <row r="30" s="185" customFormat="1" ht="18.75" hidden="1" customHeight="1">
      <c r="A30" s="152"/>
      <c r="B30" s="152"/>
      <c r="C30" s="152"/>
      <c r="D30" s="152"/>
      <c r="E30" s="152"/>
      <c r="F30" s="152"/>
      <c r="G30" s="152"/>
      <c r="H30" s="152"/>
      <c r="I30" s="152"/>
      <c r="J30" s="152"/>
      <c r="K30" s="152"/>
      <c r="L30" s="482"/>
      <c r="M30" s="152"/>
      <c r="N30" s="152"/>
      <c r="O30" s="152"/>
      <c r="S30" s="543" t="s">
        <v>42</v>
      </c>
      <c r="T30" s="543"/>
      <c r="U30" s="544"/>
      <c r="V30" s="545" t="str">
        <f>IF(TITLE_IST_PUB_CHANGE="",IF(TITLE_IST_PUB="","",TITLE_IST_PUB),TITLE_IST_PUB_CHANGE)</f>
        <v/>
      </c>
      <c r="W30" s="545"/>
      <c r="X30" s="545"/>
      <c r="Y30" s="545"/>
      <c r="Z30" s="545"/>
      <c r="AA30" s="545"/>
      <c r="AB30" s="50"/>
      <c r="AC30" s="545" t="str">
        <f>IF(TITLE_IST_PUB_CHANGE="",IF(TITLE_IST_PUB="","",TITLE_IST_PUB),TITLE_IST_PUB_CHANGE)</f>
        <v/>
      </c>
      <c r="AD30" s="545"/>
      <c r="AE30" s="545"/>
      <c r="AF30" s="545"/>
      <c r="AG30" s="545"/>
      <c r="AH30" s="545"/>
      <c r="AI30" s="50"/>
      <c r="AJ30" s="50"/>
      <c r="AK30" s="546"/>
      <c r="AL30" s="130"/>
      <c r="AM30" s="130"/>
      <c r="AN30" s="130"/>
      <c r="AO30" s="130"/>
      <c r="AP30" s="130"/>
      <c r="AQ30" s="185">
        <v>0</v>
      </c>
    </row>
    <row r="31" ht="14.25" hidden="1" customHeight="1">
      <c r="Q31" s="540"/>
      <c r="R31" s="540"/>
      <c r="S31" s="541"/>
      <c r="T31" s="91"/>
      <c r="U31" s="91"/>
      <c r="V31" s="542"/>
      <c r="W31" s="542"/>
      <c r="X31" s="542"/>
      <c r="Y31" s="542"/>
      <c r="Z31" s="542"/>
      <c r="AA31" s="542"/>
      <c r="AB31" s="542"/>
      <c r="AC31" s="542"/>
      <c r="AD31" s="542"/>
      <c r="AE31" s="542"/>
      <c r="AF31" s="542"/>
      <c r="AG31" s="542"/>
      <c r="AH31" s="542"/>
      <c r="AI31" s="542"/>
      <c r="AJ31" s="50"/>
      <c r="AQ31" s="50">
        <v>0</v>
      </c>
    </row>
    <row r="32" s="185" customFormat="1" ht="18.75" hidden="1" customHeight="1">
      <c r="A32" s="152"/>
      <c r="B32" s="152"/>
      <c r="C32" s="152"/>
      <c r="D32" s="152"/>
      <c r="E32" s="152"/>
      <c r="F32" s="152"/>
      <c r="G32" s="152"/>
      <c r="H32" s="152"/>
      <c r="I32" s="152"/>
      <c r="J32" s="152"/>
      <c r="K32" s="152"/>
      <c r="L32" s="482"/>
      <c r="M32" s="152"/>
      <c r="N32" s="152"/>
      <c r="O32" s="152"/>
      <c r="S32" s="543" t="s">
        <v>419</v>
      </c>
      <c r="T32" s="543"/>
      <c r="U32" s="544"/>
      <c r="V32" s="547" t="str">
        <f>IF(TITLE_DATE_PR_CHANGE="",IF(TITLE_DATE_PR="","",TITLE_DATE_PR),TITLE_DATE_PR_CHANGE)</f>
        <v/>
      </c>
      <c r="W32" s="547"/>
      <c r="X32" s="547"/>
      <c r="Y32" s="547"/>
      <c r="Z32" s="547"/>
      <c r="AA32" s="547"/>
      <c r="AB32" s="50"/>
      <c r="AC32" s="547" t="str">
        <f>IF(TITLE_DATE_PR_CHANGE="",IF(TITLE_DATE_PR="","",TITLE_DATE_PR),TITLE_DATE_PR_CHANGE)</f>
        <v/>
      </c>
      <c r="AD32" s="547"/>
      <c r="AE32" s="547"/>
      <c r="AF32" s="547"/>
      <c r="AG32" s="547"/>
      <c r="AH32" s="547"/>
      <c r="AI32" s="50"/>
      <c r="AJ32" s="50"/>
      <c r="AK32" s="546"/>
      <c r="AL32" s="130"/>
      <c r="AM32" s="130"/>
      <c r="AN32" s="130"/>
      <c r="AO32" s="130"/>
      <c r="AP32" s="130"/>
      <c r="AQ32" s="185">
        <v>0</v>
      </c>
    </row>
    <row r="33" s="185" customFormat="1" ht="18.75" hidden="1" customHeight="1">
      <c r="A33" s="152"/>
      <c r="B33" s="152"/>
      <c r="C33" s="152"/>
      <c r="D33" s="152"/>
      <c r="E33" s="152"/>
      <c r="F33" s="152"/>
      <c r="G33" s="152"/>
      <c r="H33" s="152"/>
      <c r="I33" s="152"/>
      <c r="J33" s="152"/>
      <c r="K33" s="152"/>
      <c r="L33" s="482"/>
      <c r="M33" s="152"/>
      <c r="N33" s="152"/>
      <c r="O33" s="152"/>
      <c r="S33" s="543" t="s">
        <v>420</v>
      </c>
      <c r="T33" s="543"/>
      <c r="U33" s="544"/>
      <c r="V33" s="545" t="str">
        <f>IF(TITLE_NUMBER_PR_CHANGE="",IF(TITLE_NUMBER_PR="","",TITLE_NUMBER_PR),TITLE_NUMBER_PR_CHANGE)</f>
        <v/>
      </c>
      <c r="W33" s="545"/>
      <c r="X33" s="545"/>
      <c r="Y33" s="545"/>
      <c r="Z33" s="545"/>
      <c r="AA33" s="545"/>
      <c r="AB33" s="50"/>
      <c r="AC33" s="545" t="str">
        <f>IF(TITLE_NUMBER_PR_CHANGE="",IF(TITLE_NUMBER_PR="","",TITLE_NUMBER_PR),TITLE_NUMBER_PR_CHANGE)</f>
        <v/>
      </c>
      <c r="AD33" s="545"/>
      <c r="AE33" s="545"/>
      <c r="AF33" s="545"/>
      <c r="AG33" s="545"/>
      <c r="AH33" s="545"/>
      <c r="AI33" s="50"/>
      <c r="AJ33" s="50"/>
      <c r="AK33" s="546"/>
      <c r="AL33" s="130"/>
      <c r="AM33" s="130"/>
      <c r="AN33" s="130"/>
      <c r="AO33" s="130"/>
      <c r="AP33" s="130"/>
      <c r="AQ33" s="185">
        <v>0</v>
      </c>
    </row>
    <row r="34" s="185" customFormat="1" ht="1.05" customHeight="1">
      <c r="A34" s="152"/>
      <c r="B34" s="152"/>
      <c r="C34" s="152"/>
      <c r="D34" s="152"/>
      <c r="E34" s="152"/>
      <c r="F34" s="152"/>
      <c r="G34" s="152"/>
      <c r="H34" s="152"/>
      <c r="I34" s="152"/>
      <c r="J34" s="152"/>
      <c r="K34" s="152"/>
      <c r="L34" s="482"/>
      <c r="M34" s="152"/>
      <c r="N34" s="152"/>
      <c r="O34" s="152"/>
      <c r="S34" s="50"/>
      <c r="T34" s="50"/>
      <c r="U34" s="141"/>
      <c r="V34" s="50"/>
      <c r="W34" s="50"/>
      <c r="X34" s="50"/>
      <c r="Y34" s="50"/>
      <c r="Z34" s="50"/>
      <c r="AA34" s="50"/>
      <c r="AB34" s="57" t="s">
        <v>421</v>
      </c>
      <c r="AC34" s="50"/>
      <c r="AD34" s="50"/>
      <c r="AE34" s="50"/>
      <c r="AF34" s="50"/>
      <c r="AG34" s="50"/>
      <c r="AH34" s="50"/>
      <c r="AI34" s="57" t="s">
        <v>421</v>
      </c>
      <c r="AL34" s="130"/>
      <c r="AM34" s="130"/>
      <c r="AN34" s="130"/>
      <c r="AO34" s="130"/>
      <c r="AP34" s="130"/>
      <c r="AQ34" s="185">
        <v>1</v>
      </c>
    </row>
    <row r="35" ht="14.65" customHeight="1">
      <c r="Q35" s="540"/>
      <c r="R35" s="540"/>
      <c r="S35" s="541"/>
      <c r="T35" s="91"/>
      <c r="U35" s="548"/>
      <c r="V35" s="549"/>
      <c r="W35" s="549"/>
      <c r="X35" s="549"/>
      <c r="Y35" s="549"/>
      <c r="Z35" s="549"/>
      <c r="AA35" s="549"/>
      <c r="AB35" s="549"/>
      <c r="AC35" s="549"/>
      <c r="AD35" s="549"/>
      <c r="AE35" s="549"/>
      <c r="AF35" s="549"/>
      <c r="AG35" s="549"/>
      <c r="AH35" s="549"/>
      <c r="AI35" s="549"/>
      <c r="AQ35" s="50">
        <v>14</v>
      </c>
    </row>
    <row r="36" ht="14.65" customHeight="1">
      <c r="Q36" s="540"/>
      <c r="R36" s="540"/>
      <c r="S36" s="158" t="s">
        <v>294</v>
      </c>
      <c r="T36" s="158"/>
      <c r="U36" s="158"/>
      <c r="V36" s="158"/>
      <c r="W36" s="158"/>
      <c r="X36" s="158"/>
      <c r="Y36" s="158"/>
      <c r="Z36" s="158"/>
      <c r="AA36" s="158"/>
      <c r="AB36" s="158"/>
      <c r="AC36" s="158"/>
      <c r="AD36" s="158"/>
      <c r="AE36" s="158"/>
      <c r="AF36" s="158"/>
      <c r="AG36" s="158"/>
      <c r="AH36" s="158"/>
      <c r="AI36" s="158"/>
      <c r="AJ36" s="158"/>
      <c r="AK36" s="158" t="s">
        <v>295</v>
      </c>
      <c r="AQ36" s="50">
        <v>14</v>
      </c>
    </row>
    <row r="37" ht="14.65" customHeight="1">
      <c r="Q37" s="540"/>
      <c r="R37" s="540"/>
      <c r="S37" s="485" t="s">
        <v>87</v>
      </c>
      <c r="T37" s="348" t="s">
        <v>422</v>
      </c>
      <c r="U37" s="550"/>
      <c r="V37" s="551" t="s">
        <v>423</v>
      </c>
      <c r="W37" s="552"/>
      <c r="X37" s="552"/>
      <c r="Y37" s="552"/>
      <c r="Z37" s="552"/>
      <c r="AA37" s="553"/>
      <c r="AB37" s="554" t="s">
        <v>424</v>
      </c>
      <c r="AC37" s="551" t="s">
        <v>423</v>
      </c>
      <c r="AD37" s="552"/>
      <c r="AE37" s="552"/>
      <c r="AF37" s="552"/>
      <c r="AG37" s="552"/>
      <c r="AH37" s="553"/>
      <c r="AI37" s="554" t="s">
        <v>425</v>
      </c>
      <c r="AJ37" s="555" t="s">
        <v>426</v>
      </c>
      <c r="AK37" s="158"/>
      <c r="AQ37" s="50">
        <v>14</v>
      </c>
    </row>
    <row r="38" ht="35.649999999999999" customHeight="1">
      <c r="Q38" s="540"/>
      <c r="R38" s="540"/>
      <c r="S38" s="485"/>
      <c r="T38" s="348"/>
      <c r="U38" s="556"/>
      <c r="V38" s="308" t="s">
        <v>483</v>
      </c>
      <c r="W38" s="73" t="s">
        <v>429</v>
      </c>
      <c r="X38" s="72"/>
      <c r="Y38" s="73" t="s">
        <v>430</v>
      </c>
      <c r="Z38" s="146"/>
      <c r="AA38" s="72"/>
      <c r="AB38" s="558"/>
      <c r="AC38" s="308" t="s">
        <v>483</v>
      </c>
      <c r="AD38" s="73" t="s">
        <v>429</v>
      </c>
      <c r="AE38" s="72"/>
      <c r="AF38" s="73" t="s">
        <v>430</v>
      </c>
      <c r="AG38" s="146"/>
      <c r="AH38" s="72"/>
      <c r="AI38" s="558"/>
      <c r="AJ38" s="559"/>
      <c r="AK38" s="158"/>
      <c r="AQ38" s="50">
        <v>34</v>
      </c>
    </row>
    <row r="39" ht="90.299999999999997" customHeight="1">
      <c r="A39" s="152"/>
      <c r="B39" s="152" t="s">
        <v>131</v>
      </c>
      <c r="C39" s="152" t="s">
        <v>132</v>
      </c>
      <c r="D39" s="152" t="s">
        <v>133</v>
      </c>
      <c r="E39" s="482" t="s">
        <v>431</v>
      </c>
      <c r="F39" s="482" t="s">
        <v>432</v>
      </c>
      <c r="G39" s="482" t="s">
        <v>433</v>
      </c>
      <c r="H39" s="482"/>
      <c r="I39" s="482" t="s">
        <v>484</v>
      </c>
      <c r="J39" s="482" t="s">
        <v>436</v>
      </c>
      <c r="K39" s="482" t="s">
        <v>485</v>
      </c>
      <c r="L39" s="482" t="s">
        <v>412</v>
      </c>
      <c r="Q39" s="540"/>
      <c r="R39" s="540"/>
      <c r="S39" s="485"/>
      <c r="T39" s="348"/>
      <c r="U39" s="560"/>
      <c r="V39" s="308" t="s">
        <v>512</v>
      </c>
      <c r="W39" s="247" t="s">
        <v>513</v>
      </c>
      <c r="X39" s="247" t="s">
        <v>488</v>
      </c>
      <c r="Y39" s="247" t="s">
        <v>440</v>
      </c>
      <c r="Z39" s="416" t="s">
        <v>441</v>
      </c>
      <c r="AA39" s="418"/>
      <c r="AB39" s="562"/>
      <c r="AC39" s="308" t="s">
        <v>512</v>
      </c>
      <c r="AD39" s="247" t="s">
        <v>513</v>
      </c>
      <c r="AE39" s="247" t="s">
        <v>488</v>
      </c>
      <c r="AF39" s="247" t="s">
        <v>440</v>
      </c>
      <c r="AG39" s="416" t="s">
        <v>441</v>
      </c>
      <c r="AH39" s="418"/>
      <c r="AI39" s="562"/>
      <c r="AJ39" s="563"/>
      <c r="AK39" s="158"/>
      <c r="AQ39" s="50">
        <v>86</v>
      </c>
    </row>
    <row r="40" s="132" customFormat="1" ht="11.25" hidden="1" customHeight="1">
      <c r="A40" s="152"/>
      <c r="B40" s="152"/>
      <c r="C40" s="152"/>
      <c r="D40" s="152"/>
      <c r="E40" s="152"/>
      <c r="F40" s="152"/>
      <c r="G40" s="152"/>
      <c r="H40" s="152"/>
      <c r="I40" s="152"/>
      <c r="J40" s="152"/>
      <c r="K40" s="152"/>
      <c r="L40" s="482"/>
      <c r="M40" s="61"/>
      <c r="N40" s="61"/>
      <c r="O40" s="61"/>
      <c r="P40" s="564"/>
      <c r="Q40" s="565"/>
      <c r="R40" s="566">
        <v>1</v>
      </c>
      <c r="S40" s="567" t="s">
        <v>105</v>
      </c>
      <c r="T40" s="568" t="s">
        <v>106</v>
      </c>
      <c r="U40" s="569" t="str">
        <f ca="1">OFFSET(U40,0,-1)</f>
        <v>2</v>
      </c>
      <c r="V40" s="570">
        <f ca="1">OFFSET(V40,0,-1)+1</f>
        <v>3</v>
      </c>
      <c r="W40" s="570">
        <f ca="1">OFFSET(W40,0,-1)+1</f>
        <v>4</v>
      </c>
      <c r="X40" s="570">
        <f ca="1">OFFSET(X40,0,-1)+1</f>
        <v>5</v>
      </c>
      <c r="Y40" s="570">
        <f ca="1">OFFSET(Y40,0,-1)+1</f>
        <v>6</v>
      </c>
      <c r="Z40" s="570">
        <f ca="1">OFFSET(Z40,0,-1)+1</f>
        <v>7</v>
      </c>
      <c r="AA40" s="570"/>
      <c r="AB40" s="570">
        <f ca="1">OFFSET(AB40,0,-2)+1</f>
        <v>8</v>
      </c>
      <c r="AC40" s="570">
        <f ca="1">OFFSET(AC40,0,-1)+1</f>
        <v>9</v>
      </c>
      <c r="AD40" s="570">
        <f ca="1">OFFSET(AD40,0,-1)+1</f>
        <v>10</v>
      </c>
      <c r="AE40" s="570">
        <f ca="1">OFFSET(AE40,0,-1)+1</f>
        <v>11</v>
      </c>
      <c r="AF40" s="570">
        <f ca="1">OFFSET(AF40,0,-1)+1</f>
        <v>12</v>
      </c>
      <c r="AG40" s="570">
        <f ca="1">OFFSET(AG40,0,-1)+1</f>
        <v>13</v>
      </c>
      <c r="AH40" s="570"/>
      <c r="AI40" s="570">
        <f ca="1">OFFSET(AI40,0,-2)+1</f>
        <v>14</v>
      </c>
      <c r="AJ40" s="569">
        <f ca="1">OFFSET(AJ40,0,-1)</f>
        <v>14</v>
      </c>
      <c r="AK40" s="570">
        <f ca="1">OFFSET(AK40,0,-1)+1</f>
        <v>15</v>
      </c>
      <c r="AL40" s="57"/>
      <c r="AM40" s="57"/>
      <c r="AN40" s="57"/>
      <c r="AO40" s="57"/>
      <c r="AP40" s="57"/>
      <c r="AQ40" s="132">
        <v>0</v>
      </c>
    </row>
    <row r="41" ht="24" customHeight="1">
      <c r="A41" s="480" t="s">
        <v>260</v>
      </c>
      <c r="B41" s="480"/>
      <c r="C41" s="480"/>
      <c r="D41" s="480"/>
      <c r="E41" s="481">
        <v>1</v>
      </c>
      <c r="F41" s="480"/>
      <c r="G41" s="480"/>
      <c r="H41" s="480"/>
      <c r="I41" s="480"/>
      <c r="J41" s="480"/>
      <c r="K41" s="480"/>
      <c r="L41" s="482"/>
      <c r="M41" s="483"/>
      <c r="N41" s="483"/>
      <c r="O41" s="483"/>
      <c r="P41" s="60"/>
      <c r="Q41" s="144"/>
      <c r="R41" s="484"/>
      <c r="S41" s="485">
        <f>INDEX(PT_DIFFERENTIATION_NUM_NTAR,MATCH(A41,PT_DIFFERENTIATION_NTAR_ID,0))</f>
        <v>0</v>
      </c>
      <c r="T41" s="486" t="s">
        <v>119</v>
      </c>
      <c r="U41" s="487"/>
      <c r="V41" s="488"/>
      <c r="W41" s="489"/>
      <c r="X41" s="489"/>
      <c r="Y41" s="489"/>
      <c r="Z41" s="489"/>
      <c r="AA41" s="489"/>
      <c r="AB41" s="490"/>
      <c r="AC41" s="488" t="str">
        <f>INDEX(PT_DIFFERENTIATION_NTAR,MATCH(A41,PT_DIFFERENTIATION_NTAR_ID,0))</f>
        <v/>
      </c>
      <c r="AD41" s="489"/>
      <c r="AE41" s="489"/>
      <c r="AF41" s="489"/>
      <c r="AG41" s="489"/>
      <c r="AH41" s="489"/>
      <c r="AI41" s="489"/>
      <c r="AJ41" s="490"/>
      <c r="AK41" s="49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130"/>
      <c r="AN41" s="130" t="str">
        <f t="shared" si="36"/>
        <v xml:space="preserve">Наименование тарифа</v>
      </c>
      <c r="AO41" s="130"/>
      <c r="AP41" s="130"/>
      <c r="AQ41" s="50">
        <v>23</v>
      </c>
    </row>
    <row r="42" ht="24" customHeight="1">
      <c r="A42" s="480" t="s">
        <v>260</v>
      </c>
      <c r="B42" s="480" t="s">
        <v>261</v>
      </c>
      <c r="C42" s="480"/>
      <c r="D42" s="480"/>
      <c r="E42" s="492"/>
      <c r="F42" s="481">
        <v>1</v>
      </c>
      <c r="G42" s="480"/>
      <c r="H42" s="480"/>
      <c r="I42" s="480"/>
      <c r="J42" s="480"/>
      <c r="K42" s="480"/>
      <c r="L42" s="482"/>
      <c r="M42" s="483"/>
      <c r="N42" s="483"/>
      <c r="O42" s="483"/>
      <c r="P42" s="51"/>
      <c r="Q42" s="493"/>
      <c r="R42" s="494"/>
      <c r="S42" s="485" t="str">
        <f>INDEX(PT_DIFFERENTIATION_NUM_TER,MATCH(B42,PT_DIFFERENTIATION_TER_ID,0))</f>
        <v>.</v>
      </c>
      <c r="T42" s="495" t="s">
        <v>391</v>
      </c>
      <c r="U42" s="487"/>
      <c r="V42" s="488"/>
      <c r="W42" s="489"/>
      <c r="X42" s="489"/>
      <c r="Y42" s="489"/>
      <c r="Z42" s="489"/>
      <c r="AA42" s="489"/>
      <c r="AB42" s="490"/>
      <c r="AC42" s="488" t="str">
        <f>INDEX(PT_DIFFERENTIATION_TER,MATCH(B42,PT_DIFFERENTIATION_TER_ID,0))</f>
        <v/>
      </c>
      <c r="AD42" s="489"/>
      <c r="AE42" s="489"/>
      <c r="AF42" s="489"/>
      <c r="AG42" s="489"/>
      <c r="AH42" s="489"/>
      <c r="AI42" s="489"/>
      <c r="AJ42" s="490"/>
      <c r="AK42" s="491" t="s">
        <v>392</v>
      </c>
      <c r="AM42" s="130"/>
      <c r="AN42" s="130" t="str">
        <f t="shared" si="36"/>
        <v xml:space="preserve">Территория действия тарифа</v>
      </c>
      <c r="AO42" s="130"/>
      <c r="AP42" s="130"/>
      <c r="AQ42" s="50">
        <v>23</v>
      </c>
    </row>
    <row r="43" ht="24" customHeight="1">
      <c r="A43" s="480" t="s">
        <v>260</v>
      </c>
      <c r="B43" s="480" t="s">
        <v>261</v>
      </c>
      <c r="C43" s="480" t="s">
        <v>262</v>
      </c>
      <c r="D43" s="480"/>
      <c r="E43" s="492"/>
      <c r="F43" s="492"/>
      <c r="G43" s="481">
        <v>1</v>
      </c>
      <c r="H43" s="480"/>
      <c r="I43" s="480"/>
      <c r="J43" s="480"/>
      <c r="K43" s="480"/>
      <c r="L43" s="482"/>
      <c r="M43" s="483"/>
      <c r="N43" s="483"/>
      <c r="O43" s="483"/>
      <c r="P43" s="496"/>
      <c r="Q43" s="493"/>
      <c r="R43" s="494"/>
      <c r="S43" s="485" t="str">
        <f>INDEX(PT_DIFFERENTIATION_NUM_CS,MATCH(C43,PT_DIFFERENTIATION_CS_ID,0))</f>
        <v>..</v>
      </c>
      <c r="T43" s="497" t="s">
        <v>510</v>
      </c>
      <c r="U43" s="487"/>
      <c r="V43" s="488"/>
      <c r="W43" s="489"/>
      <c r="X43" s="489"/>
      <c r="Y43" s="489"/>
      <c r="Z43" s="489"/>
      <c r="AA43" s="489"/>
      <c r="AB43" s="490"/>
      <c r="AC43" s="488" t="str">
        <f>INDEX(PT_DIFFERENTIATION_CS,MATCH(C43,PT_DIFFERENTIATION_CS_ID,0))</f>
        <v/>
      </c>
      <c r="AD43" s="489"/>
      <c r="AE43" s="489"/>
      <c r="AF43" s="489"/>
      <c r="AG43" s="489"/>
      <c r="AH43" s="489"/>
      <c r="AI43" s="489"/>
      <c r="AJ43" s="490"/>
      <c r="AK43" s="491" t="s">
        <v>511</v>
      </c>
      <c r="AM43" s="130"/>
      <c r="AN43" s="130" t="str">
        <f t="shared" si="36"/>
        <v xml:space="preserve">Наименование централизованной системы водоотведения</v>
      </c>
      <c r="AO43" s="130"/>
      <c r="AP43" s="130"/>
      <c r="AQ43" s="50">
        <v>23</v>
      </c>
    </row>
    <row r="44" ht="24" customHeight="1">
      <c r="A44" s="480" t="s">
        <v>260</v>
      </c>
      <c r="B44" s="480" t="s">
        <v>261</v>
      </c>
      <c r="C44" s="480" t="s">
        <v>262</v>
      </c>
      <c r="D44" s="480" t="s">
        <v>514</v>
      </c>
      <c r="E44" s="492"/>
      <c r="F44" s="492"/>
      <c r="G44" s="492"/>
      <c r="H44" s="492"/>
      <c r="I44" s="499" t="str">
        <f>S43&amp;".1"</f>
        <v>...1</v>
      </c>
      <c r="J44" s="480"/>
      <c r="K44" s="480"/>
      <c r="L44" s="482"/>
      <c r="P44" s="133">
        <v>1</v>
      </c>
      <c r="Q44" s="133"/>
      <c r="R44" s="500"/>
      <c r="S44" s="485" t="str">
        <f>$I44</f>
        <v>...1</v>
      </c>
      <c r="T44" s="501" t="s">
        <v>477</v>
      </c>
      <c r="U44" s="487"/>
      <c r="V44" s="677"/>
      <c r="W44" s="678"/>
      <c r="X44" s="678"/>
      <c r="Y44" s="678"/>
      <c r="Z44" s="678"/>
      <c r="AA44" s="678"/>
      <c r="AB44" s="679"/>
      <c r="AC44" s="680"/>
      <c r="AD44" s="681"/>
      <c r="AE44" s="681"/>
      <c r="AF44" s="681"/>
      <c r="AG44" s="681"/>
      <c r="AH44" s="681"/>
      <c r="AI44" s="681"/>
      <c r="AJ44" s="682"/>
      <c r="AK44" s="491" t="s">
        <v>478</v>
      </c>
      <c r="AM44" s="130"/>
      <c r="AN44" s="130" t="str">
        <f t="shared" si="36"/>
        <v xml:space="preserve">Наименование признака дифференциации</v>
      </c>
      <c r="AO44" s="130"/>
      <c r="AP44" s="130"/>
      <c r="AQ44" s="50">
        <v>23</v>
      </c>
    </row>
    <row r="45" ht="24" customHeight="1">
      <c r="A45" s="480" t="s">
        <v>260</v>
      </c>
      <c r="B45" s="480" t="s">
        <v>261</v>
      </c>
      <c r="C45" s="480" t="s">
        <v>262</v>
      </c>
      <c r="D45" s="480" t="s">
        <v>514</v>
      </c>
      <c r="E45" s="492"/>
      <c r="F45" s="492"/>
      <c r="G45" s="492"/>
      <c r="H45" s="492"/>
      <c r="I45" s="504"/>
      <c r="J45" s="499" t="str">
        <f>I44&amp;".1"</f>
        <v>...1.1</v>
      </c>
      <c r="K45" s="480"/>
      <c r="L45" s="482" t="s">
        <v>400</v>
      </c>
      <c r="P45" s="133"/>
      <c r="Q45" s="133">
        <v>1</v>
      </c>
      <c r="R45" s="505"/>
      <c r="S45" s="485" t="str">
        <f>$J45</f>
        <v>...1.1</v>
      </c>
      <c r="T45" s="506" t="s">
        <v>401</v>
      </c>
      <c r="U45" s="487"/>
      <c r="V45" s="432"/>
      <c r="W45" s="502"/>
      <c r="X45" s="502"/>
      <c r="Y45" s="502"/>
      <c r="Z45" s="502"/>
      <c r="AA45" s="502"/>
      <c r="AB45" s="503"/>
      <c r="AC45" s="432"/>
      <c r="AD45" s="502"/>
      <c r="AE45" s="502"/>
      <c r="AF45" s="502"/>
      <c r="AG45" s="502"/>
      <c r="AH45" s="502"/>
      <c r="AI45" s="502"/>
      <c r="AJ45" s="503"/>
      <c r="AK45" s="618" t="s">
        <v>479</v>
      </c>
      <c r="AM45" s="130"/>
      <c r="AN45" s="130" t="str">
        <f t="shared" si="36"/>
        <v xml:space="preserve">Группа потребителей</v>
      </c>
      <c r="AO45" s="130"/>
      <c r="AP45" s="130"/>
      <c r="AQ45" s="50">
        <v>23</v>
      </c>
    </row>
    <row r="46" ht="24" customHeight="1">
      <c r="A46" s="480" t="s">
        <v>260</v>
      </c>
      <c r="B46" s="480" t="s">
        <v>261</v>
      </c>
      <c r="C46" s="480" t="s">
        <v>262</v>
      </c>
      <c r="D46" s="480" t="s">
        <v>514</v>
      </c>
      <c r="E46" s="492"/>
      <c r="F46" s="492"/>
      <c r="G46" s="492"/>
      <c r="H46" s="492"/>
      <c r="I46" s="504"/>
      <c r="J46" s="504"/>
      <c r="K46" s="499" t="str">
        <f>J45&amp;".1"</f>
        <v>...1.1.1</v>
      </c>
      <c r="L46" s="482"/>
      <c r="P46" s="133"/>
      <c r="Q46" s="133"/>
      <c r="R46" s="505">
        <v>1</v>
      </c>
      <c r="S46" s="485" t="str">
        <f>$K46</f>
        <v>...1.1.1</v>
      </c>
      <c r="T46" s="683"/>
      <c r="U46" s="487"/>
      <c r="V46" s="534"/>
      <c r="W46" s="534"/>
      <c r="X46" s="535"/>
      <c r="Y46" s="536"/>
      <c r="Z46" s="537" t="s">
        <v>64</v>
      </c>
      <c r="AA46" s="536"/>
      <c r="AB46" s="537" t="s">
        <v>64</v>
      </c>
      <c r="AC46" s="508"/>
      <c r="AD46" s="508"/>
      <c r="AE46" s="510"/>
      <c r="AF46" s="511"/>
      <c r="AG46" s="225" t="s">
        <v>64</v>
      </c>
      <c r="AH46" s="571"/>
      <c r="AI46" s="225" t="s">
        <v>19</v>
      </c>
      <c r="AJ46" s="684"/>
      <c r="AK46" s="68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 t="e">
        <f>STRCHECKDATE(V47:AJ47)</f>
        <v>#NAME?</v>
      </c>
      <c r="AM46" s="130"/>
      <c r="AN46" s="130" t="str">
        <f t="shared" si="36"/>
        <v/>
      </c>
      <c r="AO46" s="130"/>
      <c r="AP46" s="130"/>
      <c r="AQ46" s="50">
        <v>23</v>
      </c>
    </row>
    <row r="47" ht="0" customHeight="1">
      <c r="A47" s="480" t="s">
        <v>260</v>
      </c>
      <c r="B47" s="480" t="s">
        <v>261</v>
      </c>
      <c r="C47" s="480" t="s">
        <v>262</v>
      </c>
      <c r="D47" s="480" t="s">
        <v>514</v>
      </c>
      <c r="E47" s="492"/>
      <c r="F47" s="492"/>
      <c r="G47" s="492"/>
      <c r="H47" s="492"/>
      <c r="I47" s="504"/>
      <c r="J47" s="504"/>
      <c r="K47" s="499"/>
      <c r="L47" s="482"/>
      <c r="P47" s="133"/>
      <c r="Q47" s="133"/>
      <c r="R47" s="505"/>
      <c r="S47" s="459"/>
      <c r="T47" s="487"/>
      <c r="U47" s="487"/>
      <c r="V47" s="534"/>
      <c r="W47" s="534"/>
      <c r="X47" s="513" t="str">
        <f>Y46&amp;"-"&amp;AA46</f>
        <v>-</v>
      </c>
      <c r="Y47" s="537"/>
      <c r="Z47" s="537"/>
      <c r="AA47" s="537"/>
      <c r="AB47" s="537"/>
      <c r="AC47" s="509"/>
      <c r="AD47" s="509"/>
      <c r="AE47" s="513" t="str">
        <f>AF46&amp;"-"&amp;AH46</f>
        <v>-</v>
      </c>
      <c r="AF47" s="514"/>
      <c r="AG47" s="225"/>
      <c r="AH47" s="573"/>
      <c r="AI47" s="225"/>
      <c r="AJ47" s="686"/>
      <c r="AK47" s="685"/>
      <c r="AM47" s="130"/>
      <c r="AN47" s="130" t="str">
        <f t="shared" si="36"/>
        <v/>
      </c>
      <c r="AO47" s="130"/>
      <c r="AP47" s="130"/>
      <c r="AQ47" s="50">
        <v>0</v>
      </c>
    </row>
    <row r="48" ht="21" customHeight="1">
      <c r="A48" s="480" t="s">
        <v>260</v>
      </c>
      <c r="B48" s="480" t="s">
        <v>261</v>
      </c>
      <c r="C48" s="480" t="s">
        <v>262</v>
      </c>
      <c r="D48" s="480" t="s">
        <v>514</v>
      </c>
      <c r="E48" s="492"/>
      <c r="F48" s="492"/>
      <c r="G48" s="492"/>
      <c r="H48" s="492"/>
      <c r="I48" s="504"/>
      <c r="J48" s="499"/>
      <c r="K48" s="480"/>
      <c r="L48" s="482"/>
      <c r="P48" s="133"/>
      <c r="Q48" s="133"/>
      <c r="R48" s="500"/>
      <c r="S48" s="516"/>
      <c r="T48" s="520" t="s">
        <v>480</v>
      </c>
      <c r="U48" s="215"/>
      <c r="V48" s="215"/>
      <c r="W48" s="215"/>
      <c r="X48" s="215"/>
      <c r="Y48" s="215"/>
      <c r="Z48" s="215"/>
      <c r="AA48" s="215"/>
      <c r="AB48" s="215"/>
      <c r="AC48" s="215"/>
      <c r="AD48" s="215"/>
      <c r="AE48" s="215"/>
      <c r="AF48" s="215"/>
      <c r="AG48" s="215"/>
      <c r="AH48" s="215"/>
      <c r="AI48" s="215"/>
      <c r="AJ48" s="215"/>
      <c r="AK48" s="491" t="s">
        <v>481</v>
      </c>
      <c r="AM48" s="130"/>
      <c r="AN48" s="130" t="str">
        <f t="shared" si="36"/>
        <v xml:space="preserve">Добавить значение признака дифференциации</v>
      </c>
      <c r="AO48" s="130"/>
      <c r="AP48" s="130"/>
      <c r="AQ48" s="50">
        <v>20</v>
      </c>
    </row>
    <row r="49" ht="22" customHeight="1">
      <c r="A49" s="480" t="s">
        <v>260</v>
      </c>
      <c r="B49" s="480" t="s">
        <v>261</v>
      </c>
      <c r="C49" s="480" t="s">
        <v>262</v>
      </c>
      <c r="D49" s="480" t="s">
        <v>514</v>
      </c>
      <c r="E49" s="492"/>
      <c r="F49" s="492"/>
      <c r="G49" s="492"/>
      <c r="H49" s="492"/>
      <c r="I49" s="499"/>
      <c r="J49" s="480"/>
      <c r="K49" s="480"/>
      <c r="L49" s="482"/>
      <c r="P49" s="133"/>
      <c r="Q49" s="133"/>
      <c r="R49" s="500"/>
      <c r="S49" s="516"/>
      <c r="T49" s="524" t="s">
        <v>406</v>
      </c>
      <c r="U49" s="215"/>
      <c r="V49" s="215"/>
      <c r="W49" s="215"/>
      <c r="X49" s="215"/>
      <c r="Y49" s="215"/>
      <c r="Z49" s="215"/>
      <c r="AA49" s="215"/>
      <c r="AB49" s="521"/>
      <c r="AC49" s="215"/>
      <c r="AD49" s="215"/>
      <c r="AE49" s="215"/>
      <c r="AF49" s="215"/>
      <c r="AG49" s="215"/>
      <c r="AH49" s="215"/>
      <c r="AI49" s="521"/>
      <c r="AJ49" s="215"/>
      <c r="AK49" s="687"/>
      <c r="AM49" s="130"/>
      <c r="AN49" s="130" t="str">
        <f t="shared" si="36"/>
        <v xml:space="preserve">Добавить группу потребителей</v>
      </c>
      <c r="AO49" s="130"/>
      <c r="AP49" s="130"/>
      <c r="AQ49" s="50">
        <v>21</v>
      </c>
    </row>
    <row r="50" ht="22" customHeight="1">
      <c r="A50" s="480" t="s">
        <v>260</v>
      </c>
      <c r="B50" s="480" t="s">
        <v>261</v>
      </c>
      <c r="C50" s="480" t="s">
        <v>262</v>
      </c>
      <c r="D50" s="480" t="s">
        <v>514</v>
      </c>
      <c r="E50" s="492"/>
      <c r="F50" s="492"/>
      <c r="G50" s="492"/>
      <c r="H50" s="481"/>
      <c r="I50" s="480"/>
      <c r="J50" s="480"/>
      <c r="K50" s="480"/>
      <c r="L50" s="482"/>
      <c r="M50" s="483"/>
      <c r="N50" s="483"/>
      <c r="O50" s="53"/>
      <c r="P50" s="144"/>
      <c r="Q50" s="523"/>
      <c r="R50" s="484"/>
      <c r="S50" s="516"/>
      <c r="T50" s="688" t="s">
        <v>482</v>
      </c>
      <c r="U50" s="215"/>
      <c r="V50" s="215"/>
      <c r="W50" s="215"/>
      <c r="X50" s="215"/>
      <c r="Y50" s="215"/>
      <c r="Z50" s="215"/>
      <c r="AA50" s="215"/>
      <c r="AB50" s="521"/>
      <c r="AC50" s="215"/>
      <c r="AD50" s="215"/>
      <c r="AE50" s="215"/>
      <c r="AF50" s="215"/>
      <c r="AG50" s="215"/>
      <c r="AH50" s="215"/>
      <c r="AI50" s="521"/>
      <c r="AJ50" s="215"/>
      <c r="AK50" s="522"/>
      <c r="AM50" s="130"/>
      <c r="AN50" s="130" t="str">
        <f t="shared" si="36"/>
        <v xml:space="preserve">Добавить наименование признака дифференциации</v>
      </c>
      <c r="AO50" s="130"/>
      <c r="AP50" s="130"/>
      <c r="AQ50" s="50">
        <v>21</v>
      </c>
    </row>
    <row r="51" s="57" customFormat="1" ht="0" customHeight="1">
      <c r="A51" s="134" t="s">
        <v>260</v>
      </c>
      <c r="B51" s="134" t="s">
        <v>261</v>
      </c>
      <c r="C51" s="134"/>
      <c r="D51" s="134"/>
      <c r="E51" s="492"/>
      <c r="F51" s="481"/>
      <c r="G51" s="134"/>
      <c r="H51" s="134"/>
      <c r="I51" s="134"/>
      <c r="J51" s="134"/>
      <c r="K51" s="134"/>
      <c r="L51" s="213"/>
      <c r="M51" s="529"/>
      <c r="N51" s="529"/>
      <c r="P51" s="168"/>
      <c r="Q51" s="525"/>
      <c r="R51" s="168"/>
      <c r="S51" s="530"/>
      <c r="T51" s="533" t="s">
        <v>409</v>
      </c>
      <c r="U51" s="532"/>
      <c r="V51" s="532"/>
      <c r="W51" s="532"/>
      <c r="X51" s="532"/>
      <c r="Y51" s="532"/>
      <c r="Z51" s="532"/>
      <c r="AA51" s="532"/>
      <c r="AB51" s="532"/>
      <c r="AC51" s="532"/>
      <c r="AD51" s="532"/>
      <c r="AE51" s="532"/>
      <c r="AF51" s="532"/>
      <c r="AG51" s="532"/>
      <c r="AH51" s="532"/>
      <c r="AI51" s="532"/>
      <c r="AJ51" s="532"/>
      <c r="AK51" s="532"/>
      <c r="AM51" s="130"/>
      <c r="AN51" s="130" t="str">
        <f t="shared" si="36"/>
        <v xml:space="preserve">Добавить централизованную систему для дифференциации</v>
      </c>
      <c r="AO51" s="130"/>
      <c r="AP51" s="130"/>
      <c r="AQ51" s="57">
        <v>0</v>
      </c>
    </row>
    <row r="52" s="57" customFormat="1" ht="0" customHeight="1">
      <c r="A52" s="134" t="s">
        <v>260</v>
      </c>
      <c r="B52" s="134"/>
      <c r="C52" s="134"/>
      <c r="D52" s="134"/>
      <c r="E52" s="481"/>
      <c r="F52" s="134"/>
      <c r="G52" s="134"/>
      <c r="H52" s="134"/>
      <c r="I52" s="134"/>
      <c r="J52" s="134"/>
      <c r="K52" s="134"/>
      <c r="L52" s="213"/>
      <c r="M52" s="529"/>
      <c r="N52" s="529"/>
      <c r="O52" s="57"/>
      <c r="P52" s="168"/>
      <c r="Q52" s="525"/>
      <c r="R52" s="168"/>
      <c r="S52" s="530"/>
      <c r="T52" s="533" t="s">
        <v>410</v>
      </c>
      <c r="U52" s="532"/>
      <c r="V52" s="532"/>
      <c r="W52" s="532"/>
      <c r="X52" s="532"/>
      <c r="Y52" s="532"/>
      <c r="Z52" s="532"/>
      <c r="AA52" s="532"/>
      <c r="AB52" s="532"/>
      <c r="AC52" s="532"/>
      <c r="AD52" s="532"/>
      <c r="AE52" s="532"/>
      <c r="AF52" s="532"/>
      <c r="AG52" s="532"/>
      <c r="AH52" s="532"/>
      <c r="AI52" s="532"/>
      <c r="AJ52" s="532"/>
      <c r="AK52" s="532"/>
      <c r="AM52" s="130"/>
      <c r="AN52" s="130" t="str">
        <f t="shared" si="36"/>
        <v xml:space="preserve">Добавить территорию для дифференциации</v>
      </c>
      <c r="AO52" s="130"/>
      <c r="AP52" s="130"/>
      <c r="AQ52" s="57">
        <v>0</v>
      </c>
    </row>
    <row r="53" s="57" customFormat="1" ht="0" customHeight="1">
      <c r="A53" s="134"/>
      <c r="B53" s="134"/>
      <c r="C53" s="134"/>
      <c r="D53" s="134"/>
      <c r="E53" s="134"/>
      <c r="F53" s="134"/>
      <c r="G53" s="134"/>
      <c r="H53" s="134"/>
      <c r="I53" s="134"/>
      <c r="J53" s="134"/>
      <c r="K53" s="134"/>
      <c r="L53" s="213"/>
      <c r="M53" s="529"/>
      <c r="N53" s="529"/>
      <c r="P53" s="168"/>
      <c r="Q53" s="525"/>
      <c r="R53" s="168"/>
      <c r="S53" s="530"/>
      <c r="T53" s="533" t="s">
        <v>442</v>
      </c>
      <c r="U53" s="532"/>
      <c r="V53" s="532"/>
      <c r="W53" s="532"/>
      <c r="X53" s="532"/>
      <c r="Y53" s="532"/>
      <c r="Z53" s="532"/>
      <c r="AA53" s="532"/>
      <c r="AB53" s="532"/>
      <c r="AC53" s="532"/>
      <c r="AD53" s="532"/>
      <c r="AE53" s="532"/>
      <c r="AF53" s="532"/>
      <c r="AG53" s="532"/>
      <c r="AH53" s="532"/>
      <c r="AI53" s="532"/>
      <c r="AJ53" s="532"/>
      <c r="AK53" s="532"/>
      <c r="AM53" s="130"/>
      <c r="AN53" s="130" t="str">
        <f t="shared" si="36"/>
        <v xml:space="preserve">Добавить наименование тарифа</v>
      </c>
      <c r="AO53" s="130"/>
      <c r="AP53" s="130"/>
      <c r="AQ53" s="57">
        <v>0</v>
      </c>
    </row>
    <row r="54" ht="11.5" customHeight="1">
      <c r="M54" s="53"/>
      <c r="N54" s="53"/>
      <c r="O54" s="53"/>
      <c r="P54" s="50"/>
      <c r="Q54" s="50"/>
      <c r="R54" s="50"/>
      <c r="S54" s="50"/>
      <c r="AL54" s="50"/>
      <c r="AM54" s="50"/>
      <c r="AN54" s="50"/>
      <c r="AO54" s="50"/>
      <c r="AP54" s="50"/>
      <c r="AQ54" s="50">
        <v>11</v>
      </c>
    </row>
    <row r="55" ht="14.65" customHeight="1">
      <c r="O55" s="53"/>
      <c r="S55" s="477"/>
      <c r="T55" s="575"/>
      <c r="U55" s="575"/>
      <c r="V55" s="575"/>
      <c r="W55" s="575"/>
      <c r="X55" s="575"/>
      <c r="Y55" s="575"/>
      <c r="Z55" s="575"/>
      <c r="AA55" s="575"/>
      <c r="AB55" s="575"/>
      <c r="AC55" s="575"/>
      <c r="AD55" s="575"/>
      <c r="AE55" s="575"/>
      <c r="AF55" s="575"/>
      <c r="AG55" s="575"/>
      <c r="AH55" s="575"/>
      <c r="AI55" s="575"/>
      <c r="AJ55" s="575"/>
      <c r="AK55" s="575"/>
      <c r="AQ55" s="50">
        <v>14</v>
      </c>
    </row>
    <row r="56" ht="14.65" customHeight="1">
      <c r="O56" s="53"/>
      <c r="AQ56" s="50">
        <v>14</v>
      </c>
    </row>
    <row r="57" ht="14.65" customHeight="1">
      <c r="O57" s="53"/>
      <c r="S57" s="477"/>
      <c r="T57" s="575"/>
      <c r="U57" s="575"/>
      <c r="V57" s="575"/>
      <c r="W57" s="575"/>
      <c r="X57" s="575"/>
      <c r="Y57" s="575"/>
      <c r="Z57" s="575"/>
      <c r="AA57" s="575"/>
      <c r="AB57" s="575"/>
      <c r="AC57" s="575"/>
      <c r="AD57" s="575"/>
      <c r="AE57" s="575"/>
      <c r="AF57" s="575"/>
      <c r="AG57" s="575"/>
      <c r="AH57" s="575"/>
      <c r="AI57" s="575"/>
      <c r="AJ57" s="575"/>
      <c r="AK57" s="575"/>
      <c r="AQ57" s="50">
        <v>14</v>
      </c>
    </row>
    <row r="58" ht="22.5" hidden="1" customHeight="1">
      <c r="A58" s="53" t="s">
        <v>81</v>
      </c>
      <c r="B58" s="53">
        <v>0</v>
      </c>
      <c r="C58" s="53">
        <v>0</v>
      </c>
      <c r="D58" s="53">
        <v>0</v>
      </c>
      <c r="E58" s="53">
        <v>0</v>
      </c>
      <c r="F58" s="53">
        <v>0</v>
      </c>
      <c r="G58" s="53">
        <v>0</v>
      </c>
      <c r="H58" s="53">
        <v>0</v>
      </c>
      <c r="I58" s="53">
        <v>0</v>
      </c>
      <c r="J58" s="53">
        <v>0</v>
      </c>
      <c r="K58" s="53">
        <v>0</v>
      </c>
      <c r="L58" s="114">
        <v>0</v>
      </c>
      <c r="M58" s="61">
        <v>0</v>
      </c>
      <c r="N58" s="61">
        <v>0</v>
      </c>
      <c r="O58" s="61">
        <v>0</v>
      </c>
      <c r="P58" s="60">
        <v>3</v>
      </c>
      <c r="Q58" s="479">
        <v>3</v>
      </c>
      <c r="R58" s="479">
        <v>3</v>
      </c>
      <c r="S58" s="86">
        <v>12</v>
      </c>
      <c r="T58" s="50">
        <v>35</v>
      </c>
      <c r="U58" s="50">
        <v>0</v>
      </c>
      <c r="V58" s="50">
        <v>0</v>
      </c>
      <c r="W58" s="50">
        <v>0</v>
      </c>
      <c r="X58" s="50">
        <v>0</v>
      </c>
      <c r="Y58" s="50">
        <v>0</v>
      </c>
      <c r="Z58" s="50">
        <v>0</v>
      </c>
      <c r="AA58" s="50">
        <v>0</v>
      </c>
      <c r="AB58" s="50">
        <v>0</v>
      </c>
      <c r="AC58" s="50">
        <v>24</v>
      </c>
      <c r="AD58" s="50">
        <v>24</v>
      </c>
      <c r="AE58" s="50">
        <v>24</v>
      </c>
      <c r="AF58" s="50">
        <v>11</v>
      </c>
      <c r="AG58" s="50">
        <v>3</v>
      </c>
      <c r="AH58" s="50">
        <v>11</v>
      </c>
      <c r="AI58" s="50">
        <v>0</v>
      </c>
      <c r="AJ58" s="50">
        <v>4</v>
      </c>
      <c r="AK58" s="50">
        <v>115</v>
      </c>
      <c r="AL58" s="57">
        <v>10</v>
      </c>
      <c r="AM58" s="57">
        <v>10</v>
      </c>
      <c r="AN58" s="57">
        <v>10</v>
      </c>
      <c r="AO58" s="57">
        <v>10</v>
      </c>
      <c r="AP58" s="57">
        <v>10</v>
      </c>
      <c r="AQ58" s="50">
        <v>23</v>
      </c>
    </row>
  </sheetData>
  <sheetProtection autoFilter="0" deleteColumns="1" deleteRows="1" formatCells="1" formatColumns="0" formatRows="0" insertColumns="1" insertHyperlinks="1" insertRows="1" objects="0" pivotTables="1" scenarios="0" selectLockedCells="0" selectUnlockedCells="0" sheet="1" sort="1"/>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Z7:Z8"/>
    <mergeCell ref="AA7:AA8"/>
    <mergeCell ref="AB7:AB8"/>
    <mergeCell ref="AF7:AF8"/>
    <mergeCell ref="AG7:AG8"/>
    <mergeCell ref="AH7:AH8"/>
    <mergeCell ref="AI7:AI8"/>
    <mergeCell ref="AK7:AK8"/>
    <mergeCell ref="AF15:AF16"/>
    <mergeCell ref="AG15:AG16"/>
    <mergeCell ref="AH15:AH16"/>
    <mergeCell ref="AI15:AI16"/>
    <mergeCell ref="S24:AH24"/>
    <mergeCell ref="S25:AH25"/>
    <mergeCell ref="S27:T27"/>
    <mergeCell ref="V27:AA27"/>
    <mergeCell ref="AC27:AH27"/>
    <mergeCell ref="S28:T28"/>
    <mergeCell ref="V28:AA28"/>
    <mergeCell ref="AC28:AH28"/>
    <mergeCell ref="S29:T29"/>
    <mergeCell ref="V29:AA29"/>
    <mergeCell ref="AC29:AH29"/>
    <mergeCell ref="S30:T30"/>
    <mergeCell ref="V30:AA30"/>
    <mergeCell ref="AC30:AH30"/>
    <mergeCell ref="S32:T32"/>
    <mergeCell ref="V32:AA32"/>
    <mergeCell ref="AC32:AH32"/>
    <mergeCell ref="S33:T33"/>
    <mergeCell ref="V33:AA33"/>
    <mergeCell ref="AC33:AH33"/>
    <mergeCell ref="V35:AB35"/>
    <mergeCell ref="AC35:AI35"/>
    <mergeCell ref="S36:AJ36"/>
    <mergeCell ref="AK36:AK39"/>
    <mergeCell ref="S37:S39"/>
    <mergeCell ref="T37:T39"/>
    <mergeCell ref="V37:AA37"/>
    <mergeCell ref="AB37:AB39"/>
    <mergeCell ref="AC37:AH37"/>
    <mergeCell ref="AI37:AI39"/>
    <mergeCell ref="AJ37:AJ39"/>
    <mergeCell ref="W38:X38"/>
    <mergeCell ref="Y38:AA38"/>
    <mergeCell ref="AD38:AE38"/>
    <mergeCell ref="AF38:AH38"/>
    <mergeCell ref="Z39:AA39"/>
    <mergeCell ref="AG39:AH39"/>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K46:K47"/>
    <mergeCell ref="Y46:Y47"/>
    <mergeCell ref="Z46:Z47"/>
    <mergeCell ref="AA46:AA47"/>
    <mergeCell ref="AB46:AB47"/>
    <mergeCell ref="AF46:AF47"/>
    <mergeCell ref="AG46:AG47"/>
    <mergeCell ref="AH46:AH47"/>
    <mergeCell ref="AI46:AI47"/>
    <mergeCell ref="AK46:AK47"/>
    <mergeCell ref="T55:AK55"/>
    <mergeCell ref="T57:AK57"/>
  </mergeCells>
  <dataValidations count="4" disablePrompts="0">
    <dataValidation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type="none" allowBlank="1" errorStyle="stop" imeMode="noControl" operator="between" promptTitle="checkPeriodRange" showDropDown="0" showErrorMessage="0" showInputMessage="0"/>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S131116:AK131122 S196652:AK196658 S262188:AK262194 S327724:AK327730 S393260:AK393266 S458796:AK458802 S524332:AK524338 S589868:AK589874 S655404:AK655410 S720940:AK720946 S786476:AK786482 S852012:AK852018 S917548:AK917554 S983084:AK983090 S65580:AK65586"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8D0018-0001-4C64-9CF6-00FC00C10071}" type="list" allowBlank="1" error="Выберите значение из списка" errorStyle="stop" errorTitle="Ошибка" imeMode="noControl" operator="between" showDropDown="0"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 xr:uid="{00BE00E2-00ED-4A1E-A8F6-004700A000E8}" type="textLength" allowBlank="1" error="Допускается ввод не более 900 символов!" errorStyle="stop" errorTitle="Ошибка" imeMode="noControl" operator="lessThanOrEqual" showDropDown="0"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xm:sqref>
        </x14:dataValidation>
        <x14:dataValidation xr:uid="{003900EE-0012-41E0-9741-0086002B0037}" type="list" allowBlank="1" error="Выберите значение из списка" errorStyle="stop" errorTitle="Ошибка" imeMode="noControl" operator="between" showDropDown="0" showErrorMessage="1" showInputMessage="1">
          <x14:formula1>
            <xm:f>kind_of_heat_transfer</xm:f>
          </x14:formula1>
          <xm:sqref>T65578 T131114 T196650 T262186 T327722 T393258 T458794 T524330 T589866 T655402 T720938 T786474 T852010 T917546 T983082</xm:sqref>
        </x14:dataValidation>
        <x14:dataValidation xr:uid="{00130053-00EF-40A2-AD67-001700D200C1}"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s>
    </ext>
  </extLst>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8" ySplit="40" topLeftCell="AC41"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4.140625"/>
    <col customWidth="1" hidden="1" min="10" max="10" style="53" width="9.8515625"/>
    <col customWidth="1" hidden="1" min="11" max="11" style="53" width="14.7109375"/>
    <col customWidth="1" hidden="1" min="12" max="12" style="114" width="19.140625"/>
    <col customWidth="1" hidden="1" min="13" max="14" style="61" width="12.28125"/>
    <col customWidth="1" hidden="1" min="15" max="15" style="61" width="23.421875"/>
    <col customWidth="1" min="16" max="16" style="60" width="3.00390625"/>
    <col customWidth="1" min="17" max="18" style="479" width="3.00390625"/>
    <col customWidth="1" min="19" max="19" style="86" width="12.00390625"/>
    <col customWidth="1" min="20" max="20" style="50" width="35.00390625"/>
    <col customWidth="1" min="21" max="21" style="50" width="0.140625"/>
    <col customWidth="1" hidden="1" min="22" max="24" style="50" width="24.7109375"/>
    <col customWidth="1" hidden="1" min="25" max="25" style="50" width="11.7109375"/>
    <col customWidth="1" hidden="1" min="26" max="26" style="50" width="3.7109375"/>
    <col customWidth="1" hidden="1" min="27" max="27" style="50" width="11.7109375"/>
    <col customWidth="1" hidden="1" min="28" max="28" style="50" width="8.57421875"/>
    <col customWidth="1" min="29" max="29" style="50" width="24.7109375"/>
    <col customWidth="1" min="30" max="31" style="50" width="24.00390625"/>
    <col customWidth="1" min="32" max="32" style="50" width="11.00390625"/>
    <col customWidth="1" min="33" max="33" style="50" width="3.7109375"/>
    <col customWidth="1" min="34" max="34" style="50" width="11.00390625"/>
    <col customWidth="1" hidden="1" min="35" max="35" style="50" width="8.57421875"/>
    <col customWidth="1" min="36" max="36" style="50" width="4.00390625"/>
    <col customWidth="1" min="37" max="37" style="50" width="115.00390625"/>
    <col customWidth="1" min="38" max="42" style="57" width="10.00390625"/>
    <col hidden="1" min="43" max="43" style="50" width="10.57421875"/>
  </cols>
  <sheetData>
    <row r="1" ht="22.5" hidden="1" customHeight="1">
      <c r="X1" s="50"/>
      <c r="Y1" s="50"/>
      <c r="AE1" s="50"/>
      <c r="AF1" s="50"/>
      <c r="AQ1" s="50" t="s">
        <v>14</v>
      </c>
    </row>
    <row r="2" ht="23.25" hidden="1" customHeight="1">
      <c r="A2" s="480"/>
      <c r="B2" s="480"/>
      <c r="C2" s="480"/>
      <c r="D2" s="480"/>
      <c r="E2" s="481">
        <v>1</v>
      </c>
      <c r="F2" s="480"/>
      <c r="G2" s="480"/>
      <c r="H2" s="480"/>
      <c r="I2" s="480"/>
      <c r="J2" s="480"/>
      <c r="K2" s="480"/>
      <c r="L2" s="482"/>
      <c r="M2" s="483"/>
      <c r="N2" s="483"/>
      <c r="O2" s="483"/>
      <c r="P2" s="60"/>
      <c r="Q2" s="144"/>
      <c r="R2" s="484"/>
      <c r="S2" s="485" t="e">
        <f>INDEX(PT_DIFFERENTIATION_NUM_NTAR,MATCH(A2,PT_DIFFERENTIATION_NTAR_ID,0))</f>
        <v>#VALUE!</v>
      </c>
      <c r="T2" s="486" t="s">
        <v>119</v>
      </c>
      <c r="U2" s="487"/>
      <c r="V2" s="488"/>
      <c r="W2" s="489"/>
      <c r="X2" s="489"/>
      <c r="Y2" s="489"/>
      <c r="Z2" s="489"/>
      <c r="AA2" s="489"/>
      <c r="AB2" s="490"/>
      <c r="AC2" s="488" t="e">
        <f>INDEX(PT_DIFFERENTIATION_NTAR,MATCH(A2,PT_DIFFERENTIATION_NTAR_ID,0))</f>
        <v>#VALUE!</v>
      </c>
      <c r="AD2" s="489"/>
      <c r="AE2" s="489"/>
      <c r="AF2" s="489"/>
      <c r="AG2" s="489"/>
      <c r="AH2" s="489"/>
      <c r="AI2" s="489"/>
      <c r="AJ2" s="490"/>
      <c r="AK2" s="49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130"/>
      <c r="AN2" s="130" t="str">
        <f t="shared" ref="AN2:AN9" si="37">IF(T2="","",T2)</f>
        <v xml:space="preserve">Наименование тарифа</v>
      </c>
      <c r="AO2" s="130"/>
      <c r="AP2" s="130"/>
      <c r="AQ2" s="50">
        <v>0</v>
      </c>
    </row>
    <row r="3" ht="23.25" hidden="1" customHeight="1">
      <c r="A3" s="480"/>
      <c r="B3" s="480"/>
      <c r="C3" s="480"/>
      <c r="D3" s="480"/>
      <c r="E3" s="492"/>
      <c r="F3" s="481">
        <v>1</v>
      </c>
      <c r="G3" s="480"/>
      <c r="H3" s="480"/>
      <c r="I3" s="480"/>
      <c r="J3" s="480"/>
      <c r="K3" s="480"/>
      <c r="L3" s="482"/>
      <c r="M3" s="483"/>
      <c r="N3" s="483"/>
      <c r="O3" s="483"/>
      <c r="P3" s="51"/>
      <c r="Q3" s="493"/>
      <c r="R3" s="494"/>
      <c r="S3" s="485" t="e">
        <f>INDEX(PT_DIFFERENTIATION_NUM_TER,MATCH(B3,PT_DIFFERENTIATION_TER_ID,0))</f>
        <v>#VALUE!</v>
      </c>
      <c r="T3" s="495" t="s">
        <v>391</v>
      </c>
      <c r="U3" s="487"/>
      <c r="V3" s="488"/>
      <c r="W3" s="489"/>
      <c r="X3" s="489"/>
      <c r="Y3" s="489"/>
      <c r="Z3" s="489"/>
      <c r="AA3" s="489"/>
      <c r="AB3" s="490"/>
      <c r="AC3" s="488" t="e">
        <f>INDEX(PT_DIFFERENTIATION_TER,MATCH(B3,PT_DIFFERENTIATION_TER_ID,0))</f>
        <v>#VALUE!</v>
      </c>
      <c r="AD3" s="489"/>
      <c r="AE3" s="489"/>
      <c r="AF3" s="489"/>
      <c r="AG3" s="489"/>
      <c r="AH3" s="489"/>
      <c r="AI3" s="489"/>
      <c r="AJ3" s="490"/>
      <c r="AK3" s="491" t="s">
        <v>392</v>
      </c>
      <c r="AM3" s="130"/>
      <c r="AN3" s="130" t="str">
        <f t="shared" si="37"/>
        <v xml:space="preserve">Территория действия тарифа</v>
      </c>
      <c r="AO3" s="130"/>
      <c r="AP3" s="130"/>
      <c r="AQ3" s="50">
        <v>0</v>
      </c>
    </row>
    <row r="4" ht="23.25" hidden="1" customHeight="1">
      <c r="A4" s="480"/>
      <c r="B4" s="480"/>
      <c r="C4" s="480"/>
      <c r="D4" s="480"/>
      <c r="E4" s="492"/>
      <c r="F4" s="492"/>
      <c r="G4" s="481">
        <v>1</v>
      </c>
      <c r="H4" s="480"/>
      <c r="I4" s="480"/>
      <c r="J4" s="480"/>
      <c r="K4" s="480"/>
      <c r="L4" s="482"/>
      <c r="M4" s="483"/>
      <c r="N4" s="483"/>
      <c r="O4" s="483"/>
      <c r="P4" s="496"/>
      <c r="Q4" s="493"/>
      <c r="R4" s="494"/>
      <c r="S4" s="485" t="e">
        <f>INDEX(PT_DIFFERENTIATION_NUM_CS,MATCH(C4,PT_DIFFERENTIATION_CS_ID,0))</f>
        <v>#VALUE!</v>
      </c>
      <c r="T4" s="497" t="s">
        <v>510</v>
      </c>
      <c r="U4" s="487"/>
      <c r="V4" s="488"/>
      <c r="W4" s="489"/>
      <c r="X4" s="489"/>
      <c r="Y4" s="489"/>
      <c r="Z4" s="489"/>
      <c r="AA4" s="489"/>
      <c r="AB4" s="490"/>
      <c r="AC4" s="488" t="e">
        <f>INDEX(PT_DIFFERENTIATION_CS,MATCH(C4,PT_DIFFERENTIATION_CS_ID,0))</f>
        <v>#VALUE!</v>
      </c>
      <c r="AD4" s="489"/>
      <c r="AE4" s="489"/>
      <c r="AF4" s="489"/>
      <c r="AG4" s="489"/>
      <c r="AH4" s="489"/>
      <c r="AI4" s="489"/>
      <c r="AJ4" s="490"/>
      <c r="AK4" s="491" t="s">
        <v>511</v>
      </c>
      <c r="AM4" s="130"/>
      <c r="AN4" s="130" t="str">
        <f t="shared" si="37"/>
        <v xml:space="preserve">Наименование централизованной системы водоотведения</v>
      </c>
      <c r="AO4" s="130"/>
      <c r="AP4" s="130"/>
      <c r="AQ4" s="50">
        <v>0</v>
      </c>
    </row>
    <row r="5" ht="23.25" hidden="1" customHeight="1">
      <c r="A5" s="480"/>
      <c r="B5" s="480"/>
      <c r="C5" s="480"/>
      <c r="D5" s="480"/>
      <c r="E5" s="492"/>
      <c r="F5" s="492"/>
      <c r="G5" s="492"/>
      <c r="H5" s="492"/>
      <c r="I5" s="499" t="e">
        <f>S4&amp;".1"</f>
        <v>#VALUE!</v>
      </c>
      <c r="J5" s="480"/>
      <c r="K5" s="480"/>
      <c r="L5" s="482"/>
      <c r="P5" s="133">
        <v>1</v>
      </c>
      <c r="Q5" s="133"/>
      <c r="R5" s="500"/>
      <c r="S5" s="485" t="e">
        <f>$I5</f>
        <v>#VALUE!</v>
      </c>
      <c r="T5" s="501" t="s">
        <v>477</v>
      </c>
      <c r="U5" s="487"/>
      <c r="V5" s="677"/>
      <c r="W5" s="678"/>
      <c r="X5" s="678"/>
      <c r="Y5" s="678"/>
      <c r="Z5" s="678"/>
      <c r="AA5" s="678"/>
      <c r="AB5" s="679"/>
      <c r="AC5" s="680"/>
      <c r="AD5" s="681"/>
      <c r="AE5" s="681"/>
      <c r="AF5" s="681"/>
      <c r="AG5" s="681"/>
      <c r="AH5" s="681"/>
      <c r="AI5" s="681"/>
      <c r="AJ5" s="682"/>
      <c r="AK5" s="491" t="s">
        <v>478</v>
      </c>
      <c r="AM5" s="130"/>
      <c r="AN5" s="130" t="str">
        <f t="shared" si="37"/>
        <v xml:space="preserve">Наименование признака дифференциации</v>
      </c>
      <c r="AO5" s="130"/>
      <c r="AP5" s="130"/>
      <c r="AQ5" s="50">
        <v>0</v>
      </c>
    </row>
    <row r="6" ht="23.25" hidden="1" customHeight="1">
      <c r="A6" s="480"/>
      <c r="B6" s="480"/>
      <c r="C6" s="480"/>
      <c r="D6" s="480"/>
      <c r="E6" s="492"/>
      <c r="F6" s="492"/>
      <c r="G6" s="492"/>
      <c r="H6" s="492"/>
      <c r="I6" s="504"/>
      <c r="J6" s="499" t="e">
        <f>I5&amp;".1"</f>
        <v>#VALUE!</v>
      </c>
      <c r="K6" s="480"/>
      <c r="L6" s="482" t="s">
        <v>400</v>
      </c>
      <c r="P6" s="133"/>
      <c r="Q6" s="133">
        <v>1</v>
      </c>
      <c r="R6" s="505"/>
      <c r="S6" s="485" t="e">
        <f>$J6</f>
        <v>#VALUE!</v>
      </c>
      <c r="T6" s="506" t="s">
        <v>401</v>
      </c>
      <c r="U6" s="487"/>
      <c r="V6" s="432"/>
      <c r="W6" s="502"/>
      <c r="X6" s="502"/>
      <c r="Y6" s="502"/>
      <c r="Z6" s="502"/>
      <c r="AA6" s="502"/>
      <c r="AB6" s="503"/>
      <c r="AC6" s="432"/>
      <c r="AD6" s="502"/>
      <c r="AE6" s="502"/>
      <c r="AF6" s="502"/>
      <c r="AG6" s="502"/>
      <c r="AH6" s="502"/>
      <c r="AI6" s="502"/>
      <c r="AJ6" s="503"/>
      <c r="AK6" s="618" t="s">
        <v>479</v>
      </c>
      <c r="AM6" s="130"/>
      <c r="AN6" s="130" t="str">
        <f t="shared" si="37"/>
        <v xml:space="preserve">Группа потребителей</v>
      </c>
      <c r="AO6" s="130"/>
      <c r="AP6" s="130"/>
      <c r="AQ6" s="50">
        <v>0</v>
      </c>
    </row>
    <row r="7" ht="23.25" hidden="1" customHeight="1">
      <c r="A7" s="480"/>
      <c r="B7" s="480"/>
      <c r="C7" s="480"/>
      <c r="D7" s="480"/>
      <c r="E7" s="492"/>
      <c r="F7" s="492"/>
      <c r="G7" s="492"/>
      <c r="H7" s="492"/>
      <c r="I7" s="504"/>
      <c r="J7" s="504"/>
      <c r="K7" s="499" t="e">
        <f>J6&amp;".1"</f>
        <v>#VALUE!</v>
      </c>
      <c r="L7" s="482"/>
      <c r="P7" s="133"/>
      <c r="Q7" s="133"/>
      <c r="R7" s="505">
        <v>1</v>
      </c>
      <c r="S7" s="485" t="e">
        <f>$K7</f>
        <v>#VALUE!</v>
      </c>
      <c r="T7" s="683"/>
      <c r="U7" s="487"/>
      <c r="V7" s="508"/>
      <c r="W7" s="508"/>
      <c r="X7" s="510"/>
      <c r="Y7" s="511"/>
      <c r="Z7" s="225" t="s">
        <v>64</v>
      </c>
      <c r="AA7" s="511"/>
      <c r="AB7" s="225" t="s">
        <v>64</v>
      </c>
      <c r="AC7" s="508"/>
      <c r="AD7" s="508"/>
      <c r="AE7" s="510"/>
      <c r="AF7" s="511"/>
      <c r="AG7" s="225" t="s">
        <v>64</v>
      </c>
      <c r="AH7" s="571"/>
      <c r="AI7" s="225" t="s">
        <v>64</v>
      </c>
      <c r="AJ7" s="684"/>
      <c r="AK7" s="68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 t="e">
        <f>STRCHECKDATE(V8:AJ8)</f>
        <v>#NAME?</v>
      </c>
      <c r="AM7" s="130"/>
      <c r="AN7" s="130" t="str">
        <f t="shared" si="37"/>
        <v/>
      </c>
      <c r="AO7" s="130"/>
      <c r="AP7" s="130"/>
      <c r="AQ7" s="50">
        <v>0</v>
      </c>
    </row>
    <row r="8" ht="14.25" hidden="1" customHeight="1">
      <c r="A8" s="480"/>
      <c r="B8" s="480"/>
      <c r="C8" s="480"/>
      <c r="D8" s="480"/>
      <c r="E8" s="492"/>
      <c r="F8" s="492"/>
      <c r="G8" s="492"/>
      <c r="H8" s="492"/>
      <c r="I8" s="504"/>
      <c r="J8" s="504"/>
      <c r="K8" s="499"/>
      <c r="L8" s="482"/>
      <c r="P8" s="133"/>
      <c r="Q8" s="133"/>
      <c r="R8" s="505"/>
      <c r="S8" s="459"/>
      <c r="T8" s="487"/>
      <c r="U8" s="487"/>
      <c r="V8" s="509"/>
      <c r="W8" s="509"/>
      <c r="X8" s="513" t="str">
        <f>Y7&amp;"-"&amp;AA7</f>
        <v>-</v>
      </c>
      <c r="Y8" s="514"/>
      <c r="Z8" s="225"/>
      <c r="AA8" s="514"/>
      <c r="AB8" s="225"/>
      <c r="AC8" s="509"/>
      <c r="AD8" s="509"/>
      <c r="AE8" s="513" t="str">
        <f>AF7&amp;"-"&amp;AH7</f>
        <v>-</v>
      </c>
      <c r="AF8" s="514"/>
      <c r="AG8" s="225"/>
      <c r="AH8" s="573"/>
      <c r="AI8" s="225"/>
      <c r="AJ8" s="686"/>
      <c r="AK8" s="685"/>
      <c r="AM8" s="130"/>
      <c r="AN8" s="130" t="str">
        <f t="shared" si="37"/>
        <v/>
      </c>
      <c r="AO8" s="130"/>
      <c r="AP8" s="130"/>
      <c r="AQ8" s="50">
        <v>0</v>
      </c>
    </row>
    <row r="9" ht="21" hidden="1" customHeight="1">
      <c r="A9" s="480"/>
      <c r="B9" s="480"/>
      <c r="C9" s="480"/>
      <c r="D9" s="480"/>
      <c r="E9" s="492"/>
      <c r="F9" s="492"/>
      <c r="G9" s="492"/>
      <c r="H9" s="492"/>
      <c r="I9" s="504"/>
      <c r="J9" s="499"/>
      <c r="K9" s="480"/>
      <c r="L9" s="482"/>
      <c r="P9" s="133"/>
      <c r="Q9" s="133"/>
      <c r="R9" s="500"/>
      <c r="S9" s="516"/>
      <c r="T9" s="520" t="s">
        <v>480</v>
      </c>
      <c r="U9" s="215"/>
      <c r="V9" s="215"/>
      <c r="W9" s="215"/>
      <c r="X9" s="215"/>
      <c r="Y9" s="215"/>
      <c r="Z9" s="215"/>
      <c r="AA9" s="215"/>
      <c r="AB9" s="215"/>
      <c r="AC9" s="215"/>
      <c r="AD9" s="215"/>
      <c r="AE9" s="215"/>
      <c r="AF9" s="215"/>
      <c r="AG9" s="215"/>
      <c r="AH9" s="215"/>
      <c r="AI9" s="215"/>
      <c r="AJ9" s="215"/>
      <c r="AK9" s="491" t="s">
        <v>481</v>
      </c>
      <c r="AM9" s="130"/>
      <c r="AN9" s="130" t="str">
        <f t="shared" si="37"/>
        <v xml:space="preserve">Добавить значение признака дифференциации</v>
      </c>
      <c r="AO9" s="130"/>
      <c r="AP9" s="130"/>
      <c r="AQ9" s="50">
        <v>0</v>
      </c>
    </row>
    <row r="10" ht="21" hidden="1" customHeight="1">
      <c r="A10" s="480"/>
      <c r="B10" s="480"/>
      <c r="C10" s="480"/>
      <c r="D10" s="480"/>
      <c r="E10" s="492"/>
      <c r="F10" s="492"/>
      <c r="G10" s="492"/>
      <c r="H10" s="492"/>
      <c r="I10" s="499"/>
      <c r="J10" s="480"/>
      <c r="K10" s="480"/>
      <c r="L10" s="482"/>
      <c r="P10" s="133"/>
      <c r="Q10" s="133"/>
      <c r="R10" s="500"/>
      <c r="S10" s="516"/>
      <c r="T10" s="524" t="s">
        <v>406</v>
      </c>
      <c r="U10" s="215"/>
      <c r="V10" s="215"/>
      <c r="W10" s="215"/>
      <c r="X10" s="215"/>
      <c r="Y10" s="215"/>
      <c r="Z10" s="215"/>
      <c r="AA10" s="215"/>
      <c r="AB10" s="521"/>
      <c r="AC10" s="215"/>
      <c r="AD10" s="215"/>
      <c r="AE10" s="215"/>
      <c r="AF10" s="215"/>
      <c r="AG10" s="215"/>
      <c r="AH10" s="215"/>
      <c r="AI10" s="521"/>
      <c r="AJ10" s="215"/>
      <c r="AK10" s="687"/>
      <c r="AM10" s="130"/>
      <c r="AN10" s="130" t="str">
        <f t="shared" ref="AN10:AN53" si="38">IF(T10="","",T10)</f>
        <v xml:space="preserve">Добавить группу потребителей</v>
      </c>
      <c r="AO10" s="130"/>
      <c r="AP10" s="130"/>
      <c r="AQ10" s="50">
        <v>0</v>
      </c>
    </row>
    <row r="11" ht="21" hidden="1" customHeight="1">
      <c r="A11" s="480"/>
      <c r="B11" s="480"/>
      <c r="C11" s="480"/>
      <c r="D11" s="480"/>
      <c r="E11" s="492"/>
      <c r="F11" s="492"/>
      <c r="G11" s="492"/>
      <c r="H11" s="481"/>
      <c r="I11" s="480"/>
      <c r="J11" s="480"/>
      <c r="K11" s="480"/>
      <c r="L11" s="482"/>
      <c r="M11" s="483"/>
      <c r="N11" s="483"/>
      <c r="O11" s="53"/>
      <c r="P11" s="144"/>
      <c r="Q11" s="523"/>
      <c r="R11" s="484"/>
      <c r="S11" s="516"/>
      <c r="T11" s="688" t="s">
        <v>482</v>
      </c>
      <c r="U11" s="215"/>
      <c r="V11" s="215"/>
      <c r="W11" s="215"/>
      <c r="X11" s="215"/>
      <c r="Y11" s="215"/>
      <c r="Z11" s="215"/>
      <c r="AA11" s="215"/>
      <c r="AB11" s="521"/>
      <c r="AC11" s="215"/>
      <c r="AD11" s="215"/>
      <c r="AE11" s="215"/>
      <c r="AF11" s="215"/>
      <c r="AG11" s="215"/>
      <c r="AH11" s="215"/>
      <c r="AI11" s="521"/>
      <c r="AJ11" s="215"/>
      <c r="AK11" s="522"/>
      <c r="AM11" s="130"/>
      <c r="AN11" s="130" t="str">
        <f t="shared" si="38"/>
        <v xml:space="preserve">Добавить наименование признака дифференциации</v>
      </c>
      <c r="AO11" s="130"/>
      <c r="AP11" s="130"/>
      <c r="AQ11" s="50">
        <v>0</v>
      </c>
    </row>
    <row r="12" s="57" customFormat="1" ht="14.25" hidden="1" customHeight="1">
      <c r="A12" s="134"/>
      <c r="B12" s="134"/>
      <c r="C12" s="134"/>
      <c r="D12" s="134"/>
      <c r="E12" s="492"/>
      <c r="F12" s="481"/>
      <c r="G12" s="134"/>
      <c r="H12" s="134"/>
      <c r="I12" s="134"/>
      <c r="J12" s="134"/>
      <c r="K12" s="134"/>
      <c r="L12" s="213"/>
      <c r="M12" s="529"/>
      <c r="N12" s="529"/>
      <c r="P12" s="168"/>
      <c r="Q12" s="525"/>
      <c r="R12" s="168"/>
      <c r="S12" s="530"/>
      <c r="T12" s="533" t="s">
        <v>409</v>
      </c>
      <c r="U12" s="532"/>
      <c r="V12" s="532"/>
      <c r="W12" s="532"/>
      <c r="X12" s="532"/>
      <c r="Y12" s="532"/>
      <c r="Z12" s="532"/>
      <c r="AA12" s="532"/>
      <c r="AB12" s="532"/>
      <c r="AC12" s="532"/>
      <c r="AD12" s="532"/>
      <c r="AE12" s="532"/>
      <c r="AF12" s="532"/>
      <c r="AG12" s="532"/>
      <c r="AH12" s="532"/>
      <c r="AI12" s="532"/>
      <c r="AJ12" s="532"/>
      <c r="AK12" s="532"/>
      <c r="AM12" s="130"/>
      <c r="AN12" s="130" t="str">
        <f t="shared" si="38"/>
        <v xml:space="preserve">Добавить централизованную систему для дифференциации</v>
      </c>
      <c r="AO12" s="130"/>
      <c r="AP12" s="130"/>
      <c r="AQ12" s="57">
        <v>0</v>
      </c>
    </row>
    <row r="13" s="57" customFormat="1" ht="14.25" hidden="1" customHeight="1">
      <c r="A13" s="134"/>
      <c r="B13" s="134"/>
      <c r="C13" s="134"/>
      <c r="D13" s="134"/>
      <c r="E13" s="481"/>
      <c r="F13" s="134"/>
      <c r="G13" s="134"/>
      <c r="H13" s="134"/>
      <c r="I13" s="134"/>
      <c r="J13" s="134"/>
      <c r="K13" s="134"/>
      <c r="L13" s="213"/>
      <c r="M13" s="529"/>
      <c r="N13" s="529"/>
      <c r="O13" s="57"/>
      <c r="P13" s="168"/>
      <c r="Q13" s="525"/>
      <c r="R13" s="168"/>
      <c r="S13" s="530"/>
      <c r="T13" s="533" t="s">
        <v>410</v>
      </c>
      <c r="U13" s="532"/>
      <c r="V13" s="532"/>
      <c r="W13" s="532"/>
      <c r="X13" s="532"/>
      <c r="Y13" s="532"/>
      <c r="Z13" s="532"/>
      <c r="AA13" s="532"/>
      <c r="AB13" s="532"/>
      <c r="AC13" s="532"/>
      <c r="AD13" s="532"/>
      <c r="AE13" s="532"/>
      <c r="AF13" s="532"/>
      <c r="AG13" s="532"/>
      <c r="AH13" s="532"/>
      <c r="AI13" s="532"/>
      <c r="AJ13" s="532"/>
      <c r="AK13" s="532"/>
      <c r="AM13" s="130"/>
      <c r="AN13" s="130" t="str">
        <f t="shared" si="38"/>
        <v xml:space="preserve">Добавить территорию для дифференциации</v>
      </c>
      <c r="AO13" s="130"/>
      <c r="AP13" s="130"/>
      <c r="AQ13" s="57">
        <v>0</v>
      </c>
    </row>
    <row r="14" ht="14.25" hidden="1" customHeight="1">
      <c r="AB14" s="50"/>
      <c r="AI14" s="50"/>
      <c r="AQ14" s="50">
        <v>0</v>
      </c>
    </row>
    <row r="15" ht="14.25" hidden="1" customHeight="1">
      <c r="AC15" s="534"/>
      <c r="AD15" s="534"/>
      <c r="AE15" s="535"/>
      <c r="AF15" s="536"/>
      <c r="AG15" s="537" t="s">
        <v>64</v>
      </c>
      <c r="AH15" s="536"/>
      <c r="AI15" s="537" t="s">
        <v>64</v>
      </c>
      <c r="AQ15" s="50">
        <v>0</v>
      </c>
    </row>
    <row r="16" ht="14.25" hidden="1" customHeight="1">
      <c r="AC16" s="534"/>
      <c r="AD16" s="534"/>
      <c r="AE16" s="513" t="str">
        <f>AF15&amp;"-"&amp;AH15</f>
        <v>-</v>
      </c>
      <c r="AF16" s="537"/>
      <c r="AG16" s="537"/>
      <c r="AH16" s="537"/>
      <c r="AI16" s="537"/>
      <c r="AQ16" s="50">
        <v>0</v>
      </c>
    </row>
    <row r="17" ht="14.25" hidden="1" customHeight="1">
      <c r="AI17" s="50"/>
      <c r="AQ17" s="50">
        <v>0</v>
      </c>
    </row>
    <row r="18" s="53" customFormat="1" ht="22.5" hidden="1" customHeight="1">
      <c r="L18" s="114"/>
      <c r="M18" s="61"/>
      <c r="N18" s="61"/>
      <c r="O18" s="538" t="s">
        <v>411</v>
      </c>
      <c r="P18" s="61"/>
      <c r="Q18" s="539"/>
      <c r="R18" s="539"/>
      <c r="S18" s="483"/>
      <c r="Y18" s="538"/>
      <c r="AA18" s="538"/>
      <c r="AB18" s="53"/>
      <c r="AF18" s="538"/>
      <c r="AH18" s="538"/>
      <c r="AI18" s="53"/>
      <c r="AL18" s="57"/>
      <c r="AM18" s="57"/>
      <c r="AN18" s="57"/>
      <c r="AO18" s="57"/>
      <c r="AP18" s="57"/>
      <c r="AQ18" s="53">
        <v>0</v>
      </c>
    </row>
    <row r="19" s="53" customFormat="1" ht="14.25" hidden="1" customHeight="1">
      <c r="L19" s="114"/>
      <c r="M19" s="61"/>
      <c r="N19" s="61"/>
      <c r="O19" s="61"/>
      <c r="P19" s="61"/>
      <c r="Q19" s="539"/>
      <c r="R19" s="539"/>
      <c r="S19" s="483"/>
      <c r="AB19" s="53"/>
      <c r="AI19" s="53"/>
      <c r="AL19" s="57"/>
      <c r="AM19" s="57"/>
      <c r="AN19" s="57"/>
      <c r="AO19" s="57"/>
      <c r="AP19" s="57"/>
      <c r="AQ19" s="53">
        <v>0</v>
      </c>
    </row>
    <row r="20" s="53" customFormat="1" ht="12" hidden="1" customHeight="1">
      <c r="L20" s="114"/>
      <c r="M20" s="61"/>
      <c r="N20" s="61"/>
      <c r="O20" s="482" t="s">
        <v>412</v>
      </c>
      <c r="P20" s="61"/>
      <c r="Q20" s="689"/>
      <c r="R20" s="689"/>
      <c r="S20" s="483"/>
      <c r="T20" s="53" t="s">
        <v>413</v>
      </c>
      <c r="Z20" s="152" t="s">
        <v>414</v>
      </c>
      <c r="AB20" s="152" t="s">
        <v>415</v>
      </c>
      <c r="AC20" s="53" t="s">
        <v>413</v>
      </c>
      <c r="AG20" s="152" t="s">
        <v>416</v>
      </c>
      <c r="AI20" s="152" t="s">
        <v>415</v>
      </c>
      <c r="AQ20" s="53">
        <v>0</v>
      </c>
    </row>
    <row r="21" ht="14.25" hidden="1" customHeight="1">
      <c r="O21" s="482"/>
      <c r="AQ21" s="50">
        <v>0</v>
      </c>
    </row>
    <row r="22" ht="14.25" hidden="1" customHeight="1">
      <c r="O22" s="482"/>
      <c r="AQ22" s="50">
        <v>0</v>
      </c>
    </row>
    <row r="23" ht="14.65" customHeight="1">
      <c r="Q23" s="540"/>
      <c r="R23" s="540"/>
      <c r="S23" s="541"/>
      <c r="T23" s="91"/>
      <c r="U23" s="91"/>
      <c r="V23" s="50"/>
      <c r="W23" s="50"/>
      <c r="X23" s="50"/>
      <c r="Y23" s="50"/>
      <c r="Z23" s="50"/>
      <c r="AA23" s="50"/>
      <c r="AB23" s="50"/>
      <c r="AC23" s="50"/>
      <c r="AD23" s="50"/>
      <c r="AE23" s="50"/>
      <c r="AF23" s="50"/>
      <c r="AG23" s="50"/>
      <c r="AH23" s="50"/>
      <c r="AI23" s="50"/>
      <c r="AQ23" s="50">
        <v>14</v>
      </c>
    </row>
    <row r="24" ht="14.65" customHeight="1">
      <c r="Q24" s="540"/>
      <c r="R24" s="540"/>
      <c r="S24" s="453" t="str">
        <f>IF(TEMPLATE_GROUP="P",PT_P_FORM_VOTV_4_NAME_FORM,PT_R_FORM_VOTV_16_NAME_FORM)</f>
        <v xml:space="preserve">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453"/>
      <c r="U24" s="453"/>
      <c r="V24" s="453"/>
      <c r="W24" s="453"/>
      <c r="X24" s="453"/>
      <c r="Y24" s="453"/>
      <c r="Z24" s="453"/>
      <c r="AA24" s="453"/>
      <c r="AB24" s="453"/>
      <c r="AC24" s="453"/>
      <c r="AD24" s="453"/>
      <c r="AE24" s="453"/>
      <c r="AF24" s="453"/>
      <c r="AG24" s="453"/>
      <c r="AH24" s="453"/>
      <c r="AI24" s="241"/>
      <c r="AQ24" s="50">
        <v>14</v>
      </c>
    </row>
    <row r="25" ht="14.65" customHeight="1">
      <c r="Q25" s="540"/>
      <c r="R25" s="540"/>
      <c r="S25" s="304" t="str">
        <f>IF(org=0,"Не определено",org)</f>
        <v xml:space="preserve">АО "ДГК" СП "Биробиджанская ТЭЦ"</v>
      </c>
      <c r="T25" s="304"/>
      <c r="U25" s="304"/>
      <c r="V25" s="304"/>
      <c r="W25" s="304"/>
      <c r="X25" s="304"/>
      <c r="Y25" s="304"/>
      <c r="Z25" s="304"/>
      <c r="AA25" s="304"/>
      <c r="AB25" s="304"/>
      <c r="AC25" s="304"/>
      <c r="AD25" s="304"/>
      <c r="AE25" s="304"/>
      <c r="AF25" s="304"/>
      <c r="AG25" s="304"/>
      <c r="AH25" s="304"/>
      <c r="AI25" s="241"/>
      <c r="AQ25" s="50">
        <v>14</v>
      </c>
    </row>
    <row r="26" ht="14.25" hidden="1" customHeight="1">
      <c r="Q26" s="540"/>
      <c r="R26" s="540"/>
      <c r="S26" s="541"/>
      <c r="T26" s="91"/>
      <c r="U26" s="91"/>
      <c r="V26" s="542"/>
      <c r="W26" s="542"/>
      <c r="X26" s="542"/>
      <c r="Y26" s="542"/>
      <c r="Z26" s="542"/>
      <c r="AA26" s="542"/>
      <c r="AB26" s="542"/>
      <c r="AC26" s="542"/>
      <c r="AD26" s="542"/>
      <c r="AE26" s="542"/>
      <c r="AF26" s="542"/>
      <c r="AG26" s="542"/>
      <c r="AH26" s="542"/>
      <c r="AI26" s="542"/>
      <c r="AJ26" s="50"/>
      <c r="AQ26" s="50">
        <v>0</v>
      </c>
    </row>
    <row r="27" s="185" customFormat="1" ht="25.5" hidden="1" customHeight="1">
      <c r="A27" s="152"/>
      <c r="B27" s="152"/>
      <c r="C27" s="152"/>
      <c r="D27" s="152"/>
      <c r="E27" s="152"/>
      <c r="F27" s="152"/>
      <c r="G27" s="152"/>
      <c r="H27" s="152"/>
      <c r="I27" s="152"/>
      <c r="J27" s="152"/>
      <c r="K27" s="152"/>
      <c r="L27" s="482"/>
      <c r="M27" s="152"/>
      <c r="N27" s="152"/>
      <c r="O27" s="152"/>
      <c r="S27" s="543" t="s">
        <v>41</v>
      </c>
      <c r="T27" s="543"/>
      <c r="U27" s="544"/>
      <c r="V27" s="545" t="str">
        <f>IF(TITLE_NAME_OR_PR_CHANGE="",IF(TITLE_NAME_OR_PR="","",TITLE_NAME_OR_PR),TITLE_NAME_OR_PR_CHANGE)</f>
        <v/>
      </c>
      <c r="W27" s="545"/>
      <c r="X27" s="545"/>
      <c r="Y27" s="545"/>
      <c r="Z27" s="545"/>
      <c r="AA27" s="545"/>
      <c r="AB27" s="50"/>
      <c r="AC27" s="545" t="str">
        <f>IF(TITLE_NAME_OR_PR_CHANGE="",IF(TITLE_NAME_OR_PR="","",TITLE_NAME_OR_PR),TITLE_NAME_OR_PR_CHANGE)</f>
        <v/>
      </c>
      <c r="AD27" s="545"/>
      <c r="AE27" s="545"/>
      <c r="AF27" s="545"/>
      <c r="AG27" s="545"/>
      <c r="AH27" s="545"/>
      <c r="AI27" s="50"/>
      <c r="AJ27" s="50"/>
      <c r="AK27" s="546"/>
      <c r="AL27" s="130"/>
      <c r="AM27" s="130"/>
      <c r="AN27" s="130"/>
      <c r="AO27" s="130"/>
      <c r="AP27" s="130"/>
      <c r="AQ27" s="185">
        <v>0</v>
      </c>
    </row>
    <row r="28" s="185" customFormat="1" ht="18.75" hidden="1" customHeight="1">
      <c r="A28" s="152"/>
      <c r="B28" s="152"/>
      <c r="C28" s="152"/>
      <c r="D28" s="152"/>
      <c r="E28" s="152"/>
      <c r="F28" s="152"/>
      <c r="G28" s="152"/>
      <c r="H28" s="152"/>
      <c r="I28" s="152"/>
      <c r="J28" s="152"/>
      <c r="K28" s="152"/>
      <c r="L28" s="482"/>
      <c r="M28" s="152"/>
      <c r="N28" s="152"/>
      <c r="O28" s="152"/>
      <c r="S28" s="543" t="s">
        <v>417</v>
      </c>
      <c r="T28" s="543"/>
      <c r="U28" s="544"/>
      <c r="V28" s="547" t="str">
        <f>IF(TITLE_DATE_PR_CHANGE="",IF(TITLE_DATE_PR="","",TITLE_DATE_PR),TITLE_DATE_PR_CHANGE)</f>
        <v/>
      </c>
      <c r="W28" s="547"/>
      <c r="X28" s="547"/>
      <c r="Y28" s="547"/>
      <c r="Z28" s="547"/>
      <c r="AA28" s="547"/>
      <c r="AB28" s="50"/>
      <c r="AC28" s="547" t="str">
        <f>IF(TITLE_DATE_PR_CHANGE="",IF(TITLE_DATE_PR="","",TITLE_DATE_PR),TITLE_DATE_PR_CHANGE)</f>
        <v/>
      </c>
      <c r="AD28" s="547"/>
      <c r="AE28" s="547"/>
      <c r="AF28" s="547"/>
      <c r="AG28" s="547"/>
      <c r="AH28" s="547"/>
      <c r="AI28" s="50"/>
      <c r="AJ28" s="50"/>
      <c r="AK28" s="546"/>
      <c r="AL28" s="130"/>
      <c r="AM28" s="130"/>
      <c r="AN28" s="130"/>
      <c r="AO28" s="130"/>
      <c r="AP28" s="130"/>
      <c r="AQ28" s="185">
        <v>0</v>
      </c>
    </row>
    <row r="29" s="185" customFormat="1" ht="18.75" hidden="1" customHeight="1">
      <c r="A29" s="152"/>
      <c r="B29" s="152"/>
      <c r="C29" s="152"/>
      <c r="D29" s="152"/>
      <c r="E29" s="152"/>
      <c r="F29" s="152"/>
      <c r="G29" s="152"/>
      <c r="H29" s="152"/>
      <c r="I29" s="152"/>
      <c r="J29" s="152"/>
      <c r="K29" s="152"/>
      <c r="L29" s="482"/>
      <c r="M29" s="152"/>
      <c r="N29" s="152"/>
      <c r="O29" s="152"/>
      <c r="S29" s="543" t="s">
        <v>418</v>
      </c>
      <c r="T29" s="543"/>
      <c r="U29" s="544"/>
      <c r="V29" s="545" t="str">
        <f>IF(TITLE_NUMBER_PR_CHANGE="",IF(TITLE_NUMBER_PR="","",TITLE_NUMBER_PR),TITLE_NUMBER_PR_CHANGE)</f>
        <v/>
      </c>
      <c r="W29" s="545"/>
      <c r="X29" s="545"/>
      <c r="Y29" s="545"/>
      <c r="Z29" s="545"/>
      <c r="AA29" s="545"/>
      <c r="AB29" s="50"/>
      <c r="AC29" s="545" t="str">
        <f>IF(TITLE_NUMBER_PR_CHANGE="",IF(TITLE_NUMBER_PR="","",TITLE_NUMBER_PR),TITLE_NUMBER_PR_CHANGE)</f>
        <v/>
      </c>
      <c r="AD29" s="545"/>
      <c r="AE29" s="545"/>
      <c r="AF29" s="545"/>
      <c r="AG29" s="545"/>
      <c r="AH29" s="545"/>
      <c r="AI29" s="50"/>
      <c r="AJ29" s="50"/>
      <c r="AK29" s="546"/>
      <c r="AL29" s="130"/>
      <c r="AM29" s="130"/>
      <c r="AN29" s="130"/>
      <c r="AO29" s="130"/>
      <c r="AP29" s="130"/>
      <c r="AQ29" s="185">
        <v>0</v>
      </c>
    </row>
    <row r="30" s="185" customFormat="1" ht="18.75" hidden="1" customHeight="1">
      <c r="A30" s="152"/>
      <c r="B30" s="152"/>
      <c r="C30" s="152"/>
      <c r="D30" s="152"/>
      <c r="E30" s="152"/>
      <c r="F30" s="152"/>
      <c r="G30" s="152"/>
      <c r="H30" s="152"/>
      <c r="I30" s="152"/>
      <c r="J30" s="152"/>
      <c r="K30" s="152"/>
      <c r="L30" s="482"/>
      <c r="M30" s="152"/>
      <c r="N30" s="152"/>
      <c r="O30" s="152"/>
      <c r="S30" s="543" t="s">
        <v>42</v>
      </c>
      <c r="T30" s="543"/>
      <c r="U30" s="544"/>
      <c r="V30" s="545" t="str">
        <f>IF(TITLE_IST_PUB_CHANGE="",IF(TITLE_IST_PUB="","",TITLE_IST_PUB),TITLE_IST_PUB_CHANGE)</f>
        <v/>
      </c>
      <c r="W30" s="545"/>
      <c r="X30" s="545"/>
      <c r="Y30" s="545"/>
      <c r="Z30" s="545"/>
      <c r="AA30" s="545"/>
      <c r="AB30" s="50"/>
      <c r="AC30" s="545" t="str">
        <f>IF(TITLE_IST_PUB_CHANGE="",IF(TITLE_IST_PUB="","",TITLE_IST_PUB),TITLE_IST_PUB_CHANGE)</f>
        <v/>
      </c>
      <c r="AD30" s="545"/>
      <c r="AE30" s="545"/>
      <c r="AF30" s="545"/>
      <c r="AG30" s="545"/>
      <c r="AH30" s="545"/>
      <c r="AI30" s="50"/>
      <c r="AJ30" s="50"/>
      <c r="AK30" s="546"/>
      <c r="AL30" s="130"/>
      <c r="AM30" s="130"/>
      <c r="AN30" s="130"/>
      <c r="AO30" s="130"/>
      <c r="AP30" s="130"/>
      <c r="AQ30" s="185">
        <v>0</v>
      </c>
    </row>
    <row r="31" ht="14.25" hidden="1" customHeight="1">
      <c r="Q31" s="540"/>
      <c r="R31" s="540"/>
      <c r="S31" s="541"/>
      <c r="T31" s="91"/>
      <c r="U31" s="91"/>
      <c r="V31" s="542"/>
      <c r="W31" s="542"/>
      <c r="X31" s="542"/>
      <c r="Y31" s="542"/>
      <c r="Z31" s="542"/>
      <c r="AA31" s="542"/>
      <c r="AB31" s="542"/>
      <c r="AC31" s="542"/>
      <c r="AD31" s="542"/>
      <c r="AE31" s="542"/>
      <c r="AF31" s="542"/>
      <c r="AG31" s="542"/>
      <c r="AH31" s="542"/>
      <c r="AI31" s="542"/>
      <c r="AJ31" s="50"/>
      <c r="AQ31" s="50">
        <v>0</v>
      </c>
    </row>
    <row r="32" s="185" customFormat="1" ht="18.75" hidden="1" customHeight="1">
      <c r="A32" s="152"/>
      <c r="B32" s="152"/>
      <c r="C32" s="152"/>
      <c r="D32" s="152"/>
      <c r="E32" s="152"/>
      <c r="F32" s="152"/>
      <c r="G32" s="152"/>
      <c r="H32" s="152"/>
      <c r="I32" s="152"/>
      <c r="J32" s="152"/>
      <c r="K32" s="152"/>
      <c r="L32" s="482"/>
      <c r="M32" s="152"/>
      <c r="N32" s="152"/>
      <c r="O32" s="152"/>
      <c r="S32" s="543" t="s">
        <v>419</v>
      </c>
      <c r="T32" s="543"/>
      <c r="U32" s="544"/>
      <c r="V32" s="547" t="str">
        <f>IF(TITLE_DATE_PR_CHANGE="",IF(TITLE_DATE_PR="","",TITLE_DATE_PR),TITLE_DATE_PR_CHANGE)</f>
        <v/>
      </c>
      <c r="W32" s="547"/>
      <c r="X32" s="547"/>
      <c r="Y32" s="547"/>
      <c r="Z32" s="547"/>
      <c r="AA32" s="547"/>
      <c r="AB32" s="50"/>
      <c r="AC32" s="547" t="str">
        <f>IF(TITLE_DATE_PR_CHANGE="",IF(TITLE_DATE_PR="","",TITLE_DATE_PR),TITLE_DATE_PR_CHANGE)</f>
        <v/>
      </c>
      <c r="AD32" s="547"/>
      <c r="AE32" s="547"/>
      <c r="AF32" s="547"/>
      <c r="AG32" s="547"/>
      <c r="AH32" s="547"/>
      <c r="AI32" s="50"/>
      <c r="AJ32" s="50"/>
      <c r="AK32" s="546"/>
      <c r="AL32" s="130"/>
      <c r="AM32" s="130"/>
      <c r="AN32" s="130"/>
      <c r="AO32" s="130"/>
      <c r="AP32" s="130"/>
      <c r="AQ32" s="185">
        <v>0</v>
      </c>
    </row>
    <row r="33" s="185" customFormat="1" ht="18.75" hidden="1" customHeight="1">
      <c r="A33" s="152"/>
      <c r="B33" s="152"/>
      <c r="C33" s="152"/>
      <c r="D33" s="152"/>
      <c r="E33" s="152"/>
      <c r="F33" s="152"/>
      <c r="G33" s="152"/>
      <c r="H33" s="152"/>
      <c r="I33" s="152"/>
      <c r="J33" s="152"/>
      <c r="K33" s="152"/>
      <c r="L33" s="482"/>
      <c r="M33" s="152"/>
      <c r="N33" s="152"/>
      <c r="O33" s="152"/>
      <c r="S33" s="543" t="s">
        <v>420</v>
      </c>
      <c r="T33" s="543"/>
      <c r="U33" s="544"/>
      <c r="V33" s="545" t="str">
        <f>IF(TITLE_NUMBER_PR_CHANGE="",IF(TITLE_NUMBER_PR="","",TITLE_NUMBER_PR),TITLE_NUMBER_PR_CHANGE)</f>
        <v/>
      </c>
      <c r="W33" s="545"/>
      <c r="X33" s="545"/>
      <c r="Y33" s="545"/>
      <c r="Z33" s="545"/>
      <c r="AA33" s="545"/>
      <c r="AB33" s="50"/>
      <c r="AC33" s="545" t="str">
        <f>IF(TITLE_NUMBER_PR_CHANGE="",IF(TITLE_NUMBER_PR="","",TITLE_NUMBER_PR),TITLE_NUMBER_PR_CHANGE)</f>
        <v/>
      </c>
      <c r="AD33" s="545"/>
      <c r="AE33" s="545"/>
      <c r="AF33" s="545"/>
      <c r="AG33" s="545"/>
      <c r="AH33" s="545"/>
      <c r="AI33" s="50"/>
      <c r="AJ33" s="50"/>
      <c r="AK33" s="546"/>
      <c r="AL33" s="130"/>
      <c r="AM33" s="130"/>
      <c r="AN33" s="130"/>
      <c r="AO33" s="130"/>
      <c r="AP33" s="130"/>
      <c r="AQ33" s="185">
        <v>0</v>
      </c>
    </row>
    <row r="34" s="185" customFormat="1" ht="1.05" customHeight="1">
      <c r="A34" s="152"/>
      <c r="B34" s="152"/>
      <c r="C34" s="152"/>
      <c r="D34" s="152"/>
      <c r="E34" s="152"/>
      <c r="F34" s="152"/>
      <c r="G34" s="152"/>
      <c r="H34" s="152"/>
      <c r="I34" s="152"/>
      <c r="J34" s="152"/>
      <c r="K34" s="152"/>
      <c r="L34" s="482"/>
      <c r="M34" s="152"/>
      <c r="N34" s="152"/>
      <c r="O34" s="152"/>
      <c r="S34" s="50"/>
      <c r="T34" s="50"/>
      <c r="U34" s="141"/>
      <c r="V34" s="50"/>
      <c r="W34" s="50"/>
      <c r="X34" s="50"/>
      <c r="Y34" s="50"/>
      <c r="Z34" s="50"/>
      <c r="AA34" s="50"/>
      <c r="AB34" s="57" t="s">
        <v>421</v>
      </c>
      <c r="AC34" s="50"/>
      <c r="AD34" s="50"/>
      <c r="AE34" s="50"/>
      <c r="AF34" s="50"/>
      <c r="AG34" s="50"/>
      <c r="AH34" s="50"/>
      <c r="AI34" s="57" t="s">
        <v>421</v>
      </c>
      <c r="AL34" s="130"/>
      <c r="AM34" s="130"/>
      <c r="AN34" s="130"/>
      <c r="AO34" s="130"/>
      <c r="AP34" s="130"/>
      <c r="AQ34" s="185">
        <v>1</v>
      </c>
    </row>
    <row r="35" ht="14.65" customHeight="1">
      <c r="Q35" s="540"/>
      <c r="R35" s="540"/>
      <c r="S35" s="541"/>
      <c r="T35" s="91"/>
      <c r="U35" s="548"/>
      <c r="V35" s="549"/>
      <c r="W35" s="549"/>
      <c r="X35" s="549"/>
      <c r="Y35" s="549"/>
      <c r="Z35" s="549"/>
      <c r="AA35" s="549"/>
      <c r="AB35" s="549"/>
      <c r="AC35" s="549"/>
      <c r="AD35" s="549"/>
      <c r="AE35" s="549"/>
      <c r="AF35" s="549"/>
      <c r="AG35" s="549"/>
      <c r="AH35" s="549"/>
      <c r="AI35" s="549"/>
      <c r="AQ35" s="50">
        <v>14</v>
      </c>
    </row>
    <row r="36" ht="14.65" customHeight="1">
      <c r="Q36" s="540"/>
      <c r="R36" s="540"/>
      <c r="S36" s="158" t="s">
        <v>294</v>
      </c>
      <c r="T36" s="158"/>
      <c r="U36" s="158"/>
      <c r="V36" s="158"/>
      <c r="W36" s="158"/>
      <c r="X36" s="158"/>
      <c r="Y36" s="158"/>
      <c r="Z36" s="158"/>
      <c r="AA36" s="158"/>
      <c r="AB36" s="158"/>
      <c r="AC36" s="158"/>
      <c r="AD36" s="158"/>
      <c r="AE36" s="158"/>
      <c r="AF36" s="158"/>
      <c r="AG36" s="158"/>
      <c r="AH36" s="158"/>
      <c r="AI36" s="158"/>
      <c r="AJ36" s="158"/>
      <c r="AK36" s="158" t="s">
        <v>295</v>
      </c>
      <c r="AQ36" s="50">
        <v>14</v>
      </c>
    </row>
    <row r="37" ht="14.65" customHeight="1">
      <c r="Q37" s="540"/>
      <c r="R37" s="540"/>
      <c r="S37" s="485" t="s">
        <v>87</v>
      </c>
      <c r="T37" s="348" t="s">
        <v>422</v>
      </c>
      <c r="U37" s="550"/>
      <c r="V37" s="551" t="s">
        <v>423</v>
      </c>
      <c r="W37" s="552"/>
      <c r="X37" s="552"/>
      <c r="Y37" s="552"/>
      <c r="Z37" s="552"/>
      <c r="AA37" s="553"/>
      <c r="AB37" s="554" t="s">
        <v>424</v>
      </c>
      <c r="AC37" s="551" t="s">
        <v>423</v>
      </c>
      <c r="AD37" s="552"/>
      <c r="AE37" s="552"/>
      <c r="AF37" s="552"/>
      <c r="AG37" s="552"/>
      <c r="AH37" s="553"/>
      <c r="AI37" s="554" t="s">
        <v>425</v>
      </c>
      <c r="AJ37" s="555" t="s">
        <v>426</v>
      </c>
      <c r="AK37" s="158"/>
      <c r="AQ37" s="50">
        <v>14</v>
      </c>
    </row>
    <row r="38" ht="35.649999999999999" customHeight="1">
      <c r="Q38" s="540"/>
      <c r="R38" s="540"/>
      <c r="S38" s="485"/>
      <c r="T38" s="348"/>
      <c r="U38" s="556"/>
      <c r="V38" s="308" t="s">
        <v>483</v>
      </c>
      <c r="W38" s="73" t="s">
        <v>429</v>
      </c>
      <c r="X38" s="72"/>
      <c r="Y38" s="73" t="s">
        <v>430</v>
      </c>
      <c r="Z38" s="146"/>
      <c r="AA38" s="72"/>
      <c r="AB38" s="558"/>
      <c r="AC38" s="308" t="s">
        <v>483</v>
      </c>
      <c r="AD38" s="73" t="s">
        <v>429</v>
      </c>
      <c r="AE38" s="72"/>
      <c r="AF38" s="73" t="s">
        <v>430</v>
      </c>
      <c r="AG38" s="146"/>
      <c r="AH38" s="72"/>
      <c r="AI38" s="558"/>
      <c r="AJ38" s="559"/>
      <c r="AK38" s="158"/>
      <c r="AQ38" s="50">
        <v>34</v>
      </c>
    </row>
    <row r="39" ht="90.299999999999997" customHeight="1">
      <c r="A39" s="152"/>
      <c r="B39" s="152" t="s">
        <v>131</v>
      </c>
      <c r="C39" s="152" t="s">
        <v>132</v>
      </c>
      <c r="D39" s="152" t="s">
        <v>133</v>
      </c>
      <c r="E39" s="482" t="s">
        <v>431</v>
      </c>
      <c r="F39" s="482" t="s">
        <v>432</v>
      </c>
      <c r="G39" s="482" t="s">
        <v>433</v>
      </c>
      <c r="H39" s="482"/>
      <c r="I39" s="482" t="s">
        <v>484</v>
      </c>
      <c r="J39" s="482" t="s">
        <v>436</v>
      </c>
      <c r="K39" s="482" t="s">
        <v>485</v>
      </c>
      <c r="L39" s="482" t="s">
        <v>412</v>
      </c>
      <c r="Q39" s="540"/>
      <c r="R39" s="540"/>
      <c r="S39" s="485"/>
      <c r="T39" s="348"/>
      <c r="U39" s="560"/>
      <c r="V39" s="308" t="s">
        <v>512</v>
      </c>
      <c r="W39" s="247" t="s">
        <v>513</v>
      </c>
      <c r="X39" s="247" t="s">
        <v>488</v>
      </c>
      <c r="Y39" s="247" t="s">
        <v>440</v>
      </c>
      <c r="Z39" s="416" t="s">
        <v>441</v>
      </c>
      <c r="AA39" s="418"/>
      <c r="AB39" s="562"/>
      <c r="AC39" s="308" t="s">
        <v>512</v>
      </c>
      <c r="AD39" s="247" t="s">
        <v>513</v>
      </c>
      <c r="AE39" s="247" t="s">
        <v>488</v>
      </c>
      <c r="AF39" s="247" t="s">
        <v>440</v>
      </c>
      <c r="AG39" s="416" t="s">
        <v>441</v>
      </c>
      <c r="AH39" s="418"/>
      <c r="AI39" s="562"/>
      <c r="AJ39" s="563"/>
      <c r="AK39" s="158"/>
      <c r="AQ39" s="50">
        <v>86</v>
      </c>
    </row>
    <row r="40" s="132" customFormat="1" ht="0" customHeight="1">
      <c r="A40" s="152"/>
      <c r="B40" s="152"/>
      <c r="C40" s="152"/>
      <c r="D40" s="152"/>
      <c r="E40" s="152"/>
      <c r="F40" s="152"/>
      <c r="G40" s="152"/>
      <c r="H40" s="152"/>
      <c r="I40" s="152"/>
      <c r="J40" s="152"/>
      <c r="K40" s="152"/>
      <c r="L40" s="482"/>
      <c r="M40" s="61"/>
      <c r="N40" s="61"/>
      <c r="O40" s="61"/>
      <c r="P40" s="564"/>
      <c r="Q40" s="565"/>
      <c r="R40" s="566">
        <v>1</v>
      </c>
      <c r="S40" s="567" t="s">
        <v>105</v>
      </c>
      <c r="T40" s="568" t="s">
        <v>106</v>
      </c>
      <c r="U40" s="569" t="str">
        <f ca="1">OFFSET(U40,0,-1)</f>
        <v>2</v>
      </c>
      <c r="V40" s="570">
        <f ca="1">OFFSET(V40,0,-1)+1</f>
        <v>3</v>
      </c>
      <c r="W40" s="570">
        <f ca="1">OFFSET(W40,0,-1)+1</f>
        <v>4</v>
      </c>
      <c r="X40" s="570">
        <f ca="1">OFFSET(X40,0,-1)+1</f>
        <v>5</v>
      </c>
      <c r="Y40" s="570">
        <f ca="1">OFFSET(Y40,0,-1)+1</f>
        <v>6</v>
      </c>
      <c r="Z40" s="570">
        <f ca="1">OFFSET(Z40,0,-1)+1</f>
        <v>7</v>
      </c>
      <c r="AA40" s="570"/>
      <c r="AB40" s="570">
        <f ca="1">OFFSET(AB40,0,-2)+1</f>
        <v>8</v>
      </c>
      <c r="AC40" s="570">
        <f ca="1">OFFSET(AC40,0,-1)+1</f>
        <v>9</v>
      </c>
      <c r="AD40" s="570">
        <f ca="1">OFFSET(AD40,0,-1)+1</f>
        <v>10</v>
      </c>
      <c r="AE40" s="570">
        <f ca="1">OFFSET(AE40,0,-1)+1</f>
        <v>11</v>
      </c>
      <c r="AF40" s="570">
        <f ca="1">OFFSET(AF40,0,-1)+1</f>
        <v>12</v>
      </c>
      <c r="AG40" s="570">
        <f ca="1">OFFSET(AG40,0,-1)+1</f>
        <v>13</v>
      </c>
      <c r="AH40" s="570"/>
      <c r="AI40" s="570">
        <f ca="1">OFFSET(AI40,0,-2)+1</f>
        <v>14</v>
      </c>
      <c r="AJ40" s="569">
        <f ca="1">OFFSET(AJ40,0,-1)</f>
        <v>14</v>
      </c>
      <c r="AK40" s="570">
        <f ca="1">OFFSET(AK40,0,-1)+1</f>
        <v>15</v>
      </c>
      <c r="AL40" s="57"/>
      <c r="AM40" s="57"/>
      <c r="AN40" s="57"/>
      <c r="AO40" s="57"/>
      <c r="AP40" s="57"/>
      <c r="AQ40" s="132">
        <v>0</v>
      </c>
    </row>
    <row r="41" ht="24" customHeight="1">
      <c r="A41" s="480" t="s">
        <v>265</v>
      </c>
      <c r="B41" s="480"/>
      <c r="C41" s="480"/>
      <c r="D41" s="480"/>
      <c r="E41" s="481">
        <v>1</v>
      </c>
      <c r="F41" s="480"/>
      <c r="G41" s="480"/>
      <c r="H41" s="480"/>
      <c r="I41" s="480"/>
      <c r="J41" s="480"/>
      <c r="K41" s="480"/>
      <c r="L41" s="482"/>
      <c r="M41" s="483"/>
      <c r="N41" s="483"/>
      <c r="O41" s="483"/>
      <c r="P41" s="60"/>
      <c r="Q41" s="144"/>
      <c r="R41" s="484"/>
      <c r="S41" s="485">
        <f>INDEX(PT_DIFFERENTIATION_NUM_NTAR,MATCH(A41,PT_DIFFERENTIATION_NTAR_ID,0))</f>
        <v>0</v>
      </c>
      <c r="T41" s="486" t="s">
        <v>119</v>
      </c>
      <c r="U41" s="487"/>
      <c r="V41" s="488"/>
      <c r="W41" s="489"/>
      <c r="X41" s="489"/>
      <c r="Y41" s="489"/>
      <c r="Z41" s="489"/>
      <c r="AA41" s="489"/>
      <c r="AB41" s="490"/>
      <c r="AC41" s="488" t="str">
        <f>INDEX(PT_DIFFERENTIATION_NTAR,MATCH(A41,PT_DIFFERENTIATION_NTAR_ID,0))</f>
        <v/>
      </c>
      <c r="AD41" s="489"/>
      <c r="AE41" s="489"/>
      <c r="AF41" s="489"/>
      <c r="AG41" s="489"/>
      <c r="AH41" s="489"/>
      <c r="AI41" s="489"/>
      <c r="AJ41" s="490"/>
      <c r="AK41" s="49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130"/>
      <c r="AN41" s="130" t="str">
        <f t="shared" si="38"/>
        <v xml:space="preserve">Наименование тарифа</v>
      </c>
      <c r="AO41" s="130"/>
      <c r="AP41" s="130"/>
      <c r="AQ41" s="50">
        <v>23</v>
      </c>
    </row>
    <row r="42" ht="24" customHeight="1">
      <c r="A42" s="480" t="s">
        <v>265</v>
      </c>
      <c r="B42" s="480" t="s">
        <v>266</v>
      </c>
      <c r="C42" s="480"/>
      <c r="D42" s="480"/>
      <c r="E42" s="492"/>
      <c r="F42" s="481">
        <v>1</v>
      </c>
      <c r="G42" s="480"/>
      <c r="H42" s="480"/>
      <c r="I42" s="480"/>
      <c r="J42" s="480"/>
      <c r="K42" s="480"/>
      <c r="L42" s="482"/>
      <c r="M42" s="483"/>
      <c r="N42" s="483"/>
      <c r="O42" s="483"/>
      <c r="P42" s="51"/>
      <c r="Q42" s="493"/>
      <c r="R42" s="494"/>
      <c r="S42" s="485" t="str">
        <f>INDEX(PT_DIFFERENTIATION_NUM_TER,MATCH(B42,PT_DIFFERENTIATION_TER_ID,0))</f>
        <v>.</v>
      </c>
      <c r="T42" s="495" t="s">
        <v>391</v>
      </c>
      <c r="U42" s="487"/>
      <c r="V42" s="488"/>
      <c r="W42" s="489"/>
      <c r="X42" s="489"/>
      <c r="Y42" s="489"/>
      <c r="Z42" s="489"/>
      <c r="AA42" s="489"/>
      <c r="AB42" s="490"/>
      <c r="AC42" s="488" t="str">
        <f>INDEX(PT_DIFFERENTIATION_TER,MATCH(B42,PT_DIFFERENTIATION_TER_ID,0))</f>
        <v/>
      </c>
      <c r="AD42" s="489"/>
      <c r="AE42" s="489"/>
      <c r="AF42" s="489"/>
      <c r="AG42" s="489"/>
      <c r="AH42" s="489"/>
      <c r="AI42" s="489"/>
      <c r="AJ42" s="490"/>
      <c r="AK42" s="491" t="s">
        <v>392</v>
      </c>
      <c r="AM42" s="130"/>
      <c r="AN42" s="130" t="str">
        <f t="shared" si="38"/>
        <v xml:space="preserve">Территория действия тарифа</v>
      </c>
      <c r="AO42" s="130"/>
      <c r="AP42" s="130"/>
      <c r="AQ42" s="50">
        <v>23</v>
      </c>
    </row>
    <row r="43" ht="24" customHeight="1">
      <c r="A43" s="480" t="s">
        <v>265</v>
      </c>
      <c r="B43" s="480" t="s">
        <v>266</v>
      </c>
      <c r="C43" s="480" t="s">
        <v>267</v>
      </c>
      <c r="D43" s="480"/>
      <c r="E43" s="492"/>
      <c r="F43" s="492"/>
      <c r="G43" s="481">
        <v>1</v>
      </c>
      <c r="H43" s="480"/>
      <c r="I43" s="480"/>
      <c r="J43" s="480"/>
      <c r="K43" s="480"/>
      <c r="L43" s="482"/>
      <c r="M43" s="483"/>
      <c r="N43" s="483"/>
      <c r="O43" s="483"/>
      <c r="P43" s="496"/>
      <c r="Q43" s="493"/>
      <c r="R43" s="494"/>
      <c r="S43" s="485" t="str">
        <f>INDEX(PT_DIFFERENTIATION_NUM_CS,MATCH(C43,PT_DIFFERENTIATION_CS_ID,0))</f>
        <v>..</v>
      </c>
      <c r="T43" s="497" t="s">
        <v>510</v>
      </c>
      <c r="U43" s="487"/>
      <c r="V43" s="488"/>
      <c r="W43" s="489"/>
      <c r="X43" s="489"/>
      <c r="Y43" s="489"/>
      <c r="Z43" s="489"/>
      <c r="AA43" s="489"/>
      <c r="AB43" s="490"/>
      <c r="AC43" s="488" t="str">
        <f>INDEX(PT_DIFFERENTIATION_CS,MATCH(C43,PT_DIFFERENTIATION_CS_ID,0))</f>
        <v/>
      </c>
      <c r="AD43" s="489"/>
      <c r="AE43" s="489"/>
      <c r="AF43" s="489"/>
      <c r="AG43" s="489"/>
      <c r="AH43" s="489"/>
      <c r="AI43" s="489"/>
      <c r="AJ43" s="490"/>
      <c r="AK43" s="491" t="s">
        <v>511</v>
      </c>
      <c r="AM43" s="130"/>
      <c r="AN43" s="130" t="str">
        <f t="shared" si="38"/>
        <v xml:space="preserve">Наименование централизованной системы водоотведения</v>
      </c>
      <c r="AO43" s="130"/>
      <c r="AP43" s="130"/>
      <c r="AQ43" s="50">
        <v>23</v>
      </c>
    </row>
    <row r="44" ht="24" customHeight="1">
      <c r="A44" s="480" t="s">
        <v>265</v>
      </c>
      <c r="B44" s="480" t="s">
        <v>266</v>
      </c>
      <c r="C44" s="480" t="s">
        <v>267</v>
      </c>
      <c r="D44" s="480" t="s">
        <v>515</v>
      </c>
      <c r="E44" s="492"/>
      <c r="F44" s="492"/>
      <c r="G44" s="492"/>
      <c r="H44" s="492"/>
      <c r="I44" s="499" t="str">
        <f>S43&amp;".1"</f>
        <v>...1</v>
      </c>
      <c r="J44" s="480"/>
      <c r="K44" s="480"/>
      <c r="L44" s="482"/>
      <c r="P44" s="133">
        <v>1</v>
      </c>
      <c r="Q44" s="133"/>
      <c r="R44" s="500"/>
      <c r="S44" s="485" t="str">
        <f>$I44</f>
        <v>...1</v>
      </c>
      <c r="T44" s="501" t="s">
        <v>477</v>
      </c>
      <c r="U44" s="487"/>
      <c r="V44" s="677"/>
      <c r="W44" s="678"/>
      <c r="X44" s="678"/>
      <c r="Y44" s="678"/>
      <c r="Z44" s="678"/>
      <c r="AA44" s="678"/>
      <c r="AB44" s="679"/>
      <c r="AC44" s="680"/>
      <c r="AD44" s="681"/>
      <c r="AE44" s="681"/>
      <c r="AF44" s="681"/>
      <c r="AG44" s="681"/>
      <c r="AH44" s="681"/>
      <c r="AI44" s="681"/>
      <c r="AJ44" s="682"/>
      <c r="AK44" s="491" t="s">
        <v>478</v>
      </c>
      <c r="AM44" s="130"/>
      <c r="AN44" s="130" t="str">
        <f t="shared" si="38"/>
        <v xml:space="preserve">Наименование признака дифференциации</v>
      </c>
      <c r="AO44" s="130"/>
      <c r="AP44" s="130"/>
      <c r="AQ44" s="50">
        <v>23</v>
      </c>
    </row>
    <row r="45" ht="24" customHeight="1">
      <c r="A45" s="480" t="s">
        <v>265</v>
      </c>
      <c r="B45" s="480" t="s">
        <v>266</v>
      </c>
      <c r="C45" s="480" t="s">
        <v>267</v>
      </c>
      <c r="D45" s="480" t="s">
        <v>515</v>
      </c>
      <c r="E45" s="492"/>
      <c r="F45" s="492"/>
      <c r="G45" s="492"/>
      <c r="H45" s="492"/>
      <c r="I45" s="504"/>
      <c r="J45" s="499" t="str">
        <f>I44&amp;".1"</f>
        <v>...1.1</v>
      </c>
      <c r="K45" s="480"/>
      <c r="L45" s="482" t="s">
        <v>400</v>
      </c>
      <c r="P45" s="133"/>
      <c r="Q45" s="133">
        <v>1</v>
      </c>
      <c r="R45" s="505"/>
      <c r="S45" s="485" t="str">
        <f>$J45</f>
        <v>...1.1</v>
      </c>
      <c r="T45" s="506" t="s">
        <v>401</v>
      </c>
      <c r="U45" s="487"/>
      <c r="V45" s="432"/>
      <c r="W45" s="502"/>
      <c r="X45" s="502"/>
      <c r="Y45" s="502"/>
      <c r="Z45" s="502"/>
      <c r="AA45" s="502"/>
      <c r="AB45" s="503"/>
      <c r="AC45" s="432"/>
      <c r="AD45" s="502"/>
      <c r="AE45" s="502"/>
      <c r="AF45" s="502"/>
      <c r="AG45" s="502"/>
      <c r="AH45" s="502"/>
      <c r="AI45" s="502"/>
      <c r="AJ45" s="503"/>
      <c r="AK45" s="618" t="s">
        <v>479</v>
      </c>
      <c r="AM45" s="130"/>
      <c r="AN45" s="130" t="str">
        <f t="shared" si="38"/>
        <v xml:space="preserve">Группа потребителей</v>
      </c>
      <c r="AO45" s="130"/>
      <c r="AP45" s="130"/>
      <c r="AQ45" s="50">
        <v>23</v>
      </c>
    </row>
    <row r="46" ht="24" customHeight="1">
      <c r="A46" s="480" t="s">
        <v>265</v>
      </c>
      <c r="B46" s="480" t="s">
        <v>266</v>
      </c>
      <c r="C46" s="480" t="s">
        <v>267</v>
      </c>
      <c r="D46" s="480" t="s">
        <v>515</v>
      </c>
      <c r="E46" s="492"/>
      <c r="F46" s="492"/>
      <c r="G46" s="492"/>
      <c r="H46" s="492"/>
      <c r="I46" s="504"/>
      <c r="J46" s="504"/>
      <c r="K46" s="499" t="str">
        <f>J45&amp;".1"</f>
        <v>...1.1.1</v>
      </c>
      <c r="L46" s="482"/>
      <c r="P46" s="133"/>
      <c r="Q46" s="133"/>
      <c r="R46" s="505">
        <v>1</v>
      </c>
      <c r="S46" s="485" t="str">
        <f>$K46</f>
        <v>...1.1.1</v>
      </c>
      <c r="T46" s="683"/>
      <c r="U46" s="487"/>
      <c r="V46" s="534"/>
      <c r="W46" s="534"/>
      <c r="X46" s="535"/>
      <c r="Y46" s="536"/>
      <c r="Z46" s="537" t="s">
        <v>64</v>
      </c>
      <c r="AA46" s="536"/>
      <c r="AB46" s="537" t="s">
        <v>64</v>
      </c>
      <c r="AC46" s="508"/>
      <c r="AD46" s="508"/>
      <c r="AE46" s="510"/>
      <c r="AF46" s="511"/>
      <c r="AG46" s="225" t="s">
        <v>64</v>
      </c>
      <c r="AH46" s="571"/>
      <c r="AI46" s="225" t="s">
        <v>19</v>
      </c>
      <c r="AJ46" s="684"/>
      <c r="AK46" s="68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 t="e">
        <f>STRCHECKDATE(V47:AJ47)</f>
        <v>#NAME?</v>
      </c>
      <c r="AM46" s="130"/>
      <c r="AN46" s="130" t="str">
        <f t="shared" si="38"/>
        <v/>
      </c>
      <c r="AO46" s="130"/>
      <c r="AP46" s="130"/>
      <c r="AQ46" s="50">
        <v>23</v>
      </c>
    </row>
    <row r="47" ht="0" customHeight="1">
      <c r="A47" s="480" t="s">
        <v>265</v>
      </c>
      <c r="B47" s="480" t="s">
        <v>266</v>
      </c>
      <c r="C47" s="480" t="s">
        <v>267</v>
      </c>
      <c r="D47" s="480" t="s">
        <v>515</v>
      </c>
      <c r="E47" s="492"/>
      <c r="F47" s="492"/>
      <c r="G47" s="492"/>
      <c r="H47" s="492"/>
      <c r="I47" s="504"/>
      <c r="J47" s="504"/>
      <c r="K47" s="499"/>
      <c r="L47" s="482"/>
      <c r="P47" s="133"/>
      <c r="Q47" s="133"/>
      <c r="R47" s="505"/>
      <c r="S47" s="459"/>
      <c r="T47" s="487"/>
      <c r="U47" s="487"/>
      <c r="V47" s="534"/>
      <c r="W47" s="534"/>
      <c r="X47" s="513" t="str">
        <f>Y46&amp;"-"&amp;AA46</f>
        <v>-</v>
      </c>
      <c r="Y47" s="537"/>
      <c r="Z47" s="537"/>
      <c r="AA47" s="537"/>
      <c r="AB47" s="537"/>
      <c r="AC47" s="509"/>
      <c r="AD47" s="509"/>
      <c r="AE47" s="513" t="str">
        <f>AF46&amp;"-"&amp;AH46</f>
        <v>-</v>
      </c>
      <c r="AF47" s="514"/>
      <c r="AG47" s="225"/>
      <c r="AH47" s="573"/>
      <c r="AI47" s="225"/>
      <c r="AJ47" s="686"/>
      <c r="AK47" s="685"/>
      <c r="AM47" s="130"/>
      <c r="AN47" s="130" t="str">
        <f t="shared" si="38"/>
        <v/>
      </c>
      <c r="AO47" s="130"/>
      <c r="AP47" s="130"/>
      <c r="AQ47" s="50">
        <v>0</v>
      </c>
    </row>
    <row r="48" ht="21" customHeight="1">
      <c r="A48" s="480" t="s">
        <v>265</v>
      </c>
      <c r="B48" s="480" t="s">
        <v>266</v>
      </c>
      <c r="C48" s="480" t="s">
        <v>267</v>
      </c>
      <c r="D48" s="480" t="s">
        <v>515</v>
      </c>
      <c r="E48" s="492"/>
      <c r="F48" s="492"/>
      <c r="G48" s="492"/>
      <c r="H48" s="492"/>
      <c r="I48" s="504"/>
      <c r="J48" s="499"/>
      <c r="K48" s="480"/>
      <c r="L48" s="482"/>
      <c r="P48" s="133"/>
      <c r="Q48" s="133"/>
      <c r="R48" s="500"/>
      <c r="S48" s="516"/>
      <c r="T48" s="520" t="s">
        <v>480</v>
      </c>
      <c r="U48" s="215"/>
      <c r="V48" s="215"/>
      <c r="W48" s="215"/>
      <c r="X48" s="215"/>
      <c r="Y48" s="215"/>
      <c r="Z48" s="215"/>
      <c r="AA48" s="215"/>
      <c r="AB48" s="215"/>
      <c r="AC48" s="215"/>
      <c r="AD48" s="215"/>
      <c r="AE48" s="215"/>
      <c r="AF48" s="215"/>
      <c r="AG48" s="215"/>
      <c r="AH48" s="215"/>
      <c r="AI48" s="215"/>
      <c r="AJ48" s="215"/>
      <c r="AK48" s="491" t="s">
        <v>481</v>
      </c>
      <c r="AM48" s="130"/>
      <c r="AN48" s="130" t="str">
        <f t="shared" si="38"/>
        <v xml:space="preserve">Добавить значение признака дифференциации</v>
      </c>
      <c r="AO48" s="130"/>
      <c r="AP48" s="130"/>
      <c r="AQ48" s="50">
        <v>20</v>
      </c>
    </row>
    <row r="49" ht="22" customHeight="1">
      <c r="A49" s="480" t="s">
        <v>265</v>
      </c>
      <c r="B49" s="480" t="s">
        <v>266</v>
      </c>
      <c r="C49" s="480" t="s">
        <v>267</v>
      </c>
      <c r="D49" s="480" t="s">
        <v>515</v>
      </c>
      <c r="E49" s="492"/>
      <c r="F49" s="492"/>
      <c r="G49" s="492"/>
      <c r="H49" s="492"/>
      <c r="I49" s="499"/>
      <c r="J49" s="480"/>
      <c r="K49" s="480"/>
      <c r="L49" s="482"/>
      <c r="P49" s="133"/>
      <c r="Q49" s="133"/>
      <c r="R49" s="500"/>
      <c r="S49" s="516"/>
      <c r="T49" s="524" t="s">
        <v>406</v>
      </c>
      <c r="U49" s="215"/>
      <c r="V49" s="215"/>
      <c r="W49" s="215"/>
      <c r="X49" s="215"/>
      <c r="Y49" s="215"/>
      <c r="Z49" s="215"/>
      <c r="AA49" s="215"/>
      <c r="AB49" s="521"/>
      <c r="AC49" s="215"/>
      <c r="AD49" s="215"/>
      <c r="AE49" s="215"/>
      <c r="AF49" s="215"/>
      <c r="AG49" s="215"/>
      <c r="AH49" s="215"/>
      <c r="AI49" s="521"/>
      <c r="AJ49" s="215"/>
      <c r="AK49" s="687"/>
      <c r="AM49" s="130"/>
      <c r="AN49" s="130" t="str">
        <f t="shared" si="38"/>
        <v xml:space="preserve">Добавить группу потребителей</v>
      </c>
      <c r="AO49" s="130"/>
      <c r="AP49" s="130"/>
      <c r="AQ49" s="50">
        <v>21</v>
      </c>
    </row>
    <row r="50" ht="22" customHeight="1">
      <c r="A50" s="480" t="s">
        <v>265</v>
      </c>
      <c r="B50" s="480" t="s">
        <v>266</v>
      </c>
      <c r="C50" s="480" t="s">
        <v>267</v>
      </c>
      <c r="D50" s="480" t="s">
        <v>515</v>
      </c>
      <c r="E50" s="492"/>
      <c r="F50" s="492"/>
      <c r="G50" s="492"/>
      <c r="H50" s="481"/>
      <c r="I50" s="480"/>
      <c r="J50" s="480"/>
      <c r="K50" s="480"/>
      <c r="L50" s="482"/>
      <c r="M50" s="483"/>
      <c r="N50" s="483"/>
      <c r="O50" s="53"/>
      <c r="P50" s="144"/>
      <c r="Q50" s="523"/>
      <c r="R50" s="484"/>
      <c r="S50" s="516"/>
      <c r="T50" s="688" t="s">
        <v>482</v>
      </c>
      <c r="U50" s="215"/>
      <c r="V50" s="215"/>
      <c r="W50" s="215"/>
      <c r="X50" s="215"/>
      <c r="Y50" s="215"/>
      <c r="Z50" s="215"/>
      <c r="AA50" s="215"/>
      <c r="AB50" s="521"/>
      <c r="AC50" s="215"/>
      <c r="AD50" s="215"/>
      <c r="AE50" s="215"/>
      <c r="AF50" s="215"/>
      <c r="AG50" s="215"/>
      <c r="AH50" s="215"/>
      <c r="AI50" s="521"/>
      <c r="AJ50" s="215"/>
      <c r="AK50" s="522"/>
      <c r="AM50" s="130"/>
      <c r="AN50" s="130" t="str">
        <f t="shared" si="38"/>
        <v xml:space="preserve">Добавить наименование признака дифференциации</v>
      </c>
      <c r="AO50" s="130"/>
      <c r="AP50" s="130"/>
      <c r="AQ50" s="50">
        <v>21</v>
      </c>
    </row>
    <row r="51" s="57" customFormat="1" ht="0" customHeight="1">
      <c r="A51" s="134" t="s">
        <v>265</v>
      </c>
      <c r="B51" s="134" t="s">
        <v>266</v>
      </c>
      <c r="C51" s="134"/>
      <c r="D51" s="134"/>
      <c r="E51" s="492"/>
      <c r="F51" s="481"/>
      <c r="G51" s="134"/>
      <c r="H51" s="134"/>
      <c r="I51" s="134"/>
      <c r="J51" s="134"/>
      <c r="K51" s="134"/>
      <c r="L51" s="213"/>
      <c r="M51" s="529"/>
      <c r="N51" s="529"/>
      <c r="P51" s="168"/>
      <c r="Q51" s="525"/>
      <c r="R51" s="168"/>
      <c r="S51" s="530"/>
      <c r="T51" s="533" t="s">
        <v>409</v>
      </c>
      <c r="U51" s="532"/>
      <c r="V51" s="532"/>
      <c r="W51" s="532"/>
      <c r="X51" s="532"/>
      <c r="Y51" s="532"/>
      <c r="Z51" s="532"/>
      <c r="AA51" s="532"/>
      <c r="AB51" s="532"/>
      <c r="AC51" s="532"/>
      <c r="AD51" s="532"/>
      <c r="AE51" s="532"/>
      <c r="AF51" s="532"/>
      <c r="AG51" s="532"/>
      <c r="AH51" s="532"/>
      <c r="AI51" s="532"/>
      <c r="AJ51" s="532"/>
      <c r="AK51" s="532"/>
      <c r="AM51" s="130"/>
      <c r="AN51" s="130" t="str">
        <f t="shared" si="38"/>
        <v xml:space="preserve">Добавить централизованную систему для дифференциации</v>
      </c>
      <c r="AO51" s="130"/>
      <c r="AP51" s="130"/>
      <c r="AQ51" s="57">
        <v>0</v>
      </c>
    </row>
    <row r="52" s="57" customFormat="1" ht="0" customHeight="1">
      <c r="A52" s="134" t="s">
        <v>265</v>
      </c>
      <c r="B52" s="134"/>
      <c r="C52" s="134"/>
      <c r="D52" s="134"/>
      <c r="E52" s="481"/>
      <c r="F52" s="134"/>
      <c r="G52" s="134"/>
      <c r="H52" s="134"/>
      <c r="I52" s="134"/>
      <c r="J52" s="134"/>
      <c r="K52" s="134"/>
      <c r="L52" s="213"/>
      <c r="M52" s="529"/>
      <c r="N52" s="529"/>
      <c r="O52" s="57"/>
      <c r="P52" s="168"/>
      <c r="Q52" s="525"/>
      <c r="R52" s="168"/>
      <c r="S52" s="530"/>
      <c r="T52" s="533" t="s">
        <v>410</v>
      </c>
      <c r="U52" s="532"/>
      <c r="V52" s="532"/>
      <c r="W52" s="532"/>
      <c r="X52" s="532"/>
      <c r="Y52" s="532"/>
      <c r="Z52" s="532"/>
      <c r="AA52" s="532"/>
      <c r="AB52" s="532"/>
      <c r="AC52" s="532"/>
      <c r="AD52" s="532"/>
      <c r="AE52" s="532"/>
      <c r="AF52" s="532"/>
      <c r="AG52" s="532"/>
      <c r="AH52" s="532"/>
      <c r="AI52" s="532"/>
      <c r="AJ52" s="532"/>
      <c r="AK52" s="532"/>
      <c r="AM52" s="130"/>
      <c r="AN52" s="130" t="str">
        <f t="shared" si="38"/>
        <v xml:space="preserve">Добавить территорию для дифференциации</v>
      </c>
      <c r="AO52" s="130"/>
      <c r="AP52" s="130"/>
      <c r="AQ52" s="57">
        <v>0</v>
      </c>
    </row>
    <row r="53" s="57" customFormat="1" ht="0" customHeight="1">
      <c r="A53" s="134"/>
      <c r="B53" s="134"/>
      <c r="C53" s="134"/>
      <c r="D53" s="134"/>
      <c r="E53" s="134"/>
      <c r="F53" s="134"/>
      <c r="G53" s="134"/>
      <c r="H53" s="134"/>
      <c r="I53" s="134"/>
      <c r="J53" s="134"/>
      <c r="K53" s="134"/>
      <c r="L53" s="213"/>
      <c r="M53" s="529"/>
      <c r="N53" s="529"/>
      <c r="P53" s="168"/>
      <c r="Q53" s="525"/>
      <c r="R53" s="168"/>
      <c r="S53" s="530"/>
      <c r="T53" s="533" t="s">
        <v>442</v>
      </c>
      <c r="U53" s="532"/>
      <c r="V53" s="532"/>
      <c r="W53" s="532"/>
      <c r="X53" s="532"/>
      <c r="Y53" s="532"/>
      <c r="Z53" s="532"/>
      <c r="AA53" s="532"/>
      <c r="AB53" s="532"/>
      <c r="AC53" s="532"/>
      <c r="AD53" s="532"/>
      <c r="AE53" s="532"/>
      <c r="AF53" s="532"/>
      <c r="AG53" s="532"/>
      <c r="AH53" s="532"/>
      <c r="AI53" s="532"/>
      <c r="AJ53" s="532"/>
      <c r="AK53" s="532"/>
      <c r="AM53" s="130"/>
      <c r="AN53" s="130" t="str">
        <f t="shared" si="38"/>
        <v xml:space="preserve">Добавить наименование тарифа</v>
      </c>
      <c r="AO53" s="130"/>
      <c r="AP53" s="130"/>
      <c r="AQ53" s="57">
        <v>0</v>
      </c>
    </row>
    <row r="54" ht="11.5" customHeight="1">
      <c r="M54" s="53"/>
      <c r="N54" s="53"/>
      <c r="O54" s="53"/>
      <c r="P54" s="50"/>
      <c r="Q54" s="50"/>
      <c r="R54" s="50"/>
      <c r="S54" s="50"/>
      <c r="AL54" s="50"/>
      <c r="AM54" s="50"/>
      <c r="AN54" s="50"/>
      <c r="AO54" s="50"/>
      <c r="AP54" s="50"/>
      <c r="AQ54" s="50">
        <v>11</v>
      </c>
    </row>
    <row r="55" ht="14.65" customHeight="1">
      <c r="O55" s="53"/>
      <c r="S55" s="477"/>
      <c r="T55" s="575"/>
      <c r="U55" s="575"/>
      <c r="V55" s="575"/>
      <c r="W55" s="575"/>
      <c r="X55" s="575"/>
      <c r="Y55" s="575"/>
      <c r="Z55" s="575"/>
      <c r="AA55" s="575"/>
      <c r="AB55" s="575"/>
      <c r="AC55" s="575"/>
      <c r="AD55" s="575"/>
      <c r="AE55" s="575"/>
      <c r="AF55" s="575"/>
      <c r="AG55" s="575"/>
      <c r="AH55" s="575"/>
      <c r="AI55" s="575"/>
      <c r="AJ55" s="575"/>
      <c r="AK55" s="575"/>
      <c r="AQ55" s="50">
        <v>14</v>
      </c>
    </row>
    <row r="56" ht="14.65" customHeight="1">
      <c r="O56" s="53"/>
      <c r="AQ56" s="50">
        <v>14</v>
      </c>
    </row>
    <row r="57" ht="14.65" customHeight="1">
      <c r="O57" s="53"/>
      <c r="S57" s="477"/>
      <c r="T57" s="575"/>
      <c r="U57" s="575"/>
      <c r="V57" s="575"/>
      <c r="W57" s="575"/>
      <c r="X57" s="575"/>
      <c r="Y57" s="575"/>
      <c r="Z57" s="575"/>
      <c r="AA57" s="575"/>
      <c r="AB57" s="575"/>
      <c r="AC57" s="575"/>
      <c r="AD57" s="575"/>
      <c r="AE57" s="575"/>
      <c r="AF57" s="575"/>
      <c r="AG57" s="575"/>
      <c r="AH57" s="575"/>
      <c r="AI57" s="575"/>
      <c r="AJ57" s="575"/>
      <c r="AK57" s="575"/>
      <c r="AQ57" s="50">
        <v>14</v>
      </c>
    </row>
    <row r="58" ht="22.5" hidden="1" customHeight="1">
      <c r="A58" s="53" t="s">
        <v>81</v>
      </c>
      <c r="B58" s="53">
        <v>0</v>
      </c>
      <c r="C58" s="53">
        <v>0</v>
      </c>
      <c r="D58" s="53">
        <v>0</v>
      </c>
      <c r="E58" s="53">
        <v>0</v>
      </c>
      <c r="F58" s="53">
        <v>0</v>
      </c>
      <c r="G58" s="53">
        <v>0</v>
      </c>
      <c r="H58" s="53">
        <v>0</v>
      </c>
      <c r="I58" s="53">
        <v>0</v>
      </c>
      <c r="J58" s="53">
        <v>0</v>
      </c>
      <c r="K58" s="53">
        <v>0</v>
      </c>
      <c r="L58" s="114">
        <v>0</v>
      </c>
      <c r="M58" s="61">
        <v>0</v>
      </c>
      <c r="N58" s="61">
        <v>0</v>
      </c>
      <c r="O58" s="61">
        <v>0</v>
      </c>
      <c r="P58" s="60">
        <v>3</v>
      </c>
      <c r="Q58" s="479">
        <v>3</v>
      </c>
      <c r="R58" s="479">
        <v>3</v>
      </c>
      <c r="S58" s="86">
        <v>12</v>
      </c>
      <c r="T58" s="50">
        <v>35</v>
      </c>
      <c r="U58" s="50">
        <v>0</v>
      </c>
      <c r="V58" s="50">
        <v>0</v>
      </c>
      <c r="W58" s="50">
        <v>0</v>
      </c>
      <c r="X58" s="50">
        <v>0</v>
      </c>
      <c r="Y58" s="50">
        <v>0</v>
      </c>
      <c r="Z58" s="50">
        <v>0</v>
      </c>
      <c r="AA58" s="50">
        <v>0</v>
      </c>
      <c r="AB58" s="50">
        <v>0</v>
      </c>
      <c r="AC58" s="50">
        <v>24</v>
      </c>
      <c r="AD58" s="50">
        <v>24</v>
      </c>
      <c r="AE58" s="50">
        <v>24</v>
      </c>
      <c r="AF58" s="50">
        <v>11</v>
      </c>
      <c r="AG58" s="50">
        <v>3</v>
      </c>
      <c r="AH58" s="50">
        <v>11</v>
      </c>
      <c r="AI58" s="50">
        <v>0</v>
      </c>
      <c r="AJ58" s="50">
        <v>4</v>
      </c>
      <c r="AK58" s="50">
        <v>115</v>
      </c>
      <c r="AL58" s="57">
        <v>10</v>
      </c>
      <c r="AM58" s="57">
        <v>10</v>
      </c>
      <c r="AN58" s="57">
        <v>10</v>
      </c>
      <c r="AO58" s="57">
        <v>10</v>
      </c>
      <c r="AP58" s="57">
        <v>10</v>
      </c>
      <c r="AQ58" s="50">
        <v>23</v>
      </c>
    </row>
  </sheetData>
  <sheetProtection autoFilter="0" deleteColumns="1" deleteRows="1" formatCells="1" formatColumns="0" formatRows="0" insertColumns="1" insertHyperlinks="1" insertRows="1" objects="0" pivotTables="1" scenarios="0" selectLockedCells="0" selectUnlockedCells="0" sheet="1" sort="1"/>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Z7:Z8"/>
    <mergeCell ref="AA7:AA8"/>
    <mergeCell ref="AB7:AB8"/>
    <mergeCell ref="AF7:AF8"/>
    <mergeCell ref="AG7:AG8"/>
    <mergeCell ref="AH7:AH8"/>
    <mergeCell ref="AI7:AI8"/>
    <mergeCell ref="AK7:AK8"/>
    <mergeCell ref="AF15:AF16"/>
    <mergeCell ref="AG15:AG16"/>
    <mergeCell ref="AH15:AH16"/>
    <mergeCell ref="AI15:AI16"/>
    <mergeCell ref="S24:AH24"/>
    <mergeCell ref="S25:AH25"/>
    <mergeCell ref="S27:T27"/>
    <mergeCell ref="V27:AA27"/>
    <mergeCell ref="AC27:AH27"/>
    <mergeCell ref="S28:T28"/>
    <mergeCell ref="V28:AA28"/>
    <mergeCell ref="AC28:AH28"/>
    <mergeCell ref="S29:T29"/>
    <mergeCell ref="V29:AA29"/>
    <mergeCell ref="AC29:AH29"/>
    <mergeCell ref="S30:T30"/>
    <mergeCell ref="V30:AA30"/>
    <mergeCell ref="AC30:AH30"/>
    <mergeCell ref="S32:T32"/>
    <mergeCell ref="V32:AA32"/>
    <mergeCell ref="AC32:AH32"/>
    <mergeCell ref="S33:T33"/>
    <mergeCell ref="V33:AA33"/>
    <mergeCell ref="AC33:AH33"/>
    <mergeCell ref="V35:AB35"/>
    <mergeCell ref="AC35:AI35"/>
    <mergeCell ref="S36:AJ36"/>
    <mergeCell ref="AK36:AK39"/>
    <mergeCell ref="S37:S39"/>
    <mergeCell ref="T37:T39"/>
    <mergeCell ref="V37:AA37"/>
    <mergeCell ref="AB37:AB39"/>
    <mergeCell ref="AC37:AH37"/>
    <mergeCell ref="AI37:AI39"/>
    <mergeCell ref="AJ37:AJ39"/>
    <mergeCell ref="W38:X38"/>
    <mergeCell ref="Y38:AA38"/>
    <mergeCell ref="AD38:AE38"/>
    <mergeCell ref="AF38:AH38"/>
    <mergeCell ref="Z39:AA39"/>
    <mergeCell ref="AG39:AH39"/>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K46:K47"/>
    <mergeCell ref="Y46:Y47"/>
    <mergeCell ref="Z46:Z47"/>
    <mergeCell ref="AA46:AA47"/>
    <mergeCell ref="AB46:AB47"/>
    <mergeCell ref="AF46:AF47"/>
    <mergeCell ref="AG46:AG47"/>
    <mergeCell ref="AH46:AH47"/>
    <mergeCell ref="AI46:AI47"/>
    <mergeCell ref="AK46:AK47"/>
    <mergeCell ref="T55:AK55"/>
    <mergeCell ref="T57:AK57"/>
  </mergeCells>
  <dataValidations count="4" disablePrompts="0">
    <dataValidation sqref="S131116:AK131122 S196652:AK196658 S262188:AK262194 S327724:AK327730 S393260:AK393266 S458796:AK458802 S524332:AK524338 S589868:AK589874 S655404:AK655410 S720940:AK720946 S786476:AK786482 S852012:AK852018 S917548:AK917554 S983084:AK983090 S65580:AK65586" type="none" allowBlank="1" errorStyle="stop" imeMode="noControl" operator="between" showDropDown="0" showErrorMessage="0" showInputMessage="0"/>
    <dataValidation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type="none" allowBlank="1" errorStyle="stop" imeMode="noControl" operator="between" promptTitle="checkPeriodRange"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3900A2-004A-4751-88A6-0031005000B0}"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V983081:AJ983081 V65577:AJ65577 V131113:AJ131113 V196649:AJ196649 V262185:AJ262185 V327721:AJ327721 V393257:AJ393257 V458793:AJ458793 V524329:AJ524329 V589865:AJ589865 V655401:AJ655401 V720937:AJ720937 V786473:AJ786473 V852009:AJ852009 V917545:AJ917545</xm:sqref>
        </x14:dataValidation>
        <x14:dataValidation xr:uid="{000E00C6-0085-4CD7-9EBF-00A300E900EA}" type="list" allowBlank="1" error="Выберите значение из списка" errorStyle="stop" errorTitle="Ошибка" imeMode="noControl" operator="between" showDropDown="0" showErrorMessage="1" showInputMessage="1">
          <x14:formula1>
            <xm:f>kind_of_heat_transfer</xm:f>
          </x14:formula1>
          <xm:sqref>T65578 T131114 T196650 T262186 T327722 T393258 T458794 T524330 T589866 T655402 T720938 T786474 T852010 T917546 T983082</xm:sqref>
        </x14:dataValidation>
        <x14:dataValidation xr:uid="{002000C9-0048-4F5F-9853-005A004D00B0}" type="textLength" allowBlank="1" error="Допускается ввод не более 900 символов!" errorStyle="stop" errorTitle="Ошибка" imeMode="noControl" operator="lessThanOrEqual" showDropDown="0" showErrorMessage="1" showInputMessage="1">
          <x14:formula1>
            <xm:f>900</xm:f>
          </x14:formula1>
          <xm: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xm:sqref>
        </x14:dataValidation>
        <x14:dataValidation xr:uid="{008000D0-0058-45CF-ABA2-000400E0001A}" type="list" allowBlank="1" error="Выберите значение из списка" errorStyle="stop" errorTitle="Ошибка" imeMode="noControl" operator="between" showDropDown="0" showErrorMessage="1" showInputMessage="1">
          <x14:formula1>
            <xm:f>kind_of_scheme_in</xm:f>
          </x14:formula1>
          <xm:sqref>V983080 V65576 V131112 V196648 V262184 V327720 V393256 V458792 V524328 V589864 V655400 V720936 V786472 V852008 V917544 AC983080 AC65576 AC131112 AC196648 AC262184 AC327720 AC393256 AC458792 AC524328 AC589864 AC655400 AC720936 AC786472 AC852008 AC917544</xm:sqref>
        </x14:dataValidation>
      </x14:dataValidations>
    </ext>
  </extLst>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9" ySplit="45" topLeftCell="AD46" activePane="bottomRight" state="frozen"/>
      <selection activeCell="A1" activeCellId="0" sqref="A1"/>
    </sheetView>
  </sheetViews>
  <sheetFormatPr defaultColWidth="10.57421875" defaultRowHeight="14.25" customHeight="1"/>
  <cols>
    <col customWidth="1" hidden="1" min="1" max="1" style="53" width="11.57421875"/>
    <col customWidth="1" hidden="1" min="2" max="2" style="53" width="11.00390625"/>
    <col hidden="1" min="3" max="3" style="53" width="10.57421875"/>
    <col customWidth="1" hidden="1" min="4" max="4" style="53" width="12.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4" width="19.140625"/>
    <col customWidth="1" hidden="1" min="13" max="14" style="61" width="12.28125"/>
    <col customWidth="1" hidden="1" min="15" max="15" style="61" width="23.421875"/>
    <col customWidth="1" hidden="1" min="16" max="16" style="61" width="3.7109375"/>
    <col customWidth="1" hidden="1" min="17" max="17" style="539" width="3.7109375"/>
    <col customWidth="1" min="18" max="18" style="479" width="3.00390625"/>
    <col customWidth="1" min="19" max="19" style="86" width="12.00390625"/>
    <col customWidth="1" min="20" max="20" style="50" width="31.00390625"/>
    <col customWidth="1" min="21" max="21" style="50" width="0.140625"/>
    <col customWidth="1" hidden="1" min="22" max="25" style="50" width="21.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3.7109375"/>
    <col customWidth="1" min="31" max="32" style="50" width="3.00390625"/>
    <col customWidth="1" min="33" max="33" style="50" width="24.00390625"/>
    <col customWidth="1" min="34" max="34" style="50" width="3.7109375"/>
    <col customWidth="1" min="35" max="36" style="50" width="3.00390625"/>
    <col customWidth="1" min="37" max="37" style="50" width="24.00390625"/>
    <col customWidth="1" min="38" max="38" style="50" width="3.7109375"/>
    <col customWidth="1" min="39" max="40" style="50" width="3.00390625"/>
    <col customWidth="1" min="41" max="41" style="50" width="18.00390625"/>
    <col customWidth="1" min="42" max="42" style="50" width="3.7109375"/>
    <col customWidth="1" min="43" max="44" style="50" width="3.00390625"/>
    <col customWidth="1" min="45" max="45" style="50" width="18.00390625"/>
    <col customWidth="1" min="46" max="49" style="50" width="21.00390625"/>
    <col customWidth="1" min="50" max="50" style="50" width="11.00390625"/>
    <col customWidth="1" min="51" max="51" style="50" width="3.7109375"/>
    <col customWidth="1" min="52" max="52" style="50" width="11.00390625"/>
    <col customWidth="1" hidden="1" min="53" max="53" style="50" width="8.57421875"/>
    <col customWidth="1" min="54" max="54" style="50" width="4.00390625"/>
    <col customWidth="1" min="55" max="55" style="50" width="115.00390625"/>
    <col customWidth="1" min="56" max="60" style="57" width="10.00390625"/>
    <col hidden="1" min="61" max="61" style="50" width="10.57421875"/>
  </cols>
  <sheetData>
    <row r="1" ht="22.5" hidden="1" customHeight="1">
      <c r="W1" s="50"/>
      <c r="Y1" s="50"/>
      <c r="Z1" s="50"/>
      <c r="AW1" s="50"/>
      <c r="AX1" s="50"/>
      <c r="BI1" s="50" t="s">
        <v>14</v>
      </c>
    </row>
    <row r="2" ht="21" hidden="1" customHeight="1">
      <c r="A2" s="480"/>
      <c r="B2" s="480"/>
      <c r="C2" s="480"/>
      <c r="D2" s="480"/>
      <c r="E2" s="481">
        <v>1</v>
      </c>
      <c r="F2" s="480"/>
      <c r="G2" s="480"/>
      <c r="H2" s="480"/>
      <c r="I2" s="480"/>
      <c r="J2" s="480"/>
      <c r="K2" s="480"/>
      <c r="L2" s="482"/>
      <c r="M2" s="483"/>
      <c r="N2" s="483"/>
      <c r="O2" s="483"/>
      <c r="P2" s="61"/>
      <c r="Q2" s="64"/>
      <c r="R2" s="484"/>
      <c r="S2" s="485" t="e">
        <f>INDEX(PT_DIFFERENTIATION_NUM_NTAR,MATCH(A2,PT_DIFFERENTIATION_NTAR_ID,0))</f>
        <v>#VALUE!</v>
      </c>
      <c r="T2" s="486" t="s">
        <v>119</v>
      </c>
      <c r="U2" s="487"/>
      <c r="V2" s="489"/>
      <c r="W2" s="489"/>
      <c r="X2" s="489"/>
      <c r="Y2" s="489"/>
      <c r="Z2" s="489"/>
      <c r="AA2" s="489"/>
      <c r="AB2" s="489"/>
      <c r="AC2" s="490"/>
      <c r="AD2" s="488" t="e">
        <f>INDEX(PT_DIFFERENTIATION_NTAR,MATCH(A2,PT_DIFFERENTIATION_NTAR_ID,0))</f>
        <v>#VALUE!</v>
      </c>
      <c r="AE2" s="489"/>
      <c r="AF2" s="489"/>
      <c r="AG2" s="489"/>
      <c r="AH2" s="489"/>
      <c r="AI2" s="489"/>
      <c r="AJ2" s="489"/>
      <c r="AK2" s="489"/>
      <c r="AL2" s="489"/>
      <c r="AM2" s="489"/>
      <c r="AN2" s="489"/>
      <c r="AO2" s="489"/>
      <c r="AP2" s="489"/>
      <c r="AQ2" s="489"/>
      <c r="AR2" s="489"/>
      <c r="AS2" s="489"/>
      <c r="AT2" s="489"/>
      <c r="AU2" s="489"/>
      <c r="AV2" s="489"/>
      <c r="AW2" s="489"/>
      <c r="AX2" s="489"/>
      <c r="AY2" s="489"/>
      <c r="AZ2" s="489"/>
      <c r="BA2" s="489"/>
      <c r="BB2" s="490"/>
      <c r="BC2" s="49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130"/>
      <c r="BF2" s="130" t="str">
        <f t="shared" ref="BF2:BF8" si="39">IF(T2="","",T2)</f>
        <v xml:space="preserve">Наименование тарифа</v>
      </c>
      <c r="BG2" s="130"/>
      <c r="BH2" s="130"/>
      <c r="BI2" s="50">
        <v>0</v>
      </c>
    </row>
    <row r="3" ht="21" hidden="1" customHeight="1">
      <c r="A3" s="480"/>
      <c r="B3" s="480"/>
      <c r="C3" s="480"/>
      <c r="D3" s="480"/>
      <c r="E3" s="492"/>
      <c r="F3" s="481">
        <v>1</v>
      </c>
      <c r="G3" s="480"/>
      <c r="H3" s="480"/>
      <c r="I3" s="480"/>
      <c r="J3" s="480"/>
      <c r="K3" s="480"/>
      <c r="L3" s="482"/>
      <c r="M3" s="483"/>
      <c r="N3" s="483"/>
      <c r="O3" s="483"/>
      <c r="P3" s="114"/>
      <c r="Q3" s="630"/>
      <c r="R3" s="494"/>
      <c r="S3" s="485" t="e">
        <f>INDEX(PT_DIFFERENTIATION_NUM_TER,MATCH(B3,PT_DIFFERENTIATION_TER_ID,0))</f>
        <v>#VALUE!</v>
      </c>
      <c r="T3" s="495" t="s">
        <v>391</v>
      </c>
      <c r="U3" s="487"/>
      <c r="V3" s="489"/>
      <c r="W3" s="489"/>
      <c r="X3" s="489"/>
      <c r="Y3" s="489"/>
      <c r="Z3" s="489"/>
      <c r="AA3" s="489"/>
      <c r="AB3" s="489"/>
      <c r="AC3" s="490"/>
      <c r="AD3" s="488" t="e">
        <f>INDEX(PT_DIFFERENTIATION_TER,MATCH(B3,PT_DIFFERENTIATION_TER_ID,0))</f>
        <v>#VALUE!</v>
      </c>
      <c r="AE3" s="489"/>
      <c r="AF3" s="489"/>
      <c r="AG3" s="489"/>
      <c r="AH3" s="489"/>
      <c r="AI3" s="489"/>
      <c r="AJ3" s="489"/>
      <c r="AK3" s="489"/>
      <c r="AL3" s="489"/>
      <c r="AM3" s="489"/>
      <c r="AN3" s="489"/>
      <c r="AO3" s="489"/>
      <c r="AP3" s="489"/>
      <c r="AQ3" s="489"/>
      <c r="AR3" s="489"/>
      <c r="AS3" s="489"/>
      <c r="AT3" s="489"/>
      <c r="AU3" s="489"/>
      <c r="AV3" s="489"/>
      <c r="AW3" s="489"/>
      <c r="AX3" s="489"/>
      <c r="AY3" s="489"/>
      <c r="AZ3" s="489"/>
      <c r="BA3" s="489"/>
      <c r="BB3" s="490"/>
      <c r="BC3" s="491" t="s">
        <v>392</v>
      </c>
      <c r="BE3" s="130"/>
      <c r="BF3" s="130" t="str">
        <f t="shared" si="39"/>
        <v xml:space="preserve">Территория действия тарифа</v>
      </c>
      <c r="BG3" s="130"/>
      <c r="BH3" s="130"/>
      <c r="BI3" s="50">
        <v>0</v>
      </c>
    </row>
    <row r="4" ht="33.75" hidden="1" customHeight="1">
      <c r="A4" s="480"/>
      <c r="B4" s="480"/>
      <c r="C4" s="480"/>
      <c r="D4" s="480"/>
      <c r="E4" s="492"/>
      <c r="F4" s="492"/>
      <c r="G4" s="481">
        <v>1</v>
      </c>
      <c r="H4" s="480"/>
      <c r="I4" s="480"/>
      <c r="J4" s="480"/>
      <c r="K4" s="480"/>
      <c r="L4" s="482"/>
      <c r="M4" s="483"/>
      <c r="N4" s="483"/>
      <c r="O4" s="483"/>
      <c r="P4" s="136"/>
      <c r="Q4" s="630"/>
      <c r="R4" s="494"/>
      <c r="S4" s="485" t="e">
        <f>INDEX(PT_DIFFERENTIATION_NUM_CS,MATCH(C4,PT_DIFFERENTIATION_CS_ID,0))</f>
        <v>#VALUE!</v>
      </c>
      <c r="T4" s="497" t="s">
        <v>510</v>
      </c>
      <c r="U4" s="487"/>
      <c r="V4" s="489"/>
      <c r="W4" s="489"/>
      <c r="X4" s="489"/>
      <c r="Y4" s="489"/>
      <c r="Z4" s="489"/>
      <c r="AA4" s="489"/>
      <c r="AB4" s="489"/>
      <c r="AC4" s="490"/>
      <c r="AD4" s="488" t="e">
        <f>INDEX(PT_DIFFERENTIATION_CS,MATCH(C4,PT_DIFFERENTIATION_CS_ID,0))</f>
        <v>#VALUE!</v>
      </c>
      <c r="AE4" s="489"/>
      <c r="AF4" s="489"/>
      <c r="AG4" s="489"/>
      <c r="AH4" s="489"/>
      <c r="AI4" s="489"/>
      <c r="AJ4" s="489"/>
      <c r="AK4" s="489"/>
      <c r="AL4" s="489"/>
      <c r="AM4" s="489"/>
      <c r="AN4" s="489"/>
      <c r="AO4" s="489"/>
      <c r="AP4" s="489"/>
      <c r="AQ4" s="489"/>
      <c r="AR4" s="489"/>
      <c r="AS4" s="489"/>
      <c r="AT4" s="489"/>
      <c r="AU4" s="489"/>
      <c r="AV4" s="489"/>
      <c r="AW4" s="489"/>
      <c r="AX4" s="489"/>
      <c r="AY4" s="489"/>
      <c r="AZ4" s="489"/>
      <c r="BA4" s="489"/>
      <c r="BB4" s="490"/>
      <c r="BC4" s="491" t="s">
        <v>511</v>
      </c>
      <c r="BE4" s="130"/>
      <c r="BF4" s="130" t="str">
        <f t="shared" si="39"/>
        <v xml:space="preserve">Наименование централизованной системы водоотведения</v>
      </c>
      <c r="BG4" s="130"/>
      <c r="BH4" s="130"/>
      <c r="BI4" s="50">
        <v>0</v>
      </c>
    </row>
    <row r="5" s="57" customFormat="1" ht="14.25" hidden="1" customHeight="1">
      <c r="A5" s="134"/>
      <c r="B5" s="134"/>
      <c r="C5" s="134"/>
      <c r="D5" s="134"/>
      <c r="E5" s="492"/>
      <c r="F5" s="492"/>
      <c r="G5" s="492"/>
      <c r="H5" s="481">
        <v>1</v>
      </c>
      <c r="I5" s="134"/>
      <c r="J5" s="134"/>
      <c r="K5" s="134"/>
      <c r="L5" s="213"/>
      <c r="M5" s="465"/>
      <c r="N5" s="465"/>
      <c r="O5" s="465"/>
      <c r="P5" s="695"/>
      <c r="Q5" s="696"/>
      <c r="R5" s="505"/>
      <c r="S5" s="352"/>
      <c r="T5" s="697"/>
      <c r="U5" s="588"/>
      <c r="V5" s="590"/>
      <c r="W5" s="590"/>
      <c r="X5" s="590"/>
      <c r="Y5" s="590"/>
      <c r="Z5" s="590"/>
      <c r="AA5" s="590"/>
      <c r="AB5" s="590"/>
      <c r="AC5" s="591"/>
      <c r="AD5" s="589"/>
      <c r="AE5" s="590"/>
      <c r="AF5" s="590"/>
      <c r="AG5" s="590"/>
      <c r="AH5" s="590"/>
      <c r="AI5" s="590"/>
      <c r="AJ5" s="590"/>
      <c r="AK5" s="590"/>
      <c r="AL5" s="590"/>
      <c r="AM5" s="590"/>
      <c r="AN5" s="590"/>
      <c r="AO5" s="590"/>
      <c r="AP5" s="590"/>
      <c r="AQ5" s="590"/>
      <c r="AR5" s="590"/>
      <c r="AS5" s="590"/>
      <c r="AT5" s="590"/>
      <c r="AU5" s="590"/>
      <c r="AV5" s="590"/>
      <c r="AW5" s="590"/>
      <c r="AX5" s="590"/>
      <c r="AY5" s="590"/>
      <c r="AZ5" s="590"/>
      <c r="BA5" s="590"/>
      <c r="BB5" s="591"/>
      <c r="BC5" s="592" t="s">
        <v>396</v>
      </c>
      <c r="BE5" s="130"/>
      <c r="BF5" s="130" t="str">
        <f t="shared" si="39"/>
        <v/>
      </c>
      <c r="BG5" s="130"/>
      <c r="BH5" s="130"/>
      <c r="BI5" s="57">
        <v>0</v>
      </c>
    </row>
    <row r="6" s="57" customFormat="1" ht="14.25" hidden="1" customHeight="1">
      <c r="A6" s="134"/>
      <c r="B6" s="134"/>
      <c r="C6" s="134"/>
      <c r="D6" s="134"/>
      <c r="E6" s="492"/>
      <c r="F6" s="492"/>
      <c r="G6" s="492"/>
      <c r="H6" s="492"/>
      <c r="I6" s="499" t="str">
        <f>S5&amp;".1"</f>
        <v>.1</v>
      </c>
      <c r="J6" s="134"/>
      <c r="K6" s="134"/>
      <c r="L6" s="213" t="s">
        <v>397</v>
      </c>
      <c r="M6" s="597"/>
      <c r="N6" s="597"/>
      <c r="O6" s="597"/>
      <c r="P6" s="133">
        <v>1</v>
      </c>
      <c r="Q6" s="133"/>
      <c r="R6" s="500"/>
      <c r="S6" s="352"/>
      <c r="T6" s="587"/>
      <c r="U6" s="588"/>
      <c r="V6" s="590"/>
      <c r="W6" s="590"/>
      <c r="X6" s="590"/>
      <c r="Y6" s="590"/>
      <c r="Z6" s="590"/>
      <c r="AA6" s="590"/>
      <c r="AB6" s="590"/>
      <c r="AC6" s="591"/>
      <c r="AD6" s="589"/>
      <c r="AE6" s="590"/>
      <c r="AF6" s="590"/>
      <c r="AG6" s="590"/>
      <c r="AH6" s="590"/>
      <c r="AI6" s="590"/>
      <c r="AJ6" s="590"/>
      <c r="AK6" s="590"/>
      <c r="AL6" s="590"/>
      <c r="AM6" s="590"/>
      <c r="AN6" s="590"/>
      <c r="AO6" s="590"/>
      <c r="AP6" s="590"/>
      <c r="AQ6" s="590"/>
      <c r="AR6" s="590"/>
      <c r="AS6" s="590"/>
      <c r="AT6" s="590"/>
      <c r="AU6" s="590"/>
      <c r="AV6" s="590"/>
      <c r="AW6" s="590"/>
      <c r="AX6" s="590"/>
      <c r="AY6" s="590"/>
      <c r="AZ6" s="590"/>
      <c r="BA6" s="590"/>
      <c r="BB6" s="591"/>
      <c r="BC6" s="592"/>
      <c r="BE6" s="130"/>
      <c r="BF6" s="130" t="str">
        <f t="shared" si="39"/>
        <v/>
      </c>
      <c r="BG6" s="130"/>
      <c r="BH6" s="130"/>
      <c r="BI6" s="57">
        <v>0</v>
      </c>
    </row>
    <row r="7" s="57" customFormat="1" ht="14.25" hidden="1" customHeight="1">
      <c r="A7" s="134"/>
      <c r="B7" s="134"/>
      <c r="C7" s="134"/>
      <c r="D7" s="134"/>
      <c r="E7" s="492"/>
      <c r="F7" s="492"/>
      <c r="G7" s="492"/>
      <c r="H7" s="492"/>
      <c r="I7" s="504"/>
      <c r="J7" s="499" t="str">
        <f>S5&amp;".1"</f>
        <v>.1</v>
      </c>
      <c r="K7" s="134"/>
      <c r="L7" s="213"/>
      <c r="M7" s="597"/>
      <c r="N7" s="597"/>
      <c r="O7" s="597"/>
      <c r="P7" s="133"/>
      <c r="Q7" s="133">
        <v>1</v>
      </c>
      <c r="R7" s="505"/>
      <c r="S7" s="352"/>
      <c r="T7" s="631"/>
      <c r="U7" s="588"/>
      <c r="V7" s="590"/>
      <c r="W7" s="590"/>
      <c r="X7" s="590"/>
      <c r="Y7" s="590"/>
      <c r="Z7" s="590"/>
      <c r="AA7" s="590"/>
      <c r="AB7" s="590"/>
      <c r="AC7" s="591"/>
      <c r="AD7" s="589"/>
      <c r="AE7" s="590"/>
      <c r="AF7" s="590"/>
      <c r="AG7" s="590"/>
      <c r="AH7" s="590"/>
      <c r="AI7" s="590"/>
      <c r="AJ7" s="590"/>
      <c r="AK7" s="590"/>
      <c r="AL7" s="590"/>
      <c r="AM7" s="590"/>
      <c r="AN7" s="590"/>
      <c r="AO7" s="590"/>
      <c r="AP7" s="590"/>
      <c r="AQ7" s="590"/>
      <c r="AR7" s="590"/>
      <c r="AS7" s="590"/>
      <c r="AT7" s="590"/>
      <c r="AU7" s="590"/>
      <c r="AV7" s="590"/>
      <c r="AW7" s="590"/>
      <c r="AX7" s="590"/>
      <c r="AY7" s="590"/>
      <c r="AZ7" s="590"/>
      <c r="BA7" s="590"/>
      <c r="BB7" s="591"/>
      <c r="BC7" s="592"/>
      <c r="BE7" s="130"/>
      <c r="BF7" s="130" t="str">
        <f t="shared" si="39"/>
        <v/>
      </c>
      <c r="BG7" s="130"/>
      <c r="BH7" s="130"/>
      <c r="BI7" s="57">
        <v>0</v>
      </c>
    </row>
    <row r="8" ht="11.25" hidden="1" customHeight="1">
      <c r="A8" s="480"/>
      <c r="B8" s="480"/>
      <c r="C8" s="480"/>
      <c r="D8" s="480"/>
      <c r="E8" s="492"/>
      <c r="F8" s="492"/>
      <c r="G8" s="492"/>
      <c r="H8" s="492"/>
      <c r="I8" s="504"/>
      <c r="J8" s="504"/>
      <c r="K8" s="499" t="e">
        <f>S4&amp;".1"</f>
        <v>#VALUE!</v>
      </c>
      <c r="L8" s="482"/>
      <c r="P8" s="133"/>
      <c r="Q8" s="133"/>
      <c r="R8" s="632">
        <v>1</v>
      </c>
      <c r="S8" s="599" t="e">
        <f>$K8</f>
        <v>#VALUE!</v>
      </c>
      <c r="T8" s="690"/>
      <c r="U8" s="487"/>
      <c r="V8" s="508"/>
      <c r="W8" s="510"/>
      <c r="X8" s="508"/>
      <c r="Y8" s="510"/>
      <c r="Z8" s="511"/>
      <c r="AA8" s="225" t="s">
        <v>64</v>
      </c>
      <c r="AB8" s="511"/>
      <c r="AC8" s="225" t="s">
        <v>64</v>
      </c>
      <c r="AD8" s="315" t="s">
        <v>64</v>
      </c>
      <c r="AE8" s="634"/>
      <c r="AF8" s="346">
        <v>1</v>
      </c>
      <c r="AG8" s="691"/>
      <c r="AH8" s="225" t="s">
        <v>64</v>
      </c>
      <c r="AI8" s="634"/>
      <c r="AJ8" s="346">
        <v>1</v>
      </c>
      <c r="AK8" s="87" t="s">
        <v>22</v>
      </c>
      <c r="AL8" s="225" t="s">
        <v>64</v>
      </c>
      <c r="AM8" s="305"/>
      <c r="AN8" s="346">
        <v>1</v>
      </c>
      <c r="AO8" s="698"/>
      <c r="AP8" s="699" t="s">
        <v>64</v>
      </c>
      <c r="AQ8" s="635"/>
      <c r="AR8" s="346">
        <v>1</v>
      </c>
      <c r="AS8" s="95" t="s">
        <v>22</v>
      </c>
      <c r="AT8" s="508"/>
      <c r="AU8" s="510"/>
      <c r="AV8" s="508"/>
      <c r="AW8" s="510"/>
      <c r="AX8" s="511"/>
      <c r="AY8" s="225" t="s">
        <v>64</v>
      </c>
      <c r="AZ8" s="511"/>
      <c r="BA8" s="225" t="s">
        <v>64</v>
      </c>
      <c r="BB8" s="572"/>
      <c r="BC8" s="512" t="s">
        <v>495</v>
      </c>
      <c r="BE8" s="130"/>
      <c r="BF8" s="130" t="str">
        <f t="shared" si="39"/>
        <v/>
      </c>
      <c r="BG8" s="130"/>
      <c r="BH8" s="130"/>
      <c r="BI8" s="50">
        <v>0</v>
      </c>
    </row>
    <row r="9" ht="11.25" hidden="1" customHeight="1">
      <c r="A9" s="480"/>
      <c r="B9" s="480"/>
      <c r="C9" s="480"/>
      <c r="D9" s="480"/>
      <c r="E9" s="492"/>
      <c r="F9" s="492"/>
      <c r="G9" s="492"/>
      <c r="H9" s="492"/>
      <c r="I9" s="504"/>
      <c r="J9" s="504"/>
      <c r="K9" s="499"/>
      <c r="L9" s="482"/>
      <c r="P9" s="133"/>
      <c r="Q9" s="133"/>
      <c r="R9" s="632"/>
      <c r="S9" s="636"/>
      <c r="T9" s="700"/>
      <c r="U9" s="487"/>
      <c r="V9" s="623"/>
      <c r="W9" s="640"/>
      <c r="X9" s="623"/>
      <c r="Y9" s="640"/>
      <c r="Z9" s="623"/>
      <c r="AA9" s="623"/>
      <c r="AB9" s="623"/>
      <c r="AC9" s="623"/>
      <c r="AD9" s="321"/>
      <c r="AE9" s="634"/>
      <c r="AF9" s="346"/>
      <c r="AG9" s="691"/>
      <c r="AH9" s="225"/>
      <c r="AI9" s="634"/>
      <c r="AJ9" s="346"/>
      <c r="AK9" s="87"/>
      <c r="AL9" s="225"/>
      <c r="AM9" s="311"/>
      <c r="AN9" s="346"/>
      <c r="AO9" s="698"/>
      <c r="AP9" s="701"/>
      <c r="AQ9" s="639"/>
      <c r="AR9" s="178"/>
      <c r="AS9" s="178" t="s">
        <v>496</v>
      </c>
      <c r="AT9" s="623"/>
      <c r="AU9" s="640"/>
      <c r="AV9" s="623"/>
      <c r="AW9" s="640"/>
      <c r="AX9" s="623"/>
      <c r="AY9" s="623"/>
      <c r="AZ9" s="623"/>
      <c r="BA9" s="623"/>
      <c r="BB9" s="638"/>
      <c r="BC9" s="515"/>
      <c r="BE9" s="130"/>
      <c r="BF9" s="130"/>
      <c r="BG9" s="130"/>
      <c r="BH9" s="130"/>
      <c r="BI9" s="50">
        <v>0</v>
      </c>
    </row>
    <row r="10" ht="11.25" hidden="1" customHeight="1">
      <c r="A10" s="480"/>
      <c r="B10" s="480"/>
      <c r="C10" s="480"/>
      <c r="D10" s="480"/>
      <c r="E10" s="492"/>
      <c r="F10" s="492"/>
      <c r="G10" s="492"/>
      <c r="H10" s="492"/>
      <c r="I10" s="504"/>
      <c r="J10" s="504"/>
      <c r="K10" s="499"/>
      <c r="L10" s="482"/>
      <c r="P10" s="133"/>
      <c r="Q10" s="133"/>
      <c r="R10" s="632"/>
      <c r="S10" s="636"/>
      <c r="T10" s="700"/>
      <c r="U10" s="487"/>
      <c r="V10" s="623"/>
      <c r="W10" s="640"/>
      <c r="X10" s="623"/>
      <c r="Y10" s="640"/>
      <c r="Z10" s="623"/>
      <c r="AA10" s="623"/>
      <c r="AB10" s="623"/>
      <c r="AC10" s="623"/>
      <c r="AD10" s="321"/>
      <c r="AE10" s="634"/>
      <c r="AF10" s="346"/>
      <c r="AG10" s="691"/>
      <c r="AH10" s="225"/>
      <c r="AI10" s="634"/>
      <c r="AJ10" s="346"/>
      <c r="AK10" s="87"/>
      <c r="AL10" s="225"/>
      <c r="AM10" s="639"/>
      <c r="AN10" s="702"/>
      <c r="AO10" s="702" t="s">
        <v>516</v>
      </c>
      <c r="AP10" s="178"/>
      <c r="AQ10" s="178"/>
      <c r="AR10" s="178"/>
      <c r="AS10" s="623"/>
      <c r="AT10" s="623"/>
      <c r="AU10" s="640"/>
      <c r="AV10" s="623"/>
      <c r="AW10" s="640"/>
      <c r="AX10" s="623"/>
      <c r="AY10" s="623"/>
      <c r="AZ10" s="623"/>
      <c r="BA10" s="623"/>
      <c r="BB10" s="638"/>
      <c r="BC10" s="515"/>
      <c r="BE10" s="130"/>
      <c r="BF10" s="130"/>
      <c r="BG10" s="130"/>
      <c r="BH10" s="130"/>
      <c r="BI10" s="50">
        <v>0</v>
      </c>
    </row>
    <row r="11" ht="11.25" hidden="1" customHeight="1">
      <c r="A11" s="480"/>
      <c r="B11" s="480"/>
      <c r="C11" s="480"/>
      <c r="D11" s="480"/>
      <c r="E11" s="492"/>
      <c r="F11" s="492"/>
      <c r="G11" s="492"/>
      <c r="H11" s="492"/>
      <c r="I11" s="504"/>
      <c r="J11" s="504"/>
      <c r="K11" s="499"/>
      <c r="L11" s="482"/>
      <c r="P11" s="133"/>
      <c r="Q11" s="133"/>
      <c r="R11" s="632"/>
      <c r="S11" s="636"/>
      <c r="T11" s="700"/>
      <c r="U11" s="487"/>
      <c r="V11" s="623"/>
      <c r="W11" s="640"/>
      <c r="X11" s="623"/>
      <c r="Y11" s="640"/>
      <c r="Z11" s="623"/>
      <c r="AA11" s="623"/>
      <c r="AB11" s="623"/>
      <c r="AC11" s="623"/>
      <c r="AD11" s="321"/>
      <c r="AE11" s="634"/>
      <c r="AF11" s="346"/>
      <c r="AG11" s="691"/>
      <c r="AH11" s="225"/>
      <c r="AI11" s="642"/>
      <c r="AJ11" s="173"/>
      <c r="AK11" s="442" t="s">
        <v>517</v>
      </c>
      <c r="AL11" s="623"/>
      <c r="AM11" s="623"/>
      <c r="AN11" s="623"/>
      <c r="AO11" s="623"/>
      <c r="AP11" s="623"/>
      <c r="AQ11" s="623"/>
      <c r="AR11" s="623"/>
      <c r="AS11" s="623"/>
      <c r="AT11" s="623"/>
      <c r="AU11" s="640"/>
      <c r="AV11" s="623"/>
      <c r="AW11" s="640"/>
      <c r="AX11" s="623"/>
      <c r="AY11" s="623"/>
      <c r="AZ11" s="623"/>
      <c r="BA11" s="623"/>
      <c r="BB11" s="638"/>
      <c r="BC11" s="515"/>
      <c r="BE11" s="130"/>
      <c r="BF11" s="130"/>
      <c r="BG11" s="130"/>
      <c r="BH11" s="130"/>
      <c r="BI11" s="50">
        <v>0</v>
      </c>
    </row>
    <row r="12" ht="11.25" hidden="1" customHeight="1">
      <c r="A12" s="480"/>
      <c r="B12" s="480"/>
      <c r="C12" s="480"/>
      <c r="D12" s="480"/>
      <c r="E12" s="492"/>
      <c r="F12" s="492"/>
      <c r="G12" s="492"/>
      <c r="H12" s="492"/>
      <c r="I12" s="504"/>
      <c r="J12" s="504"/>
      <c r="K12" s="499"/>
      <c r="L12" s="482"/>
      <c r="P12" s="133"/>
      <c r="Q12" s="133"/>
      <c r="R12" s="632"/>
      <c r="S12" s="609"/>
      <c r="T12" s="703"/>
      <c r="U12" s="487"/>
      <c r="V12" s="623"/>
      <c r="W12" s="624" t="str">
        <f>Z8&amp;"-"&amp;AB8</f>
        <v>-</v>
      </c>
      <c r="X12" s="623"/>
      <c r="Y12" s="624" t="str">
        <f>AB8&amp;"-"&amp;AD8</f>
        <v>-да</v>
      </c>
      <c r="Z12" s="623"/>
      <c r="AA12" s="623"/>
      <c r="AB12" s="623"/>
      <c r="AC12" s="623"/>
      <c r="AD12" s="221"/>
      <c r="AE12" s="645"/>
      <c r="AF12" s="646"/>
      <c r="AG12" s="178" t="s">
        <v>499</v>
      </c>
      <c r="AH12" s="623"/>
      <c r="AI12" s="623"/>
      <c r="AJ12" s="623"/>
      <c r="AK12" s="623"/>
      <c r="AL12" s="623"/>
      <c r="AM12" s="623"/>
      <c r="AN12" s="623"/>
      <c r="AO12" s="623"/>
      <c r="AP12" s="623"/>
      <c r="AQ12" s="623"/>
      <c r="AR12" s="623"/>
      <c r="AS12" s="623"/>
      <c r="AT12" s="623"/>
      <c r="AU12" s="624" t="str">
        <f>AX8&amp;"-"&amp;AZ8</f>
        <v>-</v>
      </c>
      <c r="AV12" s="623"/>
      <c r="AW12" s="624" t="str">
        <f>AZ8&amp;"-"&amp;BB8</f>
        <v>-</v>
      </c>
      <c r="AX12" s="623"/>
      <c r="AY12" s="623"/>
      <c r="AZ12" s="623"/>
      <c r="BA12" s="623"/>
      <c r="BB12" s="644" t="str">
        <f>BE8&amp;"-"&amp;BG8</f>
        <v>-</v>
      </c>
      <c r="BC12" s="515"/>
      <c r="BE12" s="130"/>
      <c r="BF12" s="130" t="str">
        <f t="shared" ref="BF12:BF63" si="40">IF(T12="","",T12)</f>
        <v/>
      </c>
      <c r="BG12" s="130"/>
      <c r="BH12" s="130"/>
      <c r="BI12" s="50">
        <v>0</v>
      </c>
    </row>
    <row r="13" ht="11.25" hidden="1" customHeight="1">
      <c r="A13" s="480"/>
      <c r="B13" s="480"/>
      <c r="C13" s="480"/>
      <c r="D13" s="480"/>
      <c r="E13" s="492"/>
      <c r="F13" s="492"/>
      <c r="G13" s="492"/>
      <c r="H13" s="492"/>
      <c r="I13" s="504"/>
      <c r="J13" s="499"/>
      <c r="K13" s="480"/>
      <c r="L13" s="482"/>
      <c r="P13" s="133"/>
      <c r="Q13" s="133"/>
      <c r="R13" s="500"/>
      <c r="S13" s="516"/>
      <c r="T13" s="520" t="s">
        <v>462</v>
      </c>
      <c r="U13" s="215"/>
      <c r="V13" s="215"/>
      <c r="W13" s="215"/>
      <c r="X13" s="215"/>
      <c r="Y13" s="215"/>
      <c r="Z13" s="215"/>
      <c r="AA13" s="215"/>
      <c r="AB13" s="215"/>
      <c r="AC13" s="215"/>
      <c r="AD13" s="675"/>
      <c r="AE13" s="215"/>
      <c r="AF13" s="215"/>
      <c r="AG13" s="215"/>
      <c r="AH13" s="215"/>
      <c r="AI13" s="215"/>
      <c r="AJ13" s="215"/>
      <c r="AK13" s="215"/>
      <c r="AL13" s="215"/>
      <c r="AM13" s="215"/>
      <c r="AN13" s="215"/>
      <c r="AO13" s="215"/>
      <c r="AP13" s="215"/>
      <c r="AQ13" s="215"/>
      <c r="AR13" s="215"/>
      <c r="AS13" s="215"/>
      <c r="AT13" s="215"/>
      <c r="AU13" s="215"/>
      <c r="AV13" s="215"/>
      <c r="AW13" s="215"/>
      <c r="AX13" s="215"/>
      <c r="AY13" s="215"/>
      <c r="AZ13" s="215"/>
      <c r="BA13" s="215"/>
      <c r="BB13" s="518"/>
      <c r="BC13" s="519"/>
      <c r="BE13" s="130"/>
      <c r="BF13" s="130" t="str">
        <f t="shared" si="40"/>
        <v xml:space="preserve">Добавить строку</v>
      </c>
      <c r="BG13" s="130"/>
      <c r="BH13" s="130"/>
      <c r="BI13" s="50">
        <v>0</v>
      </c>
    </row>
    <row r="14" s="57" customFormat="1" ht="14.25" hidden="1" customHeight="1">
      <c r="A14" s="134"/>
      <c r="B14" s="134"/>
      <c r="C14" s="134"/>
      <c r="D14" s="134"/>
      <c r="E14" s="492"/>
      <c r="F14" s="492"/>
      <c r="G14" s="492"/>
      <c r="H14" s="492"/>
      <c r="I14" s="499"/>
      <c r="J14" s="134"/>
      <c r="K14" s="134"/>
      <c r="L14" s="213"/>
      <c r="M14" s="597"/>
      <c r="N14" s="597"/>
      <c r="O14" s="597"/>
      <c r="P14" s="133"/>
      <c r="Q14" s="133"/>
      <c r="R14" s="500"/>
      <c r="S14" s="593"/>
      <c r="T14" s="594"/>
      <c r="U14" s="595"/>
      <c r="V14" s="595"/>
      <c r="W14" s="595"/>
      <c r="X14" s="595"/>
      <c r="Y14" s="595"/>
      <c r="Z14" s="595"/>
      <c r="AA14" s="595"/>
      <c r="AB14" s="595"/>
      <c r="AC14" s="595"/>
      <c r="AD14" s="595"/>
      <c r="AE14" s="595"/>
      <c r="AF14" s="595"/>
      <c r="AG14" s="595"/>
      <c r="AH14" s="595"/>
      <c r="AI14" s="595"/>
      <c r="AJ14" s="595"/>
      <c r="AK14" s="595"/>
      <c r="AL14" s="595"/>
      <c r="AM14" s="595"/>
      <c r="AN14" s="595"/>
      <c r="AO14" s="595"/>
      <c r="AP14" s="595"/>
      <c r="AQ14" s="595"/>
      <c r="AR14" s="595"/>
      <c r="AS14" s="595"/>
      <c r="AT14" s="595"/>
      <c r="AU14" s="595"/>
      <c r="AV14" s="595"/>
      <c r="AW14" s="595"/>
      <c r="AX14" s="595"/>
      <c r="AY14" s="595"/>
      <c r="AZ14" s="595"/>
      <c r="BA14" s="595"/>
      <c r="BB14" s="595"/>
      <c r="BC14" s="596"/>
      <c r="BE14" s="130"/>
      <c r="BF14" s="130" t="str">
        <f t="shared" si="40"/>
        <v/>
      </c>
      <c r="BG14" s="130"/>
      <c r="BH14" s="130"/>
      <c r="BI14" s="57">
        <v>0</v>
      </c>
    </row>
    <row r="15" s="57" customFormat="1" ht="14.25" hidden="1" customHeight="1">
      <c r="A15" s="134"/>
      <c r="B15" s="134"/>
      <c r="C15" s="134"/>
      <c r="D15" s="134"/>
      <c r="E15" s="492"/>
      <c r="F15" s="492"/>
      <c r="G15" s="492"/>
      <c r="H15" s="481"/>
      <c r="I15" s="134"/>
      <c r="J15" s="134"/>
      <c r="K15" s="134"/>
      <c r="L15" s="213"/>
      <c r="M15" s="465"/>
      <c r="N15" s="465"/>
      <c r="O15" s="57"/>
      <c r="P15" s="168"/>
      <c r="Q15" s="525"/>
      <c r="R15" s="647"/>
      <c r="S15" s="593"/>
      <c r="T15" s="594"/>
      <c r="U15" s="595"/>
      <c r="V15" s="595"/>
      <c r="W15" s="595"/>
      <c r="X15" s="595"/>
      <c r="Y15" s="595"/>
      <c r="Z15" s="595"/>
      <c r="AA15" s="595"/>
      <c r="AB15" s="595"/>
      <c r="AC15" s="595"/>
      <c r="AD15" s="595"/>
      <c r="AE15" s="595"/>
      <c r="AF15" s="595"/>
      <c r="AG15" s="595"/>
      <c r="AH15" s="595"/>
      <c r="AI15" s="595"/>
      <c r="AJ15" s="595"/>
      <c r="AK15" s="595"/>
      <c r="AL15" s="595"/>
      <c r="AM15" s="595"/>
      <c r="AN15" s="595"/>
      <c r="AO15" s="595"/>
      <c r="AP15" s="595"/>
      <c r="AQ15" s="595"/>
      <c r="AR15" s="595"/>
      <c r="AS15" s="595"/>
      <c r="AT15" s="595"/>
      <c r="AU15" s="595"/>
      <c r="AV15" s="595"/>
      <c r="AW15" s="595"/>
      <c r="AX15" s="595"/>
      <c r="AY15" s="595"/>
      <c r="AZ15" s="595"/>
      <c r="BA15" s="595"/>
      <c r="BB15" s="595"/>
      <c r="BC15" s="596"/>
      <c r="BE15" s="130"/>
      <c r="BF15" s="130" t="str">
        <f t="shared" si="40"/>
        <v/>
      </c>
      <c r="BG15" s="130"/>
      <c r="BH15" s="130"/>
      <c r="BI15" s="57">
        <v>0</v>
      </c>
    </row>
    <row r="16" s="57" customFormat="1" ht="14.25" hidden="1" customHeight="1">
      <c r="A16" s="134"/>
      <c r="B16" s="134"/>
      <c r="C16" s="134"/>
      <c r="D16" s="134"/>
      <c r="E16" s="492"/>
      <c r="F16" s="492"/>
      <c r="G16" s="481"/>
      <c r="H16" s="134"/>
      <c r="I16" s="134"/>
      <c r="J16" s="134"/>
      <c r="K16" s="134"/>
      <c r="L16" s="213"/>
      <c r="M16" s="465"/>
      <c r="N16" s="465"/>
      <c r="P16" s="168"/>
      <c r="Q16" s="525"/>
      <c r="R16" s="168"/>
      <c r="S16" s="530"/>
      <c r="T16" s="533"/>
      <c r="U16" s="532"/>
      <c r="V16" s="532"/>
      <c r="W16" s="532"/>
      <c r="X16" s="532"/>
      <c r="Y16" s="532"/>
      <c r="Z16" s="532"/>
      <c r="AA16" s="532"/>
      <c r="AB16" s="532"/>
      <c r="AC16" s="532"/>
      <c r="AD16" s="532"/>
      <c r="AE16" s="532"/>
      <c r="AF16" s="532"/>
      <c r="AG16" s="532"/>
      <c r="AH16" s="532"/>
      <c r="AI16" s="532"/>
      <c r="AJ16" s="532"/>
      <c r="AK16" s="532"/>
      <c r="AL16" s="532"/>
      <c r="AM16" s="532"/>
      <c r="AN16" s="532"/>
      <c r="AO16" s="532"/>
      <c r="AP16" s="532"/>
      <c r="AQ16" s="532"/>
      <c r="AR16" s="532"/>
      <c r="AS16" s="532"/>
      <c r="AT16" s="532"/>
      <c r="AU16" s="532"/>
      <c r="AV16" s="532"/>
      <c r="AW16" s="532"/>
      <c r="AX16" s="532"/>
      <c r="AY16" s="532"/>
      <c r="AZ16" s="532"/>
      <c r="BA16" s="532"/>
      <c r="BB16" s="532"/>
      <c r="BC16" s="532"/>
      <c r="BE16" s="130"/>
      <c r="BF16" s="130" t="str">
        <f t="shared" si="40"/>
        <v/>
      </c>
      <c r="BG16" s="130"/>
      <c r="BH16" s="130"/>
      <c r="BI16" s="57">
        <v>0</v>
      </c>
    </row>
    <row r="17" s="57" customFormat="1" ht="14.25" hidden="1" customHeight="1">
      <c r="A17" s="134"/>
      <c r="B17" s="134"/>
      <c r="C17" s="134"/>
      <c r="D17" s="134"/>
      <c r="E17" s="492"/>
      <c r="F17" s="481"/>
      <c r="G17" s="134"/>
      <c r="H17" s="134"/>
      <c r="I17" s="134"/>
      <c r="J17" s="134"/>
      <c r="K17" s="134"/>
      <c r="L17" s="213"/>
      <c r="M17" s="529"/>
      <c r="N17" s="529"/>
      <c r="P17" s="168"/>
      <c r="Q17" s="525"/>
      <c r="R17" s="168"/>
      <c r="S17" s="530"/>
      <c r="T17" s="533" t="s">
        <v>409</v>
      </c>
      <c r="U17" s="532"/>
      <c r="V17" s="532"/>
      <c r="W17" s="532"/>
      <c r="X17" s="532"/>
      <c r="Y17" s="532"/>
      <c r="Z17" s="532"/>
      <c r="AA17" s="532"/>
      <c r="AB17" s="532"/>
      <c r="AC17" s="532"/>
      <c r="AD17" s="532"/>
      <c r="AE17" s="532"/>
      <c r="AF17" s="532"/>
      <c r="AG17" s="532"/>
      <c r="AH17" s="532"/>
      <c r="AI17" s="532"/>
      <c r="AJ17" s="532"/>
      <c r="AK17" s="532"/>
      <c r="AL17" s="532"/>
      <c r="AM17" s="532"/>
      <c r="AN17" s="532"/>
      <c r="AO17" s="532"/>
      <c r="AP17" s="532"/>
      <c r="AQ17" s="532"/>
      <c r="AR17" s="532"/>
      <c r="AS17" s="532"/>
      <c r="AT17" s="532"/>
      <c r="AU17" s="532"/>
      <c r="AV17" s="532"/>
      <c r="AW17" s="532"/>
      <c r="AX17" s="532"/>
      <c r="AY17" s="532"/>
      <c r="AZ17" s="532"/>
      <c r="BA17" s="532"/>
      <c r="BB17" s="532"/>
      <c r="BC17" s="532"/>
      <c r="BE17" s="130"/>
      <c r="BF17" s="130" t="str">
        <f t="shared" si="40"/>
        <v xml:space="preserve">Добавить централизованную систему для дифференциации</v>
      </c>
      <c r="BG17" s="130"/>
      <c r="BH17" s="130"/>
      <c r="BI17" s="57">
        <v>0</v>
      </c>
    </row>
    <row r="18" s="57" customFormat="1" ht="14.25" hidden="1" customHeight="1">
      <c r="A18" s="134"/>
      <c r="B18" s="134"/>
      <c r="C18" s="134"/>
      <c r="D18" s="134"/>
      <c r="E18" s="481"/>
      <c r="F18" s="134"/>
      <c r="G18" s="134"/>
      <c r="H18" s="134"/>
      <c r="I18" s="134"/>
      <c r="J18" s="134"/>
      <c r="K18" s="134"/>
      <c r="L18" s="213"/>
      <c r="M18" s="529"/>
      <c r="N18" s="529"/>
      <c r="O18" s="57"/>
      <c r="P18" s="168"/>
      <c r="Q18" s="525"/>
      <c r="R18" s="168"/>
      <c r="S18" s="530"/>
      <c r="T18" s="533" t="s">
        <v>410</v>
      </c>
      <c r="U18" s="532"/>
      <c r="V18" s="532"/>
      <c r="W18" s="532"/>
      <c r="X18" s="532"/>
      <c r="Y18" s="532"/>
      <c r="Z18" s="532"/>
      <c r="AA18" s="532"/>
      <c r="AB18" s="532"/>
      <c r="AC18" s="532"/>
      <c r="AD18" s="532"/>
      <c r="AE18" s="532"/>
      <c r="AF18" s="532"/>
      <c r="AG18" s="532"/>
      <c r="AH18" s="532"/>
      <c r="AI18" s="532"/>
      <c r="AJ18" s="532"/>
      <c r="AK18" s="532"/>
      <c r="AL18" s="532"/>
      <c r="AM18" s="532"/>
      <c r="AN18" s="532"/>
      <c r="AO18" s="532"/>
      <c r="AP18" s="532"/>
      <c r="AQ18" s="532"/>
      <c r="AR18" s="532"/>
      <c r="AS18" s="532"/>
      <c r="AT18" s="532"/>
      <c r="AU18" s="532"/>
      <c r="AV18" s="532"/>
      <c r="AW18" s="532"/>
      <c r="AX18" s="532"/>
      <c r="AY18" s="532"/>
      <c r="AZ18" s="532"/>
      <c r="BA18" s="532"/>
      <c r="BB18" s="532"/>
      <c r="BC18" s="532"/>
      <c r="BE18" s="130"/>
      <c r="BF18" s="130" t="str">
        <f t="shared" si="40"/>
        <v xml:space="preserve">Добавить территорию для дифференциации</v>
      </c>
      <c r="BG18" s="130"/>
      <c r="BH18" s="130"/>
      <c r="BI18" s="57">
        <v>0</v>
      </c>
    </row>
    <row r="19" ht="14.25" hidden="1" customHeight="1">
      <c r="AC19" s="50"/>
      <c r="BA19" s="50"/>
      <c r="BI19" s="50">
        <v>0</v>
      </c>
    </row>
    <row r="20" ht="14.25" hidden="1" customHeight="1">
      <c r="AD20" s="532" t="s">
        <v>19</v>
      </c>
      <c r="AE20" s="648"/>
      <c r="AF20" s="532">
        <v>1</v>
      </c>
      <c r="AG20" s="649"/>
      <c r="AH20" s="532" t="s">
        <v>19</v>
      </c>
      <c r="AI20" s="648"/>
      <c r="AJ20" s="532">
        <v>1</v>
      </c>
      <c r="AK20" s="649"/>
      <c r="AL20" s="532" t="s">
        <v>19</v>
      </c>
      <c r="AM20" s="650"/>
      <c r="AN20" s="532">
        <v>1</v>
      </c>
      <c r="AO20" s="135"/>
      <c r="AP20" s="532" t="s">
        <v>19</v>
      </c>
      <c r="AQ20" s="650"/>
      <c r="AR20" s="532">
        <v>1</v>
      </c>
      <c r="AS20" s="135"/>
      <c r="AT20" s="509"/>
      <c r="AU20" s="584"/>
      <c r="AV20" s="509"/>
      <c r="AW20" s="584"/>
      <c r="AX20" s="654"/>
      <c r="AY20" s="655" t="s">
        <v>64</v>
      </c>
      <c r="AZ20" s="654"/>
      <c r="BA20" s="655" t="s">
        <v>64</v>
      </c>
      <c r="BI20" s="50">
        <v>0</v>
      </c>
    </row>
    <row r="21" ht="14.25" hidden="1" customHeight="1">
      <c r="BD21" s="132"/>
      <c r="BE21" s="132"/>
      <c r="BF21" s="132"/>
      <c r="BG21" s="132"/>
      <c r="BH21" s="132"/>
      <c r="BI21" s="50">
        <v>0</v>
      </c>
    </row>
    <row r="22" ht="14.25" hidden="1" customHeight="1">
      <c r="O22" s="538" t="s">
        <v>411</v>
      </c>
      <c r="Z22" s="582"/>
      <c r="AB22" s="582"/>
      <c r="AC22" s="50"/>
      <c r="AX22" s="582"/>
      <c r="AZ22" s="582"/>
      <c r="BA22" s="50"/>
      <c r="BD22" s="132"/>
      <c r="BE22" s="132"/>
      <c r="BF22" s="132"/>
      <c r="BG22" s="132"/>
      <c r="BH22" s="132"/>
      <c r="BI22" s="50">
        <v>0</v>
      </c>
    </row>
    <row r="23" ht="14.25" hidden="1" customHeight="1">
      <c r="AC23" s="50"/>
      <c r="BA23" s="50"/>
      <c r="BD23" s="132"/>
      <c r="BE23" s="132"/>
      <c r="BF23" s="132"/>
      <c r="BG23" s="132"/>
      <c r="BH23" s="132"/>
      <c r="BI23" s="50">
        <v>0</v>
      </c>
    </row>
    <row r="24" s="656" customFormat="1" ht="14.25" hidden="1" customHeight="1">
      <c r="M24" s="657"/>
      <c r="N24" s="657"/>
      <c r="O24" s="656" t="s">
        <v>412</v>
      </c>
      <c r="P24" s="657"/>
      <c r="Q24" s="658"/>
      <c r="R24" s="658"/>
      <c r="AA24" s="656" t="s">
        <v>414</v>
      </c>
      <c r="AC24" s="656" t="s">
        <v>415</v>
      </c>
      <c r="AD24" s="656" t="s">
        <v>463</v>
      </c>
      <c r="AH24" s="656" t="s">
        <v>463</v>
      </c>
      <c r="AK24" s="656" t="s">
        <v>500</v>
      </c>
      <c r="AL24" s="656" t="s">
        <v>463</v>
      </c>
      <c r="AP24" s="656" t="s">
        <v>463</v>
      </c>
      <c r="AY24" s="656" t="s">
        <v>414</v>
      </c>
      <c r="BA24" s="656" t="s">
        <v>415</v>
      </c>
      <c r="BD24" s="659"/>
      <c r="BE24" s="659"/>
      <c r="BF24" s="659"/>
      <c r="BG24" s="659"/>
      <c r="BH24" s="659"/>
      <c r="BI24" s="656">
        <v>0</v>
      </c>
    </row>
    <row r="25" ht="14.25" hidden="1" customHeight="1">
      <c r="O25" s="482"/>
      <c r="BD25" s="132"/>
      <c r="BE25" s="132"/>
      <c r="BF25" s="132"/>
      <c r="BG25" s="132"/>
      <c r="BH25" s="132"/>
      <c r="BI25" s="50">
        <v>0</v>
      </c>
    </row>
    <row r="26" ht="14.25" hidden="1" customHeight="1">
      <c r="O26" s="482"/>
      <c r="BD26" s="132"/>
      <c r="BE26" s="132"/>
      <c r="BF26" s="132"/>
      <c r="BG26" s="132"/>
      <c r="BH26" s="132"/>
      <c r="BI26" s="50">
        <v>0</v>
      </c>
    </row>
    <row r="27" ht="14.65" customHeight="1">
      <c r="Q27" s="660"/>
      <c r="R27" s="540"/>
      <c r="S27" s="541"/>
      <c r="T27" s="91"/>
      <c r="U27" s="91"/>
      <c r="V27" s="50"/>
      <c r="W27" s="50"/>
      <c r="X27" s="50"/>
      <c r="Y27" s="50"/>
      <c r="Z27" s="50"/>
      <c r="AA27" s="50"/>
      <c r="AB27" s="50"/>
      <c r="AC27" s="50"/>
      <c r="AD27" s="50"/>
      <c r="AE27" s="50"/>
      <c r="AF27" s="50"/>
      <c r="AG27" s="50"/>
      <c r="AH27" s="50"/>
      <c r="AI27" s="50"/>
      <c r="AJ27" s="50"/>
      <c r="AK27" s="50"/>
      <c r="AL27" s="50"/>
      <c r="AM27" s="50"/>
      <c r="AN27" s="50"/>
      <c r="AO27" s="50"/>
      <c r="AP27" s="50"/>
      <c r="AQ27" s="50"/>
      <c r="AR27" s="50"/>
      <c r="AS27" s="50"/>
      <c r="AT27" s="50"/>
      <c r="AU27" s="50"/>
      <c r="AV27" s="50"/>
      <c r="AW27" s="50"/>
      <c r="AX27" s="50"/>
      <c r="AY27" s="50"/>
      <c r="AZ27" s="50"/>
      <c r="BA27" s="50"/>
      <c r="BI27" s="50">
        <v>14</v>
      </c>
    </row>
    <row r="28" ht="14.65" customHeight="1">
      <c r="Q28" s="660"/>
      <c r="R28" s="540"/>
      <c r="S28" s="453" t="str">
        <f>IF(TEMPLATE_GROUP="P",PT_P_FORM_VOTV_5_NAME_FORM,PT_R_FORM_VOTV_17_NAME_FORM)</f>
        <v xml:space="preserve">Форма 14. Информация о предложении организации водоотведения расчетной величины тарифов на подключение к централизованной системе водоотведения</v>
      </c>
      <c r="T28" s="453"/>
      <c r="U28" s="453"/>
      <c r="V28" s="453"/>
      <c r="W28" s="453"/>
      <c r="X28" s="453"/>
      <c r="Y28" s="453"/>
      <c r="Z28" s="453"/>
      <c r="AA28" s="453"/>
      <c r="AB28" s="453"/>
      <c r="AC28" s="453"/>
      <c r="AD28" s="453"/>
      <c r="AE28" s="453"/>
      <c r="AF28" s="453"/>
      <c r="AG28" s="453"/>
      <c r="AH28" s="453"/>
      <c r="AI28" s="453"/>
      <c r="AJ28" s="453"/>
      <c r="AK28" s="453"/>
      <c r="AL28" s="453"/>
      <c r="AM28" s="453"/>
      <c r="AN28" s="453"/>
      <c r="AO28" s="453"/>
      <c r="AP28" s="453"/>
      <c r="AQ28" s="453"/>
      <c r="AR28" s="453"/>
      <c r="AS28" s="453"/>
      <c r="AT28" s="453"/>
      <c r="AU28" s="453"/>
      <c r="AV28" s="453"/>
      <c r="AW28" s="453"/>
      <c r="AX28" s="453"/>
      <c r="AY28" s="453"/>
      <c r="AZ28" s="453"/>
      <c r="BA28" s="241"/>
      <c r="BI28" s="50">
        <v>14</v>
      </c>
    </row>
    <row r="29" ht="14.65" customHeight="1">
      <c r="Q29" s="660"/>
      <c r="R29" s="540"/>
      <c r="S29" s="304" t="str">
        <f>IF(org=0,"Не определено",org)</f>
        <v xml:space="preserve">АО "ДГК" СП "Биробиджанская ТЭЦ"</v>
      </c>
      <c r="T29" s="304"/>
      <c r="U29" s="304"/>
      <c r="V29" s="304"/>
      <c r="W29" s="304"/>
      <c r="X29" s="304"/>
      <c r="Y29" s="304"/>
      <c r="Z29" s="304"/>
      <c r="AA29" s="304"/>
      <c r="AB29" s="304"/>
      <c r="AC29" s="304"/>
      <c r="AD29" s="304"/>
      <c r="AE29" s="304"/>
      <c r="AF29" s="304"/>
      <c r="AG29" s="304"/>
      <c r="AH29" s="304"/>
      <c r="AI29" s="304"/>
      <c r="AJ29" s="304"/>
      <c r="AK29" s="304"/>
      <c r="AL29" s="304"/>
      <c r="AM29" s="304"/>
      <c r="AN29" s="304"/>
      <c r="AO29" s="304"/>
      <c r="AP29" s="304"/>
      <c r="AQ29" s="304"/>
      <c r="AR29" s="304"/>
      <c r="AS29" s="304"/>
      <c r="AT29" s="304"/>
      <c r="AU29" s="304"/>
      <c r="AV29" s="304"/>
      <c r="AW29" s="304"/>
      <c r="AX29" s="304"/>
      <c r="AY29" s="304"/>
      <c r="AZ29" s="304"/>
      <c r="BA29" s="241"/>
      <c r="BI29" s="50">
        <v>14</v>
      </c>
    </row>
    <row r="30" ht="14.25" hidden="1" customHeight="1">
      <c r="Q30" s="660"/>
      <c r="R30" s="540"/>
      <c r="S30" s="541"/>
      <c r="T30" s="91"/>
      <c r="U30" s="91"/>
      <c r="V30" s="542"/>
      <c r="W30" s="542"/>
      <c r="X30" s="542"/>
      <c r="Y30" s="542"/>
      <c r="Z30" s="542"/>
      <c r="AA30" s="542"/>
      <c r="AB30" s="542"/>
      <c r="AC30" s="542"/>
      <c r="AD30" s="542"/>
      <c r="AE30" s="542"/>
      <c r="AF30" s="542"/>
      <c r="AG30" s="542"/>
      <c r="AH30" s="542"/>
      <c r="AI30" s="542"/>
      <c r="AJ30" s="542"/>
      <c r="AK30" s="542"/>
      <c r="AL30" s="542"/>
      <c r="AM30" s="542"/>
      <c r="AN30" s="542"/>
      <c r="AO30" s="542"/>
      <c r="AP30" s="542"/>
      <c r="AQ30" s="542"/>
      <c r="AR30" s="542"/>
      <c r="AS30" s="542"/>
      <c r="AT30" s="542"/>
      <c r="AU30" s="542"/>
      <c r="AV30" s="542"/>
      <c r="AW30" s="542"/>
      <c r="AX30" s="542"/>
      <c r="AY30" s="542"/>
      <c r="AZ30" s="542"/>
      <c r="BA30" s="542"/>
      <c r="BB30" s="50"/>
      <c r="BI30" s="50">
        <v>0</v>
      </c>
    </row>
    <row r="31" s="185" customFormat="1" ht="25.5" hidden="1" customHeight="1">
      <c r="A31" s="152"/>
      <c r="B31" s="152"/>
      <c r="C31" s="152"/>
      <c r="D31" s="152"/>
      <c r="E31" s="152"/>
      <c r="F31" s="152"/>
      <c r="G31" s="152"/>
      <c r="H31" s="152"/>
      <c r="I31" s="152"/>
      <c r="J31" s="152"/>
      <c r="K31" s="152"/>
      <c r="L31" s="482"/>
      <c r="M31" s="152"/>
      <c r="N31" s="152"/>
      <c r="O31" s="152"/>
      <c r="P31" s="152"/>
      <c r="Q31" s="152"/>
      <c r="S31" s="543" t="s">
        <v>41</v>
      </c>
      <c r="T31" s="543"/>
      <c r="U31" s="544"/>
      <c r="V31" s="545" t="str">
        <f>IF(TITLE_NAME_OR_PR_CHANGE="",IF(TITLE_NAME_OR_PR="","",TITLE_NAME_OR_PR),TITLE_NAME_OR_PR_CHANGE)</f>
        <v/>
      </c>
      <c r="W31" s="545"/>
      <c r="X31" s="545"/>
      <c r="Y31" s="545"/>
      <c r="Z31" s="545"/>
      <c r="AA31" s="545"/>
      <c r="AB31" s="545"/>
      <c r="AC31" s="50"/>
      <c r="AD31" s="545" t="str">
        <f>IF(TITLE_NAME_OR_PR_CHANGE="",IF(TITLE_NAME_OR_PR="","",TITLE_NAME_OR_PR),TITLE_NAME_OR_PR_CHANGE)</f>
        <v/>
      </c>
      <c r="AE31" s="545"/>
      <c r="AF31" s="545"/>
      <c r="AG31" s="545"/>
      <c r="AH31" s="545"/>
      <c r="AI31" s="545"/>
      <c r="AJ31" s="545"/>
      <c r="AK31" s="545"/>
      <c r="AL31" s="545"/>
      <c r="AM31" s="545"/>
      <c r="AN31" s="545"/>
      <c r="AO31" s="545"/>
      <c r="AP31" s="545"/>
      <c r="AQ31" s="545"/>
      <c r="AR31" s="545"/>
      <c r="AS31" s="545"/>
      <c r="AT31" s="545"/>
      <c r="AU31" s="545"/>
      <c r="AV31" s="545"/>
      <c r="AW31" s="545"/>
      <c r="AX31" s="545"/>
      <c r="AY31" s="545"/>
      <c r="AZ31" s="545"/>
      <c r="BA31" s="50"/>
      <c r="BB31" s="50"/>
      <c r="BC31" s="546"/>
      <c r="BD31" s="130"/>
      <c r="BE31" s="130"/>
      <c r="BF31" s="130"/>
      <c r="BG31" s="130"/>
      <c r="BH31" s="130"/>
      <c r="BI31" s="185">
        <v>0</v>
      </c>
    </row>
    <row r="32" s="185" customFormat="1" ht="18.75" hidden="1" customHeight="1">
      <c r="A32" s="152"/>
      <c r="B32" s="152"/>
      <c r="C32" s="152"/>
      <c r="D32" s="152"/>
      <c r="E32" s="152"/>
      <c r="F32" s="152"/>
      <c r="G32" s="152"/>
      <c r="H32" s="152"/>
      <c r="I32" s="152"/>
      <c r="J32" s="152"/>
      <c r="K32" s="152"/>
      <c r="L32" s="482"/>
      <c r="M32" s="152"/>
      <c r="N32" s="152"/>
      <c r="O32" s="152"/>
      <c r="P32" s="152"/>
      <c r="Q32" s="152"/>
      <c r="S32" s="543" t="s">
        <v>417</v>
      </c>
      <c r="T32" s="543"/>
      <c r="U32" s="544"/>
      <c r="V32" s="547" t="str">
        <f>IF(TITLE_DATE_PR_CHANGE="",IF(TITLE_DATE_PR="","",TITLE_DATE_PR),TITLE_DATE_PR_CHANGE)</f>
        <v/>
      </c>
      <c r="W32" s="547"/>
      <c r="X32" s="547"/>
      <c r="Y32" s="547"/>
      <c r="Z32" s="547"/>
      <c r="AA32" s="547"/>
      <c r="AB32" s="547"/>
      <c r="AC32" s="50"/>
      <c r="AD32" s="547" t="str">
        <f>IF(TITLE_DATE_PR_CHANGE="",IF(TITLE_DATE_PR="","",TITLE_DATE_PR),TITLE_DATE_PR_CHANGE)</f>
        <v/>
      </c>
      <c r="AE32" s="547"/>
      <c r="AF32" s="547"/>
      <c r="AG32" s="547"/>
      <c r="AH32" s="547"/>
      <c r="AI32" s="547"/>
      <c r="AJ32" s="547"/>
      <c r="AK32" s="547"/>
      <c r="AL32" s="547"/>
      <c r="AM32" s="547"/>
      <c r="AN32" s="547"/>
      <c r="AO32" s="547"/>
      <c r="AP32" s="547"/>
      <c r="AQ32" s="547"/>
      <c r="AR32" s="547"/>
      <c r="AS32" s="547"/>
      <c r="AT32" s="547"/>
      <c r="AU32" s="547"/>
      <c r="AV32" s="547"/>
      <c r="AW32" s="547"/>
      <c r="AX32" s="547"/>
      <c r="AY32" s="547"/>
      <c r="AZ32" s="547"/>
      <c r="BA32" s="50"/>
      <c r="BB32" s="50"/>
      <c r="BC32" s="546"/>
      <c r="BD32" s="130"/>
      <c r="BE32" s="130"/>
      <c r="BF32" s="130"/>
      <c r="BG32" s="130"/>
      <c r="BH32" s="130"/>
      <c r="BI32" s="185">
        <v>0</v>
      </c>
    </row>
    <row r="33" s="185" customFormat="1" ht="18.75" hidden="1" customHeight="1">
      <c r="A33" s="152"/>
      <c r="B33" s="152"/>
      <c r="C33" s="152"/>
      <c r="D33" s="152"/>
      <c r="E33" s="152"/>
      <c r="F33" s="152"/>
      <c r="G33" s="152"/>
      <c r="H33" s="152"/>
      <c r="I33" s="152"/>
      <c r="J33" s="152"/>
      <c r="K33" s="152"/>
      <c r="L33" s="482"/>
      <c r="M33" s="152"/>
      <c r="N33" s="152"/>
      <c r="O33" s="152"/>
      <c r="P33" s="152"/>
      <c r="Q33" s="152"/>
      <c r="S33" s="543" t="s">
        <v>418</v>
      </c>
      <c r="T33" s="543"/>
      <c r="U33" s="544"/>
      <c r="V33" s="545" t="str">
        <f>IF(TITLE_NUMBER_PR_CHANGE="",IF(TITLE_NUMBER_PR="","",TITLE_NUMBER_PR),TITLE_NUMBER_PR_CHANGE)</f>
        <v/>
      </c>
      <c r="W33" s="545"/>
      <c r="X33" s="545"/>
      <c r="Y33" s="545"/>
      <c r="Z33" s="545"/>
      <c r="AA33" s="545"/>
      <c r="AB33" s="545"/>
      <c r="AC33" s="50"/>
      <c r="AD33" s="545" t="str">
        <f>IF(TITLE_NUMBER_PR_CHANGE="",IF(TITLE_NUMBER_PR="","",TITLE_NUMBER_PR),TITLE_NUMBER_PR_CHANGE)</f>
        <v/>
      </c>
      <c r="AE33" s="545"/>
      <c r="AF33" s="545"/>
      <c r="AG33" s="545"/>
      <c r="AH33" s="545"/>
      <c r="AI33" s="545"/>
      <c r="AJ33" s="545"/>
      <c r="AK33" s="545"/>
      <c r="AL33" s="545"/>
      <c r="AM33" s="545"/>
      <c r="AN33" s="545"/>
      <c r="AO33" s="545"/>
      <c r="AP33" s="545"/>
      <c r="AQ33" s="545"/>
      <c r="AR33" s="545"/>
      <c r="AS33" s="545"/>
      <c r="AT33" s="545"/>
      <c r="AU33" s="545"/>
      <c r="AV33" s="545"/>
      <c r="AW33" s="545"/>
      <c r="AX33" s="545"/>
      <c r="AY33" s="545"/>
      <c r="AZ33" s="545"/>
      <c r="BA33" s="50"/>
      <c r="BB33" s="50"/>
      <c r="BC33" s="546"/>
      <c r="BD33" s="130"/>
      <c r="BE33" s="130"/>
      <c r="BF33" s="130"/>
      <c r="BG33" s="130"/>
      <c r="BH33" s="130"/>
      <c r="BI33" s="185">
        <v>0</v>
      </c>
    </row>
    <row r="34" s="185" customFormat="1" ht="18.75" hidden="1" customHeight="1">
      <c r="A34" s="152"/>
      <c r="B34" s="152"/>
      <c r="C34" s="152"/>
      <c r="D34" s="152"/>
      <c r="E34" s="152"/>
      <c r="F34" s="152"/>
      <c r="G34" s="152"/>
      <c r="H34" s="152"/>
      <c r="I34" s="152"/>
      <c r="J34" s="152"/>
      <c r="K34" s="152"/>
      <c r="L34" s="482"/>
      <c r="M34" s="152"/>
      <c r="N34" s="152"/>
      <c r="O34" s="152"/>
      <c r="P34" s="152"/>
      <c r="Q34" s="152"/>
      <c r="S34" s="543" t="s">
        <v>42</v>
      </c>
      <c r="T34" s="543"/>
      <c r="U34" s="544"/>
      <c r="V34" s="545" t="str">
        <f>IF(TITLE_IST_PUB_CHANGE="",IF(TITLE_IST_PUB="","",TITLE_IST_PUB),TITLE_IST_PUB_CHANGE)</f>
        <v/>
      </c>
      <c r="W34" s="545"/>
      <c r="X34" s="545"/>
      <c r="Y34" s="545"/>
      <c r="Z34" s="545"/>
      <c r="AA34" s="545"/>
      <c r="AB34" s="545"/>
      <c r="AC34" s="50"/>
      <c r="AD34" s="545" t="str">
        <f>IF(TITLE_IST_PUB_CHANGE="",IF(TITLE_IST_PUB="","",TITLE_IST_PUB),TITLE_IST_PUB_CHANGE)</f>
        <v/>
      </c>
      <c r="AE34" s="545"/>
      <c r="AF34" s="545"/>
      <c r="AG34" s="545"/>
      <c r="AH34" s="545"/>
      <c r="AI34" s="545"/>
      <c r="AJ34" s="545"/>
      <c r="AK34" s="545"/>
      <c r="AL34" s="545"/>
      <c r="AM34" s="545"/>
      <c r="AN34" s="545"/>
      <c r="AO34" s="545"/>
      <c r="AP34" s="545"/>
      <c r="AQ34" s="545"/>
      <c r="AR34" s="545"/>
      <c r="AS34" s="545"/>
      <c r="AT34" s="545"/>
      <c r="AU34" s="545"/>
      <c r="AV34" s="545"/>
      <c r="AW34" s="545"/>
      <c r="AX34" s="545"/>
      <c r="AY34" s="545"/>
      <c r="AZ34" s="545"/>
      <c r="BA34" s="50"/>
      <c r="BB34" s="50"/>
      <c r="BC34" s="546"/>
      <c r="BD34" s="130"/>
      <c r="BE34" s="130"/>
      <c r="BF34" s="130"/>
      <c r="BG34" s="130"/>
      <c r="BH34" s="130"/>
      <c r="BI34" s="185">
        <v>0</v>
      </c>
    </row>
    <row r="35" ht="14.25" hidden="1" customHeight="1">
      <c r="Q35" s="660"/>
      <c r="R35" s="540"/>
      <c r="S35" s="541"/>
      <c r="T35" s="91"/>
      <c r="U35" s="91"/>
      <c r="V35" s="542"/>
      <c r="W35" s="542"/>
      <c r="X35" s="542"/>
      <c r="Y35" s="542"/>
      <c r="Z35" s="542"/>
      <c r="AA35" s="542"/>
      <c r="AB35" s="542"/>
      <c r="AC35" s="542"/>
      <c r="AD35" s="542"/>
      <c r="AE35" s="542"/>
      <c r="AF35" s="542"/>
      <c r="AG35" s="542"/>
      <c r="AH35" s="542"/>
      <c r="AI35" s="542"/>
      <c r="AJ35" s="542"/>
      <c r="AK35" s="542"/>
      <c r="AL35" s="542"/>
      <c r="AM35" s="542"/>
      <c r="AN35" s="542"/>
      <c r="AO35" s="542"/>
      <c r="AP35" s="542"/>
      <c r="AQ35" s="542"/>
      <c r="AR35" s="542"/>
      <c r="AS35" s="542"/>
      <c r="AT35" s="542"/>
      <c r="AU35" s="542"/>
      <c r="AV35" s="542"/>
      <c r="AW35" s="542"/>
      <c r="AX35" s="542"/>
      <c r="AY35" s="542"/>
      <c r="AZ35" s="542"/>
      <c r="BA35" s="542"/>
      <c r="BB35" s="50"/>
      <c r="BI35" s="50">
        <v>0</v>
      </c>
    </row>
    <row r="36" s="185" customFormat="1" ht="18.75" hidden="1" customHeight="1">
      <c r="A36" s="152"/>
      <c r="B36" s="152"/>
      <c r="C36" s="152"/>
      <c r="D36" s="152"/>
      <c r="E36" s="152"/>
      <c r="F36" s="152"/>
      <c r="G36" s="152"/>
      <c r="H36" s="152"/>
      <c r="I36" s="152"/>
      <c r="J36" s="152"/>
      <c r="K36" s="152"/>
      <c r="L36" s="482"/>
      <c r="M36" s="152"/>
      <c r="N36" s="152"/>
      <c r="O36" s="152"/>
      <c r="P36" s="152"/>
      <c r="Q36" s="152"/>
      <c r="S36" s="543" t="s">
        <v>417</v>
      </c>
      <c r="T36" s="543"/>
      <c r="U36" s="544"/>
      <c r="V36" s="547" t="str">
        <f>IF(TITLE_DATE_PR_CHANGE="",IF(TITLE_DATE_PR="","",TITLE_DATE_PR),TITLE_DATE_PR_CHANGE)</f>
        <v/>
      </c>
      <c r="W36" s="547"/>
      <c r="X36" s="547"/>
      <c r="Y36" s="547"/>
      <c r="Z36" s="547"/>
      <c r="AA36" s="547"/>
      <c r="AB36" s="547"/>
      <c r="AC36" s="50"/>
      <c r="AD36" s="547" t="str">
        <f>IF(TITLE_DATE_PR_CHANGE="",IF(TITLE_DATE_PR="","",TITLE_DATE_PR),TITLE_DATE_PR_CHANGE)</f>
        <v/>
      </c>
      <c r="AE36" s="547"/>
      <c r="AF36" s="547"/>
      <c r="AG36" s="547"/>
      <c r="AH36" s="547"/>
      <c r="AI36" s="547"/>
      <c r="AJ36" s="547"/>
      <c r="AK36" s="547"/>
      <c r="AL36" s="547"/>
      <c r="AM36" s="547"/>
      <c r="AN36" s="547"/>
      <c r="AO36" s="547"/>
      <c r="AP36" s="547"/>
      <c r="AQ36" s="547"/>
      <c r="AR36" s="547"/>
      <c r="AS36" s="547"/>
      <c r="AT36" s="547"/>
      <c r="AU36" s="547"/>
      <c r="AV36" s="547"/>
      <c r="AW36" s="547"/>
      <c r="AX36" s="547"/>
      <c r="AY36" s="547"/>
      <c r="AZ36" s="547"/>
      <c r="BA36" s="50"/>
      <c r="BB36" s="50"/>
      <c r="BC36" s="546"/>
      <c r="BD36" s="130"/>
      <c r="BE36" s="130"/>
      <c r="BF36" s="130"/>
      <c r="BG36" s="130"/>
      <c r="BH36" s="130"/>
      <c r="BI36" s="185">
        <v>0</v>
      </c>
    </row>
    <row r="37" s="185" customFormat="1" ht="18.75" hidden="1" customHeight="1">
      <c r="A37" s="152"/>
      <c r="B37" s="152"/>
      <c r="C37" s="152"/>
      <c r="D37" s="152"/>
      <c r="E37" s="152"/>
      <c r="F37" s="152"/>
      <c r="G37" s="152"/>
      <c r="H37" s="152"/>
      <c r="I37" s="152"/>
      <c r="J37" s="152"/>
      <c r="K37" s="152"/>
      <c r="L37" s="482"/>
      <c r="M37" s="152"/>
      <c r="N37" s="152"/>
      <c r="O37" s="152"/>
      <c r="P37" s="152"/>
      <c r="Q37" s="152"/>
      <c r="S37" s="543" t="s">
        <v>418</v>
      </c>
      <c r="T37" s="543"/>
      <c r="U37" s="544"/>
      <c r="V37" s="545" t="str">
        <f>IF(TITLE_NUMBER_PR_CHANGE="",IF(TITLE_NUMBER_PR="","",TITLE_NUMBER_PR),TITLE_NUMBER_PR_CHANGE)</f>
        <v/>
      </c>
      <c r="W37" s="545"/>
      <c r="X37" s="545"/>
      <c r="Y37" s="545"/>
      <c r="Z37" s="545"/>
      <c r="AA37" s="545"/>
      <c r="AB37" s="545"/>
      <c r="AC37" s="50"/>
      <c r="AD37" s="545" t="str">
        <f>IF(TITLE_NUMBER_PR_CHANGE="",IF(TITLE_NUMBER_PR="","",TITLE_NUMBER_PR),TITLE_NUMBER_PR_CHANGE)</f>
        <v/>
      </c>
      <c r="AE37" s="545"/>
      <c r="AF37" s="545"/>
      <c r="AG37" s="545"/>
      <c r="AH37" s="545"/>
      <c r="AI37" s="545"/>
      <c r="AJ37" s="545"/>
      <c r="AK37" s="545"/>
      <c r="AL37" s="545"/>
      <c r="AM37" s="545"/>
      <c r="AN37" s="545"/>
      <c r="AO37" s="545"/>
      <c r="AP37" s="545"/>
      <c r="AQ37" s="545"/>
      <c r="AR37" s="545"/>
      <c r="AS37" s="545"/>
      <c r="AT37" s="545"/>
      <c r="AU37" s="545"/>
      <c r="AV37" s="545"/>
      <c r="AW37" s="545"/>
      <c r="AX37" s="545"/>
      <c r="AY37" s="545"/>
      <c r="AZ37" s="545"/>
      <c r="BA37" s="50"/>
      <c r="BB37" s="50"/>
      <c r="BC37" s="546"/>
      <c r="BD37" s="130"/>
      <c r="BE37" s="130"/>
      <c r="BF37" s="130"/>
      <c r="BG37" s="130"/>
      <c r="BH37" s="130"/>
      <c r="BI37" s="185">
        <v>0</v>
      </c>
    </row>
    <row r="38" s="185" customFormat="1" ht="0" customHeight="1">
      <c r="A38" s="152"/>
      <c r="B38" s="152"/>
      <c r="C38" s="152"/>
      <c r="D38" s="152"/>
      <c r="E38" s="152"/>
      <c r="F38" s="152"/>
      <c r="G38" s="152"/>
      <c r="H38" s="152"/>
      <c r="I38" s="152"/>
      <c r="J38" s="152"/>
      <c r="K38" s="152"/>
      <c r="L38" s="482"/>
      <c r="M38" s="152"/>
      <c r="N38" s="152"/>
      <c r="O38" s="152"/>
      <c r="P38" s="152"/>
      <c r="Q38" s="152"/>
      <c r="S38" s="50"/>
      <c r="T38" s="50"/>
      <c r="U38" s="141"/>
      <c r="V38" s="50"/>
      <c r="W38" s="50"/>
      <c r="X38" s="50"/>
      <c r="Y38" s="50"/>
      <c r="Z38" s="50"/>
      <c r="AA38" s="50"/>
      <c r="AB38" s="50"/>
      <c r="AC38" s="57" t="s">
        <v>421</v>
      </c>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7" t="s">
        <v>421</v>
      </c>
      <c r="BD38" s="130"/>
      <c r="BE38" s="130"/>
      <c r="BF38" s="130"/>
      <c r="BG38" s="130"/>
      <c r="BH38" s="130"/>
      <c r="BI38" s="185">
        <v>0</v>
      </c>
    </row>
    <row r="39" ht="14.65" customHeight="1">
      <c r="Q39" s="660"/>
      <c r="R39" s="540"/>
      <c r="S39" s="541"/>
      <c r="T39" s="91"/>
      <c r="U39" s="548"/>
      <c r="V39" s="549"/>
      <c r="W39" s="549"/>
      <c r="X39" s="549"/>
      <c r="Y39" s="549"/>
      <c r="Z39" s="549"/>
      <c r="AA39" s="549"/>
      <c r="AB39" s="549"/>
      <c r="AC39" s="549"/>
      <c r="AD39" s="549"/>
      <c r="AE39" s="549"/>
      <c r="AF39" s="549"/>
      <c r="AG39" s="549"/>
      <c r="AH39" s="549"/>
      <c r="AI39" s="549"/>
      <c r="AJ39" s="549"/>
      <c r="AK39" s="549"/>
      <c r="AL39" s="549"/>
      <c r="AM39" s="549"/>
      <c r="AN39" s="549"/>
      <c r="AO39" s="549"/>
      <c r="AP39" s="549"/>
      <c r="AQ39" s="549"/>
      <c r="AR39" s="549"/>
      <c r="AS39" s="549"/>
      <c r="AT39" s="549"/>
      <c r="AU39" s="549"/>
      <c r="AV39" s="549"/>
      <c r="AW39" s="549"/>
      <c r="AX39" s="549"/>
      <c r="AY39" s="549"/>
      <c r="AZ39" s="549"/>
      <c r="BA39" s="549"/>
      <c r="BI39" s="50">
        <v>14</v>
      </c>
    </row>
    <row r="40" ht="14.65" customHeight="1">
      <c r="Q40" s="660"/>
      <c r="R40" s="540"/>
      <c r="S40" s="158" t="s">
        <v>294</v>
      </c>
      <c r="T40" s="158"/>
      <c r="U40" s="158"/>
      <c r="V40" s="158"/>
      <c r="W40" s="158"/>
      <c r="X40" s="158"/>
      <c r="Y40" s="158"/>
      <c r="Z40" s="158"/>
      <c r="AA40" s="158"/>
      <c r="AB40" s="158"/>
      <c r="AC40" s="158"/>
      <c r="AD40" s="158"/>
      <c r="AE40" s="158"/>
      <c r="AF40" s="158"/>
      <c r="AG40" s="158"/>
      <c r="AH40" s="158"/>
      <c r="AI40" s="158"/>
      <c r="AJ40" s="158"/>
      <c r="AK40" s="158"/>
      <c r="AL40" s="158"/>
      <c r="AM40" s="158"/>
      <c r="AN40" s="158"/>
      <c r="AO40" s="158"/>
      <c r="AP40" s="158"/>
      <c r="AQ40" s="158"/>
      <c r="AR40" s="158"/>
      <c r="AS40" s="158"/>
      <c r="AT40" s="158"/>
      <c r="AU40" s="158"/>
      <c r="AV40" s="158"/>
      <c r="AW40" s="158"/>
      <c r="AX40" s="158"/>
      <c r="AY40" s="158"/>
      <c r="AZ40" s="158"/>
      <c r="BA40" s="158"/>
      <c r="BB40" s="158"/>
      <c r="BC40" s="158" t="s">
        <v>295</v>
      </c>
      <c r="BI40" s="50">
        <v>14</v>
      </c>
    </row>
    <row r="41" ht="14.65" customHeight="1">
      <c r="Q41" s="660"/>
      <c r="R41" s="540"/>
      <c r="S41" s="485" t="s">
        <v>87</v>
      </c>
      <c r="T41" s="348" t="s">
        <v>501</v>
      </c>
      <c r="U41" s="550"/>
      <c r="V41" s="551" t="s">
        <v>423</v>
      </c>
      <c r="W41" s="552"/>
      <c r="X41" s="552"/>
      <c r="Y41" s="552"/>
      <c r="Z41" s="552"/>
      <c r="AA41" s="552"/>
      <c r="AB41" s="553"/>
      <c r="AC41" s="554" t="s">
        <v>424</v>
      </c>
      <c r="AD41" s="662" t="s">
        <v>518</v>
      </c>
      <c r="AE41" s="585"/>
      <c r="AF41" s="585"/>
      <c r="AG41" s="663"/>
      <c r="AH41" s="662" t="s">
        <v>519</v>
      </c>
      <c r="AI41" s="585"/>
      <c r="AJ41" s="585"/>
      <c r="AK41" s="663"/>
      <c r="AL41" s="662" t="s">
        <v>520</v>
      </c>
      <c r="AM41" s="585"/>
      <c r="AN41" s="585"/>
      <c r="AO41" s="663"/>
      <c r="AP41" s="662" t="s">
        <v>505</v>
      </c>
      <c r="AQ41" s="585"/>
      <c r="AR41" s="585"/>
      <c r="AS41" s="663"/>
      <c r="AT41" s="551" t="s">
        <v>423</v>
      </c>
      <c r="AU41" s="552"/>
      <c r="AV41" s="552"/>
      <c r="AW41" s="552"/>
      <c r="AX41" s="552"/>
      <c r="AY41" s="552"/>
      <c r="AZ41" s="553"/>
      <c r="BA41" s="554" t="s">
        <v>424</v>
      </c>
      <c r="BB41" s="555" t="s">
        <v>426</v>
      </c>
      <c r="BC41" s="158"/>
      <c r="BI41" s="50">
        <v>14</v>
      </c>
    </row>
    <row r="42" ht="35.649999999999999" customHeight="1">
      <c r="Q42" s="660"/>
      <c r="R42" s="540"/>
      <c r="S42" s="485"/>
      <c r="T42" s="348"/>
      <c r="U42" s="556"/>
      <c r="V42" s="305" t="s">
        <v>506</v>
      </c>
      <c r="W42" s="306"/>
      <c r="X42" s="305" t="s">
        <v>507</v>
      </c>
      <c r="Y42" s="306"/>
      <c r="Z42" s="305" t="s">
        <v>508</v>
      </c>
      <c r="AA42" s="627"/>
      <c r="AB42" s="306"/>
      <c r="AC42" s="558"/>
      <c r="AD42" s="665"/>
      <c r="AE42" s="666"/>
      <c r="AF42" s="666"/>
      <c r="AG42" s="667"/>
      <c r="AH42" s="665"/>
      <c r="AI42" s="666"/>
      <c r="AJ42" s="666"/>
      <c r="AK42" s="667"/>
      <c r="AL42" s="665"/>
      <c r="AM42" s="666"/>
      <c r="AN42" s="666"/>
      <c r="AO42" s="667"/>
      <c r="AP42" s="665"/>
      <c r="AQ42" s="666"/>
      <c r="AR42" s="666"/>
      <c r="AS42" s="667"/>
      <c r="AT42" s="305" t="s">
        <v>521</v>
      </c>
      <c r="AU42" s="306"/>
      <c r="AV42" s="305" t="s">
        <v>522</v>
      </c>
      <c r="AW42" s="306"/>
      <c r="AX42" s="305" t="s">
        <v>508</v>
      </c>
      <c r="AY42" s="627"/>
      <c r="AZ42" s="306"/>
      <c r="BA42" s="558"/>
      <c r="BB42" s="559"/>
      <c r="BC42" s="158"/>
      <c r="BI42" s="50">
        <v>34</v>
      </c>
    </row>
    <row r="43" ht="14.65" customHeight="1">
      <c r="Q43" s="660"/>
      <c r="R43" s="540"/>
      <c r="S43" s="485"/>
      <c r="T43" s="348"/>
      <c r="U43" s="556"/>
      <c r="V43" s="311"/>
      <c r="W43" s="312"/>
      <c r="X43" s="311"/>
      <c r="Y43" s="312"/>
      <c r="Z43" s="311"/>
      <c r="AA43" s="628"/>
      <c r="AB43" s="312"/>
      <c r="AC43" s="558"/>
      <c r="AD43" s="665"/>
      <c r="AE43" s="666"/>
      <c r="AF43" s="666"/>
      <c r="AG43" s="667"/>
      <c r="AH43" s="665"/>
      <c r="AI43" s="666"/>
      <c r="AJ43" s="666"/>
      <c r="AK43" s="667"/>
      <c r="AL43" s="665"/>
      <c r="AM43" s="666"/>
      <c r="AN43" s="666"/>
      <c r="AO43" s="667"/>
      <c r="AP43" s="665"/>
      <c r="AQ43" s="666"/>
      <c r="AR43" s="666"/>
      <c r="AS43" s="667"/>
      <c r="AT43" s="311"/>
      <c r="AU43" s="312"/>
      <c r="AV43" s="311"/>
      <c r="AW43" s="312"/>
      <c r="AX43" s="311"/>
      <c r="AY43" s="628"/>
      <c r="AZ43" s="312"/>
      <c r="BA43" s="558"/>
      <c r="BB43" s="559"/>
      <c r="BC43" s="158"/>
      <c r="BI43" s="50">
        <v>14</v>
      </c>
    </row>
    <row r="44" ht="14.65" customHeight="1">
      <c r="A44" s="152"/>
      <c r="B44" s="152" t="s">
        <v>131</v>
      </c>
      <c r="C44" s="152" t="s">
        <v>132</v>
      </c>
      <c r="D44" s="152" t="s">
        <v>133</v>
      </c>
      <c r="E44" s="482" t="s">
        <v>431</v>
      </c>
      <c r="F44" s="482" t="s">
        <v>432</v>
      </c>
      <c r="G44" s="482" t="s">
        <v>433</v>
      </c>
      <c r="H44" s="482" t="s">
        <v>434</v>
      </c>
      <c r="I44" s="482" t="s">
        <v>435</v>
      </c>
      <c r="J44" s="482" t="s">
        <v>436</v>
      </c>
      <c r="K44" s="482" t="s">
        <v>437</v>
      </c>
      <c r="L44" s="482" t="s">
        <v>412</v>
      </c>
      <c r="Q44" s="660"/>
      <c r="R44" s="540"/>
      <c r="S44" s="485"/>
      <c r="T44" s="348"/>
      <c r="U44" s="560"/>
      <c r="V44" s="348" t="s">
        <v>472</v>
      </c>
      <c r="W44" s="348" t="s">
        <v>473</v>
      </c>
      <c r="X44" s="348" t="s">
        <v>472</v>
      </c>
      <c r="Y44" s="348" t="s">
        <v>473</v>
      </c>
      <c r="Z44" s="247" t="s">
        <v>440</v>
      </c>
      <c r="AA44" s="416" t="s">
        <v>441</v>
      </c>
      <c r="AB44" s="418"/>
      <c r="AC44" s="562"/>
      <c r="AD44" s="671"/>
      <c r="AE44" s="672"/>
      <c r="AF44" s="672"/>
      <c r="AG44" s="673"/>
      <c r="AH44" s="671"/>
      <c r="AI44" s="672"/>
      <c r="AJ44" s="672"/>
      <c r="AK44" s="673"/>
      <c r="AL44" s="671"/>
      <c r="AM44" s="672"/>
      <c r="AN44" s="672"/>
      <c r="AO44" s="673"/>
      <c r="AP44" s="671"/>
      <c r="AQ44" s="672"/>
      <c r="AR44" s="672"/>
      <c r="AS44" s="673"/>
      <c r="AT44" s="348" t="s">
        <v>472</v>
      </c>
      <c r="AU44" s="348" t="s">
        <v>473</v>
      </c>
      <c r="AV44" s="348" t="s">
        <v>472</v>
      </c>
      <c r="AW44" s="348" t="s">
        <v>473</v>
      </c>
      <c r="AX44" s="247" t="s">
        <v>440</v>
      </c>
      <c r="AY44" s="416" t="s">
        <v>441</v>
      </c>
      <c r="AZ44" s="418"/>
      <c r="BA44" s="562"/>
      <c r="BB44" s="563"/>
      <c r="BC44" s="158"/>
      <c r="BI44" s="50">
        <v>14</v>
      </c>
    </row>
    <row r="45" s="132" customFormat="1" ht="11.25" hidden="1" customHeight="1">
      <c r="A45" s="152"/>
      <c r="B45" s="152"/>
      <c r="C45" s="152"/>
      <c r="D45" s="152"/>
      <c r="E45" s="152"/>
      <c r="F45" s="152"/>
      <c r="G45" s="152"/>
      <c r="H45" s="152"/>
      <c r="I45" s="152"/>
      <c r="J45" s="152"/>
      <c r="K45" s="152"/>
      <c r="L45" s="482"/>
      <c r="M45" s="61"/>
      <c r="N45" s="61"/>
      <c r="O45" s="61"/>
      <c r="P45" s="597"/>
      <c r="Q45" s="566"/>
      <c r="R45" s="566">
        <v>1</v>
      </c>
      <c r="S45" s="567" t="s">
        <v>105</v>
      </c>
      <c r="T45" s="568" t="s">
        <v>106</v>
      </c>
      <c r="U45" s="569" t="str">
        <f ca="1">OFFSET(U45,0,-1)</f>
        <v>2</v>
      </c>
      <c r="V45" s="570">
        <f ca="1">OFFSET(V45,0,-1)+1</f>
        <v>3</v>
      </c>
      <c r="W45" s="570">
        <f ca="1">OFFSET(W45,0,-1)+1</f>
        <v>4</v>
      </c>
      <c r="X45" s="570">
        <f ca="1">OFFSET(X45,0,-1)+1</f>
        <v>5</v>
      </c>
      <c r="Y45" s="570">
        <f ca="1">OFFSET(Y45,0,-1)+1</f>
        <v>6</v>
      </c>
      <c r="Z45" s="570">
        <f ca="1">OFFSET(Z45,0,-1)+1</f>
        <v>7</v>
      </c>
      <c r="AA45" s="570">
        <f ca="1">OFFSET(AA45,0,-1)+1</f>
        <v>8</v>
      </c>
      <c r="AB45" s="570"/>
      <c r="AC45" s="570">
        <f ca="1">OFFSET(AC45,0,-2)+1</f>
        <v>9</v>
      </c>
      <c r="AD45" s="570">
        <f ca="1">OFFSET(AD45,0,-1)+1</f>
        <v>10</v>
      </c>
      <c r="AE45" s="570"/>
      <c r="AF45" s="570"/>
      <c r="AG45" s="570"/>
      <c r="AH45" s="570"/>
      <c r="AI45" s="570"/>
      <c r="AJ45" s="570"/>
      <c r="AK45" s="570"/>
      <c r="AL45" s="570"/>
      <c r="AM45" s="570"/>
      <c r="AN45" s="570"/>
      <c r="AO45" s="570"/>
      <c r="AP45" s="570"/>
      <c r="AQ45" s="570"/>
      <c r="AR45" s="570"/>
      <c r="AS45" s="570"/>
      <c r="AT45" s="570"/>
      <c r="AU45" s="570"/>
      <c r="AV45" s="570"/>
      <c r="AW45" s="570">
        <f ca="1">OFFSET(AW45,0,-1)+1</f>
        <v>1</v>
      </c>
      <c r="AX45" s="570">
        <f ca="1">OFFSET(AX45,0,-1)+1</f>
        <v>2</v>
      </c>
      <c r="AY45" s="570">
        <f ca="1">OFFSET(AY45,0,-1)+1</f>
        <v>3</v>
      </c>
      <c r="AZ45" s="570"/>
      <c r="BA45" s="570">
        <f ca="1">OFFSET(BA45,0,-2)+1</f>
        <v>4</v>
      </c>
      <c r="BB45" s="569">
        <f ca="1">OFFSET(BB45,0,-1)</f>
        <v>4</v>
      </c>
      <c r="BC45" s="570">
        <f ca="1">OFFSET(BC45,0,-1)+1</f>
        <v>5</v>
      </c>
      <c r="BD45" s="57"/>
      <c r="BE45" s="57"/>
      <c r="BF45" s="57"/>
      <c r="BG45" s="57"/>
      <c r="BH45" s="57"/>
      <c r="BI45" s="132">
        <v>0</v>
      </c>
    </row>
    <row r="46" ht="22" customHeight="1">
      <c r="A46" s="480" t="s">
        <v>270</v>
      </c>
      <c r="B46" s="480"/>
      <c r="C46" s="480"/>
      <c r="D46" s="480"/>
      <c r="E46" s="481">
        <v>1</v>
      </c>
      <c r="F46" s="480"/>
      <c r="G46" s="480"/>
      <c r="H46" s="480"/>
      <c r="I46" s="480"/>
      <c r="J46" s="480"/>
      <c r="K46" s="480"/>
      <c r="L46" s="482"/>
      <c r="M46" s="483"/>
      <c r="N46" s="483"/>
      <c r="O46" s="483"/>
      <c r="P46" s="61"/>
      <c r="Q46" s="64"/>
      <c r="R46" s="484"/>
      <c r="S46" s="485">
        <f>INDEX(PT_DIFFERENTIATION_NUM_NTAR,MATCH(A46,PT_DIFFERENTIATION_NTAR_ID,0))</f>
        <v>0</v>
      </c>
      <c r="T46" s="486" t="s">
        <v>119</v>
      </c>
      <c r="U46" s="487"/>
      <c r="V46" s="489"/>
      <c r="W46" s="489"/>
      <c r="X46" s="489"/>
      <c r="Y46" s="489"/>
      <c r="Z46" s="489"/>
      <c r="AA46" s="489"/>
      <c r="AB46" s="489"/>
      <c r="AC46" s="490"/>
      <c r="AD46" s="488" t="str">
        <f>INDEX(PT_DIFFERENTIATION_NTAR,MATCH(A46,PT_DIFFERENTIATION_NTAR_ID,0))</f>
        <v/>
      </c>
      <c r="AE46" s="489"/>
      <c r="AF46" s="489"/>
      <c r="AG46" s="489"/>
      <c r="AH46" s="489"/>
      <c r="AI46" s="489"/>
      <c r="AJ46" s="489"/>
      <c r="AK46" s="489"/>
      <c r="AL46" s="489"/>
      <c r="AM46" s="489"/>
      <c r="AN46" s="489"/>
      <c r="AO46" s="489"/>
      <c r="AP46" s="489"/>
      <c r="AQ46" s="489"/>
      <c r="AR46" s="489"/>
      <c r="AS46" s="489"/>
      <c r="AT46" s="489"/>
      <c r="AU46" s="489"/>
      <c r="AV46" s="489"/>
      <c r="AW46" s="489"/>
      <c r="AX46" s="489"/>
      <c r="AY46" s="489"/>
      <c r="AZ46" s="489"/>
      <c r="BA46" s="489"/>
      <c r="BB46" s="490"/>
      <c r="BC46" s="49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130"/>
      <c r="BF46" s="130" t="str">
        <f t="shared" si="40"/>
        <v xml:space="preserve">Наименование тарифа</v>
      </c>
      <c r="BG46" s="130"/>
      <c r="BH46" s="130"/>
      <c r="BI46" s="50">
        <v>21</v>
      </c>
    </row>
    <row r="47" ht="22" customHeight="1">
      <c r="A47" s="480" t="s">
        <v>270</v>
      </c>
      <c r="B47" s="480" t="s">
        <v>271</v>
      </c>
      <c r="C47" s="480"/>
      <c r="D47" s="480"/>
      <c r="E47" s="492"/>
      <c r="F47" s="481">
        <v>1</v>
      </c>
      <c r="G47" s="480"/>
      <c r="H47" s="480"/>
      <c r="I47" s="480"/>
      <c r="J47" s="480"/>
      <c r="K47" s="480"/>
      <c r="L47" s="482"/>
      <c r="M47" s="483"/>
      <c r="N47" s="483"/>
      <c r="O47" s="483"/>
      <c r="P47" s="114"/>
      <c r="Q47" s="630"/>
      <c r="R47" s="494"/>
      <c r="S47" s="485" t="str">
        <f>INDEX(PT_DIFFERENTIATION_NUM_TER,MATCH(B47,PT_DIFFERENTIATION_TER_ID,0))</f>
        <v>.</v>
      </c>
      <c r="T47" s="495" t="s">
        <v>391</v>
      </c>
      <c r="U47" s="487"/>
      <c r="V47" s="489"/>
      <c r="W47" s="489"/>
      <c r="X47" s="489"/>
      <c r="Y47" s="489"/>
      <c r="Z47" s="489"/>
      <c r="AA47" s="489"/>
      <c r="AB47" s="489"/>
      <c r="AC47" s="490"/>
      <c r="AD47" s="488" t="str">
        <f>INDEX(PT_DIFFERENTIATION_TER,MATCH(B47,PT_DIFFERENTIATION_TER_ID,0))</f>
        <v/>
      </c>
      <c r="AE47" s="489"/>
      <c r="AF47" s="489"/>
      <c r="AG47" s="489"/>
      <c r="AH47" s="489"/>
      <c r="AI47" s="489"/>
      <c r="AJ47" s="489"/>
      <c r="AK47" s="489"/>
      <c r="AL47" s="489"/>
      <c r="AM47" s="489"/>
      <c r="AN47" s="489"/>
      <c r="AO47" s="489"/>
      <c r="AP47" s="489"/>
      <c r="AQ47" s="489"/>
      <c r="AR47" s="489"/>
      <c r="AS47" s="489"/>
      <c r="AT47" s="489"/>
      <c r="AU47" s="489"/>
      <c r="AV47" s="489"/>
      <c r="AW47" s="489"/>
      <c r="AX47" s="489"/>
      <c r="AY47" s="489"/>
      <c r="AZ47" s="489"/>
      <c r="BA47" s="489"/>
      <c r="BB47" s="490"/>
      <c r="BC47" s="491" t="s">
        <v>392</v>
      </c>
      <c r="BE47" s="130"/>
      <c r="BF47" s="130" t="str">
        <f t="shared" si="40"/>
        <v xml:space="preserve">Территория действия тарифа</v>
      </c>
      <c r="BG47" s="130"/>
      <c r="BH47" s="130"/>
      <c r="BI47" s="50">
        <v>21</v>
      </c>
    </row>
    <row r="48" ht="35.649999999999999" customHeight="1">
      <c r="A48" s="480" t="s">
        <v>270</v>
      </c>
      <c r="B48" s="480" t="s">
        <v>271</v>
      </c>
      <c r="C48" s="480" t="s">
        <v>272</v>
      </c>
      <c r="D48" s="480"/>
      <c r="E48" s="492"/>
      <c r="F48" s="492"/>
      <c r="G48" s="481">
        <v>1</v>
      </c>
      <c r="H48" s="480"/>
      <c r="I48" s="480"/>
      <c r="J48" s="480"/>
      <c r="K48" s="480"/>
      <c r="L48" s="482"/>
      <c r="M48" s="483"/>
      <c r="N48" s="483"/>
      <c r="O48" s="483"/>
      <c r="P48" s="136"/>
      <c r="Q48" s="630"/>
      <c r="R48" s="494"/>
      <c r="S48" s="485" t="str">
        <f>INDEX(PT_DIFFERENTIATION_NUM_CS,MATCH(C48,PT_DIFFERENTIATION_CS_ID,0))</f>
        <v>..</v>
      </c>
      <c r="T48" s="497" t="s">
        <v>510</v>
      </c>
      <c r="U48" s="487"/>
      <c r="V48" s="489"/>
      <c r="W48" s="489"/>
      <c r="X48" s="489"/>
      <c r="Y48" s="489"/>
      <c r="Z48" s="489"/>
      <c r="AA48" s="489"/>
      <c r="AB48" s="489"/>
      <c r="AC48" s="490"/>
      <c r="AD48" s="488" t="str">
        <f>INDEX(PT_DIFFERENTIATION_CS,MATCH(C48,PT_DIFFERENTIATION_CS_ID,0))</f>
        <v/>
      </c>
      <c r="AE48" s="489"/>
      <c r="AF48" s="489"/>
      <c r="AG48" s="489"/>
      <c r="AH48" s="489"/>
      <c r="AI48" s="489"/>
      <c r="AJ48" s="489"/>
      <c r="AK48" s="489"/>
      <c r="AL48" s="489"/>
      <c r="AM48" s="489"/>
      <c r="AN48" s="489"/>
      <c r="AO48" s="489"/>
      <c r="AP48" s="489"/>
      <c r="AQ48" s="489"/>
      <c r="AR48" s="489"/>
      <c r="AS48" s="489"/>
      <c r="AT48" s="489"/>
      <c r="AU48" s="489"/>
      <c r="AV48" s="489"/>
      <c r="AW48" s="489"/>
      <c r="AX48" s="489"/>
      <c r="AY48" s="489"/>
      <c r="AZ48" s="489"/>
      <c r="BA48" s="489"/>
      <c r="BB48" s="490"/>
      <c r="BC48" s="491" t="s">
        <v>511</v>
      </c>
      <c r="BE48" s="130"/>
      <c r="BF48" s="130" t="str">
        <f t="shared" si="40"/>
        <v xml:space="preserve">Наименование централизованной системы водоотведения</v>
      </c>
      <c r="BG48" s="130"/>
      <c r="BH48" s="130"/>
      <c r="BI48" s="50">
        <v>34</v>
      </c>
    </row>
    <row r="49" s="57" customFormat="1" ht="0" customHeight="1">
      <c r="A49" s="134" t="s">
        <v>270</v>
      </c>
      <c r="B49" s="134" t="s">
        <v>271</v>
      </c>
      <c r="C49" s="134" t="s">
        <v>272</v>
      </c>
      <c r="D49" s="134" t="s">
        <v>523</v>
      </c>
      <c r="E49" s="492"/>
      <c r="F49" s="492"/>
      <c r="G49" s="492"/>
      <c r="H49" s="481">
        <v>1</v>
      </c>
      <c r="I49" s="134"/>
      <c r="J49" s="134"/>
      <c r="K49" s="134"/>
      <c r="L49" s="213"/>
      <c r="M49" s="465"/>
      <c r="N49" s="465"/>
      <c r="O49" s="465"/>
      <c r="P49" s="695"/>
      <c r="Q49" s="696"/>
      <c r="R49" s="505"/>
      <c r="S49" s="352"/>
      <c r="T49" s="697"/>
      <c r="U49" s="588"/>
      <c r="V49" s="590"/>
      <c r="W49" s="590"/>
      <c r="X49" s="590"/>
      <c r="Y49" s="590"/>
      <c r="Z49" s="590"/>
      <c r="AA49" s="590"/>
      <c r="AB49" s="590"/>
      <c r="AC49" s="591"/>
      <c r="AD49" s="589"/>
      <c r="AE49" s="590"/>
      <c r="AF49" s="590"/>
      <c r="AG49" s="590"/>
      <c r="AH49" s="590"/>
      <c r="AI49" s="590"/>
      <c r="AJ49" s="590"/>
      <c r="AK49" s="590"/>
      <c r="AL49" s="590"/>
      <c r="AM49" s="590"/>
      <c r="AN49" s="590"/>
      <c r="AO49" s="590"/>
      <c r="AP49" s="590"/>
      <c r="AQ49" s="590"/>
      <c r="AR49" s="590"/>
      <c r="AS49" s="590"/>
      <c r="AT49" s="590"/>
      <c r="AU49" s="590"/>
      <c r="AV49" s="590"/>
      <c r="AW49" s="590"/>
      <c r="AX49" s="590"/>
      <c r="AY49" s="590"/>
      <c r="AZ49" s="590"/>
      <c r="BA49" s="590"/>
      <c r="BB49" s="591"/>
      <c r="BC49" s="592" t="s">
        <v>396</v>
      </c>
      <c r="BE49" s="130"/>
      <c r="BF49" s="130" t="str">
        <f t="shared" si="40"/>
        <v/>
      </c>
      <c r="BG49" s="130"/>
      <c r="BH49" s="130"/>
      <c r="BI49" s="57">
        <v>0</v>
      </c>
    </row>
    <row r="50" s="57" customFormat="1" ht="0" customHeight="1">
      <c r="A50" s="134" t="s">
        <v>270</v>
      </c>
      <c r="B50" s="134" t="s">
        <v>271</v>
      </c>
      <c r="C50" s="134" t="s">
        <v>272</v>
      </c>
      <c r="D50" s="134" t="s">
        <v>523</v>
      </c>
      <c r="E50" s="492"/>
      <c r="F50" s="492"/>
      <c r="G50" s="492"/>
      <c r="H50" s="492"/>
      <c r="I50" s="499" t="str">
        <f>S49&amp;".1"</f>
        <v>.1</v>
      </c>
      <c r="J50" s="134"/>
      <c r="K50" s="134"/>
      <c r="L50" s="213" t="s">
        <v>397</v>
      </c>
      <c r="M50" s="597"/>
      <c r="N50" s="597"/>
      <c r="O50" s="597"/>
      <c r="P50" s="133">
        <v>1</v>
      </c>
      <c r="Q50" s="133"/>
      <c r="R50" s="500"/>
      <c r="S50" s="352"/>
      <c r="T50" s="587"/>
      <c r="U50" s="588"/>
      <c r="V50" s="590"/>
      <c r="W50" s="590"/>
      <c r="X50" s="590"/>
      <c r="Y50" s="590"/>
      <c r="Z50" s="590"/>
      <c r="AA50" s="590"/>
      <c r="AB50" s="590"/>
      <c r="AC50" s="591"/>
      <c r="AD50" s="589"/>
      <c r="AE50" s="590"/>
      <c r="AF50" s="590"/>
      <c r="AG50" s="590"/>
      <c r="AH50" s="590"/>
      <c r="AI50" s="590"/>
      <c r="AJ50" s="590"/>
      <c r="AK50" s="590"/>
      <c r="AL50" s="590"/>
      <c r="AM50" s="590"/>
      <c r="AN50" s="590"/>
      <c r="AO50" s="590"/>
      <c r="AP50" s="590"/>
      <c r="AQ50" s="590"/>
      <c r="AR50" s="590"/>
      <c r="AS50" s="590"/>
      <c r="AT50" s="590"/>
      <c r="AU50" s="590"/>
      <c r="AV50" s="590"/>
      <c r="AW50" s="590"/>
      <c r="AX50" s="590"/>
      <c r="AY50" s="590"/>
      <c r="AZ50" s="590"/>
      <c r="BA50" s="590"/>
      <c r="BB50" s="591"/>
      <c r="BC50" s="592"/>
      <c r="BE50" s="130"/>
      <c r="BF50" s="130" t="str">
        <f t="shared" si="40"/>
        <v/>
      </c>
      <c r="BG50" s="130"/>
      <c r="BH50" s="130"/>
      <c r="BI50" s="57">
        <v>0</v>
      </c>
    </row>
    <row r="51" s="57" customFormat="1" ht="0" customHeight="1">
      <c r="A51" s="134" t="s">
        <v>270</v>
      </c>
      <c r="B51" s="134" t="s">
        <v>271</v>
      </c>
      <c r="C51" s="134" t="s">
        <v>272</v>
      </c>
      <c r="D51" s="134" t="s">
        <v>523</v>
      </c>
      <c r="E51" s="492"/>
      <c r="F51" s="492"/>
      <c r="G51" s="492"/>
      <c r="H51" s="492"/>
      <c r="I51" s="504"/>
      <c r="J51" s="499" t="str">
        <f>S49&amp;".1"</f>
        <v>.1</v>
      </c>
      <c r="K51" s="134"/>
      <c r="L51" s="213"/>
      <c r="M51" s="597"/>
      <c r="N51" s="597"/>
      <c r="O51" s="597"/>
      <c r="P51" s="133"/>
      <c r="Q51" s="133">
        <v>1</v>
      </c>
      <c r="R51" s="505"/>
      <c r="S51" s="352"/>
      <c r="T51" s="631"/>
      <c r="U51" s="588"/>
      <c r="V51" s="590"/>
      <c r="W51" s="590"/>
      <c r="X51" s="590"/>
      <c r="Y51" s="590"/>
      <c r="Z51" s="590"/>
      <c r="AA51" s="590"/>
      <c r="AB51" s="590"/>
      <c r="AC51" s="591"/>
      <c r="AD51" s="589"/>
      <c r="AE51" s="590"/>
      <c r="AF51" s="590"/>
      <c r="AG51" s="590"/>
      <c r="AH51" s="590"/>
      <c r="AI51" s="590"/>
      <c r="AJ51" s="590"/>
      <c r="AK51" s="590"/>
      <c r="AL51" s="590"/>
      <c r="AM51" s="590"/>
      <c r="AN51" s="704"/>
      <c r="AO51" s="704"/>
      <c r="AP51" s="590"/>
      <c r="AQ51" s="590"/>
      <c r="AR51" s="590"/>
      <c r="AS51" s="590"/>
      <c r="AT51" s="590"/>
      <c r="AU51" s="590"/>
      <c r="AV51" s="590"/>
      <c r="AW51" s="590"/>
      <c r="AX51" s="590"/>
      <c r="AY51" s="590"/>
      <c r="AZ51" s="590"/>
      <c r="BA51" s="590"/>
      <c r="BB51" s="591"/>
      <c r="BC51" s="592"/>
      <c r="BE51" s="130"/>
      <c r="BF51" s="130" t="str">
        <f t="shared" si="40"/>
        <v/>
      </c>
      <c r="BG51" s="130"/>
      <c r="BH51" s="130"/>
      <c r="BI51" s="57">
        <v>0</v>
      </c>
    </row>
    <row r="52" ht="11.5" customHeight="1">
      <c r="A52" s="480" t="s">
        <v>270</v>
      </c>
      <c r="B52" s="480" t="s">
        <v>271</v>
      </c>
      <c r="C52" s="480" t="s">
        <v>272</v>
      </c>
      <c r="D52" s="480" t="s">
        <v>523</v>
      </c>
      <c r="E52" s="492"/>
      <c r="F52" s="492"/>
      <c r="G52" s="492"/>
      <c r="H52" s="492"/>
      <c r="I52" s="504"/>
      <c r="J52" s="504"/>
      <c r="K52" s="499" t="str">
        <f>S48&amp;".1"</f>
        <v>...1</v>
      </c>
      <c r="L52" s="482"/>
      <c r="P52" s="133"/>
      <c r="Q52" s="133"/>
      <c r="R52" s="505">
        <v>1</v>
      </c>
      <c r="S52" s="599" t="str">
        <f>$K52</f>
        <v>...1</v>
      </c>
      <c r="T52" s="690"/>
      <c r="U52" s="487"/>
      <c r="V52" s="508"/>
      <c r="W52" s="510"/>
      <c r="X52" s="508"/>
      <c r="Y52" s="510"/>
      <c r="Z52" s="511"/>
      <c r="AA52" s="225" t="s">
        <v>64</v>
      </c>
      <c r="AB52" s="511"/>
      <c r="AC52" s="225" t="s">
        <v>64</v>
      </c>
      <c r="AD52" s="315" t="s">
        <v>64</v>
      </c>
      <c r="AE52" s="634"/>
      <c r="AF52" s="346">
        <v>1</v>
      </c>
      <c r="AG52" s="691"/>
      <c r="AH52" s="225" t="s">
        <v>64</v>
      </c>
      <c r="AI52" s="634"/>
      <c r="AJ52" s="346">
        <v>1</v>
      </c>
      <c r="AK52" s="87" t="s">
        <v>22</v>
      </c>
      <c r="AL52" s="225" t="s">
        <v>64</v>
      </c>
      <c r="AM52" s="305"/>
      <c r="AN52" s="346">
        <v>1</v>
      </c>
      <c r="AO52" s="698"/>
      <c r="AP52" s="699" t="s">
        <v>64</v>
      </c>
      <c r="AQ52" s="635"/>
      <c r="AR52" s="346">
        <v>1</v>
      </c>
      <c r="AS52" s="95" t="s">
        <v>22</v>
      </c>
      <c r="AT52" s="508"/>
      <c r="AU52" s="510"/>
      <c r="AV52" s="508"/>
      <c r="AW52" s="510"/>
      <c r="AX52" s="511"/>
      <c r="AY52" s="225" t="s">
        <v>64</v>
      </c>
      <c r="AZ52" s="511"/>
      <c r="BA52" s="225" t="s">
        <v>64</v>
      </c>
      <c r="BB52" s="572"/>
      <c r="BC52" s="512" t="s">
        <v>495</v>
      </c>
      <c r="BE52" s="130"/>
      <c r="BF52" s="130" t="str">
        <f t="shared" si="40"/>
        <v/>
      </c>
      <c r="BG52" s="130"/>
      <c r="BH52" s="130"/>
      <c r="BI52" s="50">
        <v>11</v>
      </c>
    </row>
    <row r="53" ht="11.5" customHeight="1">
      <c r="A53" s="480"/>
      <c r="B53" s="480"/>
      <c r="C53" s="480"/>
      <c r="D53" s="480"/>
      <c r="E53" s="492"/>
      <c r="F53" s="492"/>
      <c r="G53" s="492"/>
      <c r="H53" s="492"/>
      <c r="I53" s="504"/>
      <c r="J53" s="504"/>
      <c r="K53" s="499"/>
      <c r="L53" s="482"/>
      <c r="P53" s="133"/>
      <c r="Q53" s="133"/>
      <c r="R53" s="505"/>
      <c r="S53" s="636"/>
      <c r="T53" s="700"/>
      <c r="U53" s="487"/>
      <c r="V53" s="623"/>
      <c r="W53" s="640"/>
      <c r="X53" s="623"/>
      <c r="Y53" s="640"/>
      <c r="Z53" s="623"/>
      <c r="AA53" s="623"/>
      <c r="AB53" s="623"/>
      <c r="AC53" s="623"/>
      <c r="AD53" s="321"/>
      <c r="AE53" s="634"/>
      <c r="AF53" s="346"/>
      <c r="AG53" s="691"/>
      <c r="AH53" s="225"/>
      <c r="AI53" s="634"/>
      <c r="AJ53" s="346"/>
      <c r="AK53" s="87"/>
      <c r="AL53" s="225"/>
      <c r="AM53" s="311"/>
      <c r="AN53" s="346"/>
      <c r="AO53" s="698"/>
      <c r="AP53" s="701"/>
      <c r="AQ53" s="639"/>
      <c r="AR53" s="178"/>
      <c r="AS53" s="178" t="s">
        <v>496</v>
      </c>
      <c r="AT53" s="623"/>
      <c r="AU53" s="640"/>
      <c r="AV53" s="623"/>
      <c r="AW53" s="640"/>
      <c r="AX53" s="623"/>
      <c r="AY53" s="623"/>
      <c r="AZ53" s="623"/>
      <c r="BA53" s="623"/>
      <c r="BB53" s="638"/>
      <c r="BC53" s="515"/>
      <c r="BE53" s="130"/>
      <c r="BF53" s="130"/>
      <c r="BG53" s="130"/>
      <c r="BH53" s="130"/>
      <c r="BI53" s="50">
        <v>11</v>
      </c>
    </row>
    <row r="54" ht="11.5" customHeight="1">
      <c r="A54" s="480" t="s">
        <v>270</v>
      </c>
      <c r="B54" s="480"/>
      <c r="C54" s="480"/>
      <c r="D54" s="480"/>
      <c r="E54" s="492"/>
      <c r="F54" s="492"/>
      <c r="G54" s="492"/>
      <c r="H54" s="492"/>
      <c r="I54" s="504"/>
      <c r="J54" s="504"/>
      <c r="K54" s="499"/>
      <c r="L54" s="482"/>
      <c r="P54" s="133"/>
      <c r="Q54" s="133"/>
      <c r="R54" s="505"/>
      <c r="S54" s="636"/>
      <c r="T54" s="700"/>
      <c r="U54" s="487"/>
      <c r="V54" s="623"/>
      <c r="W54" s="640"/>
      <c r="X54" s="623"/>
      <c r="Y54" s="640"/>
      <c r="Z54" s="623"/>
      <c r="AA54" s="623"/>
      <c r="AB54" s="623"/>
      <c r="AC54" s="623"/>
      <c r="AD54" s="321"/>
      <c r="AE54" s="634"/>
      <c r="AF54" s="346"/>
      <c r="AG54" s="691"/>
      <c r="AH54" s="225"/>
      <c r="AI54" s="634"/>
      <c r="AJ54" s="346"/>
      <c r="AK54" s="87"/>
      <c r="AL54" s="225"/>
      <c r="AM54" s="639"/>
      <c r="AN54" s="702"/>
      <c r="AO54" s="702" t="s">
        <v>516</v>
      </c>
      <c r="AP54" s="178"/>
      <c r="AQ54" s="178"/>
      <c r="AR54" s="178"/>
      <c r="AS54" s="623"/>
      <c r="AT54" s="623"/>
      <c r="AU54" s="640"/>
      <c r="AV54" s="623"/>
      <c r="AW54" s="640"/>
      <c r="AX54" s="623"/>
      <c r="AY54" s="623"/>
      <c r="AZ54" s="623"/>
      <c r="BA54" s="623"/>
      <c r="BB54" s="638"/>
      <c r="BC54" s="515"/>
      <c r="BE54" s="130"/>
      <c r="BF54" s="130"/>
      <c r="BG54" s="130"/>
      <c r="BH54" s="130"/>
      <c r="BI54" s="50">
        <v>11</v>
      </c>
    </row>
    <row r="55" ht="11.5" customHeight="1">
      <c r="A55" s="480" t="s">
        <v>270</v>
      </c>
      <c r="B55" s="480"/>
      <c r="C55" s="480"/>
      <c r="D55" s="480"/>
      <c r="E55" s="492"/>
      <c r="F55" s="492"/>
      <c r="G55" s="492"/>
      <c r="H55" s="492"/>
      <c r="I55" s="504"/>
      <c r="J55" s="504"/>
      <c r="K55" s="499"/>
      <c r="L55" s="482"/>
      <c r="P55" s="133"/>
      <c r="Q55" s="133"/>
      <c r="R55" s="505"/>
      <c r="S55" s="636"/>
      <c r="T55" s="700"/>
      <c r="U55" s="487"/>
      <c r="V55" s="623"/>
      <c r="W55" s="640"/>
      <c r="X55" s="623"/>
      <c r="Y55" s="640"/>
      <c r="Z55" s="623"/>
      <c r="AA55" s="623"/>
      <c r="AB55" s="623"/>
      <c r="AC55" s="623"/>
      <c r="AD55" s="321"/>
      <c r="AE55" s="634"/>
      <c r="AF55" s="346"/>
      <c r="AG55" s="691"/>
      <c r="AH55" s="225"/>
      <c r="AI55" s="642"/>
      <c r="AJ55" s="173"/>
      <c r="AK55" s="442" t="s">
        <v>517</v>
      </c>
      <c r="AL55" s="623"/>
      <c r="AM55" s="623"/>
      <c r="AN55" s="623"/>
      <c r="AO55" s="623"/>
      <c r="AP55" s="623"/>
      <c r="AQ55" s="623"/>
      <c r="AR55" s="623"/>
      <c r="AS55" s="623"/>
      <c r="AT55" s="623"/>
      <c r="AU55" s="640"/>
      <c r="AV55" s="623"/>
      <c r="AW55" s="640"/>
      <c r="AX55" s="623"/>
      <c r="AY55" s="623"/>
      <c r="AZ55" s="623"/>
      <c r="BA55" s="623"/>
      <c r="BB55" s="638"/>
      <c r="BC55" s="515"/>
      <c r="BE55" s="130"/>
      <c r="BF55" s="130"/>
      <c r="BG55" s="130"/>
      <c r="BH55" s="130"/>
      <c r="BI55" s="50">
        <v>11</v>
      </c>
    </row>
    <row r="56" ht="11.5" customHeight="1">
      <c r="A56" s="480" t="s">
        <v>270</v>
      </c>
      <c r="B56" s="480" t="s">
        <v>271</v>
      </c>
      <c r="C56" s="480" t="s">
        <v>272</v>
      </c>
      <c r="D56" s="480" t="s">
        <v>523</v>
      </c>
      <c r="E56" s="492"/>
      <c r="F56" s="492"/>
      <c r="G56" s="492"/>
      <c r="H56" s="492"/>
      <c r="I56" s="504"/>
      <c r="J56" s="504"/>
      <c r="K56" s="499"/>
      <c r="L56" s="482"/>
      <c r="P56" s="133"/>
      <c r="Q56" s="133"/>
      <c r="R56" s="505"/>
      <c r="S56" s="609"/>
      <c r="T56" s="703"/>
      <c r="U56" s="487"/>
      <c r="V56" s="623"/>
      <c r="W56" s="624" t="str">
        <f>Z52&amp;"-"&amp;AB52</f>
        <v>-</v>
      </c>
      <c r="X56" s="623"/>
      <c r="Y56" s="624" t="str">
        <f>AB52&amp;"-"&amp;AD52</f>
        <v>-да</v>
      </c>
      <c r="Z56" s="623"/>
      <c r="AA56" s="623"/>
      <c r="AB56" s="623"/>
      <c r="AC56" s="623"/>
      <c r="AD56" s="221"/>
      <c r="AE56" s="645"/>
      <c r="AF56" s="646"/>
      <c r="AG56" s="178" t="s">
        <v>499</v>
      </c>
      <c r="AH56" s="623"/>
      <c r="AI56" s="623"/>
      <c r="AJ56" s="623"/>
      <c r="AK56" s="623"/>
      <c r="AL56" s="623"/>
      <c r="AM56" s="623"/>
      <c r="AN56" s="623"/>
      <c r="AO56" s="623"/>
      <c r="AP56" s="623"/>
      <c r="AQ56" s="623"/>
      <c r="AR56" s="623"/>
      <c r="AS56" s="623"/>
      <c r="AT56" s="623"/>
      <c r="AU56" s="624" t="str">
        <f>AX52&amp;"-"&amp;AZ52</f>
        <v>-</v>
      </c>
      <c r="AV56" s="623"/>
      <c r="AW56" s="624" t="str">
        <f>AZ52&amp;"-"&amp;BB52</f>
        <v>-</v>
      </c>
      <c r="AX56" s="623"/>
      <c r="AY56" s="623"/>
      <c r="AZ56" s="623"/>
      <c r="BA56" s="623"/>
      <c r="BB56" s="644" t="str">
        <f>BE52&amp;"-"&amp;BG52</f>
        <v>-</v>
      </c>
      <c r="BC56" s="515"/>
      <c r="BE56" s="130"/>
      <c r="BF56" s="130" t="str">
        <f t="shared" si="40"/>
        <v/>
      </c>
      <c r="BG56" s="130"/>
      <c r="BH56" s="130"/>
      <c r="BI56" s="50">
        <v>11</v>
      </c>
    </row>
    <row r="57" ht="11.5" customHeight="1">
      <c r="A57" s="480" t="s">
        <v>270</v>
      </c>
      <c r="B57" s="480" t="s">
        <v>271</v>
      </c>
      <c r="C57" s="480" t="s">
        <v>272</v>
      </c>
      <c r="D57" s="480" t="s">
        <v>523</v>
      </c>
      <c r="E57" s="492"/>
      <c r="F57" s="492"/>
      <c r="G57" s="492"/>
      <c r="H57" s="492"/>
      <c r="I57" s="504"/>
      <c r="J57" s="499"/>
      <c r="K57" s="480"/>
      <c r="L57" s="482"/>
      <c r="P57" s="133"/>
      <c r="Q57" s="133"/>
      <c r="R57" s="500"/>
      <c r="S57" s="516"/>
      <c r="T57" s="520" t="s">
        <v>462</v>
      </c>
      <c r="U57" s="215"/>
      <c r="V57" s="215"/>
      <c r="W57" s="215"/>
      <c r="X57" s="215"/>
      <c r="Y57" s="215"/>
      <c r="Z57" s="215"/>
      <c r="AA57" s="215"/>
      <c r="AB57" s="215"/>
      <c r="AC57" s="518"/>
      <c r="AD57" s="675"/>
      <c r="AE57" s="215"/>
      <c r="AF57" s="215"/>
      <c r="AG57" s="215"/>
      <c r="AH57" s="215"/>
      <c r="AI57" s="215"/>
      <c r="AJ57" s="215"/>
      <c r="AK57" s="215"/>
      <c r="AL57" s="215"/>
      <c r="AM57" s="215"/>
      <c r="AN57" s="215"/>
      <c r="AO57" s="215"/>
      <c r="AP57" s="215"/>
      <c r="AQ57" s="215"/>
      <c r="AR57" s="215"/>
      <c r="AS57" s="215"/>
      <c r="AT57" s="215"/>
      <c r="AU57" s="215"/>
      <c r="AV57" s="215"/>
      <c r="AW57" s="215"/>
      <c r="AX57" s="215"/>
      <c r="AY57" s="215"/>
      <c r="AZ57" s="215"/>
      <c r="BA57" s="215"/>
      <c r="BB57" s="518"/>
      <c r="BC57" s="519"/>
      <c r="BE57" s="130"/>
      <c r="BF57" s="130" t="str">
        <f t="shared" si="40"/>
        <v xml:space="preserve">Добавить строку</v>
      </c>
      <c r="BG57" s="130"/>
      <c r="BH57" s="130"/>
      <c r="BI57" s="50">
        <v>11</v>
      </c>
    </row>
    <row r="58" s="57" customFormat="1" ht="0" customHeight="1">
      <c r="A58" s="134" t="s">
        <v>270</v>
      </c>
      <c r="B58" s="134" t="s">
        <v>271</v>
      </c>
      <c r="C58" s="134" t="s">
        <v>272</v>
      </c>
      <c r="D58" s="134" t="s">
        <v>523</v>
      </c>
      <c r="E58" s="492"/>
      <c r="F58" s="492"/>
      <c r="G58" s="492"/>
      <c r="H58" s="492"/>
      <c r="I58" s="499"/>
      <c r="J58" s="134"/>
      <c r="K58" s="134"/>
      <c r="L58" s="213"/>
      <c r="M58" s="597"/>
      <c r="N58" s="597"/>
      <c r="O58" s="597"/>
      <c r="P58" s="133"/>
      <c r="Q58" s="133"/>
      <c r="R58" s="500"/>
      <c r="S58" s="593"/>
      <c r="T58" s="594"/>
      <c r="U58" s="595"/>
      <c r="V58" s="595"/>
      <c r="W58" s="595"/>
      <c r="X58" s="595"/>
      <c r="Y58" s="595"/>
      <c r="Z58" s="595"/>
      <c r="AA58" s="595"/>
      <c r="AB58" s="595"/>
      <c r="AC58" s="595"/>
      <c r="AD58" s="595"/>
      <c r="AE58" s="595"/>
      <c r="AF58" s="595"/>
      <c r="AG58" s="595"/>
      <c r="AH58" s="595"/>
      <c r="AI58" s="595"/>
      <c r="AJ58" s="595"/>
      <c r="AK58" s="595"/>
      <c r="AL58" s="595"/>
      <c r="AM58" s="595"/>
      <c r="AN58" s="595"/>
      <c r="AO58" s="595"/>
      <c r="AP58" s="595"/>
      <c r="AQ58" s="595"/>
      <c r="AR58" s="595"/>
      <c r="AS58" s="595"/>
      <c r="AT58" s="595"/>
      <c r="AU58" s="595"/>
      <c r="AV58" s="595"/>
      <c r="AW58" s="595"/>
      <c r="AX58" s="595"/>
      <c r="AY58" s="595"/>
      <c r="AZ58" s="595"/>
      <c r="BA58" s="595"/>
      <c r="BB58" s="595"/>
      <c r="BC58" s="596"/>
      <c r="BE58" s="130"/>
      <c r="BF58" s="130" t="str">
        <f t="shared" si="40"/>
        <v/>
      </c>
      <c r="BG58" s="130"/>
      <c r="BH58" s="130"/>
      <c r="BI58" s="57">
        <v>0</v>
      </c>
    </row>
    <row r="59" s="57" customFormat="1" ht="0" customHeight="1">
      <c r="A59" s="134" t="s">
        <v>270</v>
      </c>
      <c r="B59" s="134" t="s">
        <v>271</v>
      </c>
      <c r="C59" s="134" t="s">
        <v>272</v>
      </c>
      <c r="D59" s="134" t="s">
        <v>523</v>
      </c>
      <c r="E59" s="492"/>
      <c r="F59" s="492"/>
      <c r="G59" s="492"/>
      <c r="H59" s="481"/>
      <c r="I59" s="134"/>
      <c r="J59" s="134"/>
      <c r="K59" s="134"/>
      <c r="L59" s="213"/>
      <c r="M59" s="465"/>
      <c r="N59" s="465"/>
      <c r="O59" s="57"/>
      <c r="P59" s="168"/>
      <c r="Q59" s="525"/>
      <c r="R59" s="647"/>
      <c r="S59" s="593"/>
      <c r="T59" s="594"/>
      <c r="U59" s="595"/>
      <c r="V59" s="595"/>
      <c r="W59" s="595"/>
      <c r="X59" s="595"/>
      <c r="Y59" s="595"/>
      <c r="Z59" s="595"/>
      <c r="AA59" s="595"/>
      <c r="AB59" s="595"/>
      <c r="AC59" s="595"/>
      <c r="AD59" s="595"/>
      <c r="AE59" s="595"/>
      <c r="AF59" s="595"/>
      <c r="AG59" s="595"/>
      <c r="AH59" s="595"/>
      <c r="AI59" s="595"/>
      <c r="AJ59" s="595"/>
      <c r="AK59" s="595"/>
      <c r="AL59" s="595"/>
      <c r="AM59" s="595"/>
      <c r="AN59" s="595"/>
      <c r="AO59" s="595"/>
      <c r="AP59" s="595"/>
      <c r="AQ59" s="595"/>
      <c r="AR59" s="595"/>
      <c r="AS59" s="595"/>
      <c r="AT59" s="595"/>
      <c r="AU59" s="595"/>
      <c r="AV59" s="595"/>
      <c r="AW59" s="595"/>
      <c r="AX59" s="595"/>
      <c r="AY59" s="595"/>
      <c r="AZ59" s="595"/>
      <c r="BA59" s="595"/>
      <c r="BB59" s="595"/>
      <c r="BC59" s="596"/>
      <c r="BE59" s="130"/>
      <c r="BF59" s="130" t="str">
        <f t="shared" si="40"/>
        <v/>
      </c>
      <c r="BG59" s="130"/>
      <c r="BH59" s="130"/>
      <c r="BI59" s="57">
        <v>0</v>
      </c>
    </row>
    <row r="60" s="57" customFormat="1" ht="0" customHeight="1">
      <c r="A60" s="134" t="s">
        <v>270</v>
      </c>
      <c r="B60" s="134" t="s">
        <v>271</v>
      </c>
      <c r="C60" s="134" t="s">
        <v>272</v>
      </c>
      <c r="D60" s="134"/>
      <c r="E60" s="492"/>
      <c r="F60" s="492"/>
      <c r="G60" s="481"/>
      <c r="H60" s="134"/>
      <c r="I60" s="134"/>
      <c r="J60" s="134"/>
      <c r="K60" s="134"/>
      <c r="L60" s="213"/>
      <c r="M60" s="465"/>
      <c r="N60" s="465"/>
      <c r="P60" s="168"/>
      <c r="Q60" s="525"/>
      <c r="R60" s="168"/>
      <c r="S60" s="530"/>
      <c r="T60" s="533"/>
      <c r="U60" s="532"/>
      <c r="V60" s="532"/>
      <c r="W60" s="532"/>
      <c r="X60" s="532"/>
      <c r="Y60" s="532"/>
      <c r="Z60" s="532"/>
      <c r="AA60" s="532"/>
      <c r="AB60" s="532"/>
      <c r="AC60" s="532"/>
      <c r="AD60" s="532"/>
      <c r="AE60" s="532"/>
      <c r="AF60" s="532"/>
      <c r="AG60" s="532"/>
      <c r="AH60" s="532"/>
      <c r="AI60" s="532"/>
      <c r="AJ60" s="532"/>
      <c r="AK60" s="532"/>
      <c r="AL60" s="532"/>
      <c r="AM60" s="532"/>
      <c r="AN60" s="532"/>
      <c r="AO60" s="532"/>
      <c r="AP60" s="532"/>
      <c r="AQ60" s="532"/>
      <c r="AR60" s="532"/>
      <c r="AS60" s="532"/>
      <c r="AT60" s="532"/>
      <c r="AU60" s="532"/>
      <c r="AV60" s="532"/>
      <c r="AW60" s="532"/>
      <c r="AX60" s="532"/>
      <c r="AY60" s="532"/>
      <c r="AZ60" s="532"/>
      <c r="BA60" s="532"/>
      <c r="BB60" s="532"/>
      <c r="BC60" s="532"/>
      <c r="BE60" s="130"/>
      <c r="BF60" s="130" t="str">
        <f t="shared" si="40"/>
        <v/>
      </c>
      <c r="BG60" s="130"/>
      <c r="BH60" s="130"/>
      <c r="BI60" s="57">
        <v>0</v>
      </c>
    </row>
    <row r="61" s="57" customFormat="1" ht="0" customHeight="1">
      <c r="A61" s="134" t="s">
        <v>270</v>
      </c>
      <c r="B61" s="134" t="s">
        <v>271</v>
      </c>
      <c r="C61" s="134"/>
      <c r="D61" s="134"/>
      <c r="E61" s="492"/>
      <c r="F61" s="481"/>
      <c r="G61" s="134"/>
      <c r="H61" s="134"/>
      <c r="I61" s="134"/>
      <c r="J61" s="134"/>
      <c r="K61" s="134"/>
      <c r="L61" s="213"/>
      <c r="M61" s="529"/>
      <c r="N61" s="529"/>
      <c r="P61" s="168"/>
      <c r="Q61" s="525"/>
      <c r="R61" s="168"/>
      <c r="S61" s="530"/>
      <c r="T61" s="533" t="s">
        <v>409</v>
      </c>
      <c r="U61" s="532"/>
      <c r="V61" s="532"/>
      <c r="W61" s="532"/>
      <c r="X61" s="532"/>
      <c r="Y61" s="532"/>
      <c r="Z61" s="532"/>
      <c r="AA61" s="532"/>
      <c r="AB61" s="532"/>
      <c r="AC61" s="532"/>
      <c r="AD61" s="532"/>
      <c r="AE61" s="532"/>
      <c r="AF61" s="532"/>
      <c r="AG61" s="532"/>
      <c r="AH61" s="532"/>
      <c r="AI61" s="532"/>
      <c r="AJ61" s="532"/>
      <c r="AK61" s="532"/>
      <c r="AL61" s="532"/>
      <c r="AM61" s="532"/>
      <c r="AN61" s="532"/>
      <c r="AO61" s="532"/>
      <c r="AP61" s="532"/>
      <c r="AQ61" s="532"/>
      <c r="AR61" s="532"/>
      <c r="AS61" s="532"/>
      <c r="AT61" s="532"/>
      <c r="AU61" s="532"/>
      <c r="AV61" s="532"/>
      <c r="AW61" s="532"/>
      <c r="AX61" s="532"/>
      <c r="AY61" s="532"/>
      <c r="AZ61" s="532"/>
      <c r="BA61" s="532"/>
      <c r="BB61" s="532"/>
      <c r="BC61" s="532"/>
      <c r="BE61" s="130"/>
      <c r="BF61" s="130" t="str">
        <f t="shared" si="40"/>
        <v xml:space="preserve">Добавить централизованную систему для дифференциации</v>
      </c>
      <c r="BG61" s="130"/>
      <c r="BH61" s="130"/>
      <c r="BI61" s="57">
        <v>0</v>
      </c>
    </row>
    <row r="62" s="57" customFormat="1" ht="0" customHeight="1">
      <c r="A62" s="134" t="s">
        <v>270</v>
      </c>
      <c r="B62" s="134"/>
      <c r="C62" s="134"/>
      <c r="D62" s="134"/>
      <c r="E62" s="481"/>
      <c r="F62" s="134"/>
      <c r="G62" s="134"/>
      <c r="H62" s="134"/>
      <c r="I62" s="134"/>
      <c r="J62" s="134"/>
      <c r="K62" s="134"/>
      <c r="L62" s="213"/>
      <c r="M62" s="529"/>
      <c r="N62" s="529"/>
      <c r="O62" s="57"/>
      <c r="P62" s="168"/>
      <c r="Q62" s="525"/>
      <c r="R62" s="168"/>
      <c r="S62" s="530"/>
      <c r="T62" s="533" t="s">
        <v>410</v>
      </c>
      <c r="U62" s="532"/>
      <c r="V62" s="532"/>
      <c r="W62" s="532"/>
      <c r="X62" s="532"/>
      <c r="Y62" s="532"/>
      <c r="Z62" s="532"/>
      <c r="AA62" s="532"/>
      <c r="AB62" s="532"/>
      <c r="AC62" s="532"/>
      <c r="AD62" s="532"/>
      <c r="AE62" s="532"/>
      <c r="AF62" s="532"/>
      <c r="AG62" s="532"/>
      <c r="AH62" s="532"/>
      <c r="AI62" s="532"/>
      <c r="AJ62" s="532"/>
      <c r="AK62" s="532"/>
      <c r="AL62" s="532"/>
      <c r="AM62" s="532"/>
      <c r="AN62" s="532"/>
      <c r="AO62" s="532"/>
      <c r="AP62" s="532"/>
      <c r="AQ62" s="532"/>
      <c r="AR62" s="532"/>
      <c r="AS62" s="532"/>
      <c r="AT62" s="532"/>
      <c r="AU62" s="532"/>
      <c r="AV62" s="532"/>
      <c r="AW62" s="532"/>
      <c r="AX62" s="532"/>
      <c r="AY62" s="532"/>
      <c r="AZ62" s="532"/>
      <c r="BA62" s="532"/>
      <c r="BB62" s="532"/>
      <c r="BC62" s="532"/>
      <c r="BE62" s="130"/>
      <c r="BF62" s="130" t="str">
        <f t="shared" si="40"/>
        <v xml:space="preserve">Добавить территорию для дифференциации</v>
      </c>
      <c r="BG62" s="130"/>
      <c r="BH62" s="130"/>
      <c r="BI62" s="57">
        <v>0</v>
      </c>
    </row>
    <row r="63" s="57" customFormat="1" ht="0" customHeight="1">
      <c r="A63" s="134"/>
      <c r="B63" s="134"/>
      <c r="C63" s="134"/>
      <c r="D63" s="134"/>
      <c r="E63" s="134"/>
      <c r="F63" s="134"/>
      <c r="G63" s="134"/>
      <c r="H63" s="134"/>
      <c r="I63" s="134"/>
      <c r="J63" s="134"/>
      <c r="K63" s="134"/>
      <c r="L63" s="213"/>
      <c r="M63" s="529"/>
      <c r="N63" s="529"/>
      <c r="P63" s="168"/>
      <c r="Q63" s="525"/>
      <c r="R63" s="168"/>
      <c r="S63" s="530"/>
      <c r="T63" s="533" t="s">
        <v>442</v>
      </c>
      <c r="U63" s="532"/>
      <c r="V63" s="532"/>
      <c r="W63" s="532"/>
      <c r="X63" s="532"/>
      <c r="Y63" s="532"/>
      <c r="Z63" s="532"/>
      <c r="AA63" s="532"/>
      <c r="AB63" s="532"/>
      <c r="AC63" s="532"/>
      <c r="AD63" s="532"/>
      <c r="AE63" s="532"/>
      <c r="AF63" s="532"/>
      <c r="AG63" s="532"/>
      <c r="AH63" s="532"/>
      <c r="AI63" s="532"/>
      <c r="AJ63" s="532"/>
      <c r="AK63" s="532"/>
      <c r="AL63" s="532"/>
      <c r="AM63" s="532"/>
      <c r="AN63" s="532"/>
      <c r="AO63" s="532"/>
      <c r="AP63" s="532"/>
      <c r="AQ63" s="532"/>
      <c r="AR63" s="532"/>
      <c r="AS63" s="532"/>
      <c r="AT63" s="532"/>
      <c r="AU63" s="532"/>
      <c r="AV63" s="532"/>
      <c r="AW63" s="532"/>
      <c r="AX63" s="532"/>
      <c r="AY63" s="532"/>
      <c r="AZ63" s="532"/>
      <c r="BA63" s="532"/>
      <c r="BB63" s="532"/>
      <c r="BC63" s="532"/>
      <c r="BE63" s="130"/>
      <c r="BF63" s="130" t="str">
        <f t="shared" si="40"/>
        <v xml:space="preserve">Добавить наименование тарифа</v>
      </c>
      <c r="BG63" s="130"/>
      <c r="BH63" s="130"/>
      <c r="BI63" s="57">
        <v>0</v>
      </c>
    </row>
    <row r="64" ht="11.5" customHeight="1">
      <c r="M64" s="53"/>
      <c r="N64" s="53"/>
      <c r="O64" s="53"/>
      <c r="P64" s="53"/>
      <c r="Q64" s="53"/>
      <c r="R64" s="50"/>
      <c r="S64" s="50"/>
      <c r="BD64" s="50"/>
      <c r="BE64" s="50"/>
      <c r="BF64" s="50"/>
      <c r="BG64" s="50"/>
      <c r="BH64" s="50"/>
      <c r="BI64" s="50">
        <v>11</v>
      </c>
    </row>
    <row r="65" ht="14.65" customHeight="1">
      <c r="O65" s="53"/>
      <c r="S65" s="477"/>
      <c r="T65" s="575"/>
      <c r="U65" s="575"/>
      <c r="V65" s="575"/>
      <c r="W65" s="575"/>
      <c r="X65" s="575"/>
      <c r="Y65" s="575"/>
      <c r="Z65" s="575"/>
      <c r="AA65" s="575"/>
      <c r="AB65" s="575"/>
      <c r="AC65" s="575"/>
      <c r="AD65" s="575"/>
      <c r="AE65" s="575"/>
      <c r="AF65" s="575"/>
      <c r="AG65" s="575"/>
      <c r="AH65" s="575"/>
      <c r="AI65" s="575"/>
      <c r="AJ65" s="575"/>
      <c r="AK65" s="575"/>
      <c r="AL65" s="575"/>
      <c r="AM65" s="575"/>
      <c r="AN65" s="575"/>
      <c r="AO65" s="575"/>
      <c r="AP65" s="575"/>
      <c r="AQ65" s="575"/>
      <c r="AR65" s="575"/>
      <c r="AS65" s="575"/>
      <c r="AT65" s="575"/>
      <c r="AU65" s="575"/>
      <c r="AV65" s="575"/>
      <c r="AW65" s="575"/>
      <c r="AX65" s="575"/>
      <c r="AY65" s="575"/>
      <c r="AZ65" s="575"/>
      <c r="BA65" s="575"/>
      <c r="BB65" s="575"/>
      <c r="BC65" s="575"/>
      <c r="BI65" s="50">
        <v>14</v>
      </c>
    </row>
    <row r="66" ht="14.65" customHeight="1">
      <c r="O66" s="53"/>
      <c r="T66" s="575"/>
      <c r="U66" s="575"/>
      <c r="V66" s="575"/>
      <c r="W66" s="575"/>
      <c r="X66" s="575"/>
      <c r="Y66" s="575"/>
      <c r="Z66" s="575"/>
      <c r="AA66" s="575"/>
      <c r="AB66" s="575"/>
      <c r="AC66" s="575"/>
      <c r="AD66" s="575"/>
      <c r="AE66" s="575"/>
      <c r="AF66" s="575"/>
      <c r="AG66" s="575"/>
      <c r="AH66" s="575"/>
      <c r="AI66" s="575"/>
      <c r="AJ66" s="575"/>
      <c r="AK66" s="575"/>
      <c r="AL66" s="575"/>
      <c r="AM66" s="575"/>
      <c r="AN66" s="575"/>
      <c r="AO66" s="575"/>
      <c r="AP66" s="575"/>
      <c r="AQ66" s="575"/>
      <c r="AR66" s="575"/>
      <c r="AS66" s="575"/>
      <c r="AT66" s="575"/>
      <c r="AU66" s="575"/>
      <c r="AV66" s="575"/>
      <c r="AW66" s="575"/>
      <c r="AX66" s="575"/>
      <c r="AY66" s="575"/>
      <c r="AZ66" s="575"/>
      <c r="BA66" s="575"/>
      <c r="BB66" s="575"/>
      <c r="BC66" s="575"/>
      <c r="BI66" s="50">
        <v>14</v>
      </c>
    </row>
    <row r="67" ht="14.65" customHeight="1">
      <c r="O67" s="53"/>
      <c r="S67" s="477"/>
      <c r="T67" s="575"/>
      <c r="U67" s="575"/>
      <c r="V67" s="575"/>
      <c r="W67" s="575"/>
      <c r="X67" s="575"/>
      <c r="Y67" s="575"/>
      <c r="Z67" s="575"/>
      <c r="AA67" s="575"/>
      <c r="AB67" s="575"/>
      <c r="AC67" s="575"/>
      <c r="AD67" s="575"/>
      <c r="AE67" s="575"/>
      <c r="AF67" s="575"/>
      <c r="AG67" s="575"/>
      <c r="AH67" s="575"/>
      <c r="AI67" s="575"/>
      <c r="AJ67" s="575"/>
      <c r="AK67" s="575"/>
      <c r="AL67" s="575"/>
      <c r="AM67" s="575"/>
      <c r="AN67" s="575"/>
      <c r="AO67" s="575"/>
      <c r="AP67" s="575"/>
      <c r="AQ67" s="575"/>
      <c r="AR67" s="575"/>
      <c r="AS67" s="575"/>
      <c r="AT67" s="575"/>
      <c r="AU67" s="575"/>
      <c r="AV67" s="575"/>
      <c r="AW67" s="575"/>
      <c r="AX67" s="575"/>
      <c r="AY67" s="575"/>
      <c r="AZ67" s="575"/>
      <c r="BA67" s="575"/>
      <c r="BB67" s="575"/>
      <c r="BC67" s="575"/>
      <c r="BI67" s="50">
        <v>14</v>
      </c>
    </row>
    <row r="68" ht="14.65" customHeight="1">
      <c r="O68" s="53"/>
      <c r="BI68" s="50">
        <v>14</v>
      </c>
    </row>
    <row r="69" ht="14.25" hidden="1" customHeight="1">
      <c r="A69" s="53" t="s">
        <v>81</v>
      </c>
      <c r="B69" s="53">
        <v>0</v>
      </c>
      <c r="C69" s="53">
        <v>0</v>
      </c>
      <c r="D69" s="53">
        <v>0</v>
      </c>
      <c r="E69" s="53">
        <v>0</v>
      </c>
      <c r="F69" s="53">
        <v>0</v>
      </c>
      <c r="G69" s="53">
        <v>0</v>
      </c>
      <c r="H69" s="53">
        <v>0</v>
      </c>
      <c r="I69" s="53">
        <v>0</v>
      </c>
      <c r="J69" s="53">
        <v>0</v>
      </c>
      <c r="K69" s="53">
        <v>0</v>
      </c>
      <c r="L69" s="114">
        <v>0</v>
      </c>
      <c r="M69" s="61">
        <v>0</v>
      </c>
      <c r="N69" s="61">
        <v>0</v>
      </c>
      <c r="O69" s="61">
        <v>0</v>
      </c>
      <c r="P69" s="61">
        <v>0</v>
      </c>
      <c r="Q69" s="539">
        <v>0</v>
      </c>
      <c r="R69" s="479">
        <v>3</v>
      </c>
      <c r="S69" s="86">
        <v>12</v>
      </c>
      <c r="T69" s="50">
        <v>31</v>
      </c>
      <c r="U69" s="50">
        <v>0</v>
      </c>
      <c r="V69" s="50">
        <v>0</v>
      </c>
      <c r="W69" s="50">
        <v>0</v>
      </c>
      <c r="X69" s="50">
        <v>0</v>
      </c>
      <c r="Y69" s="50">
        <v>0</v>
      </c>
      <c r="Z69" s="50">
        <v>0</v>
      </c>
      <c r="AA69" s="50">
        <v>0</v>
      </c>
      <c r="AB69" s="50">
        <v>0</v>
      </c>
      <c r="AC69" s="50">
        <v>0</v>
      </c>
      <c r="AD69" s="50">
        <v>3</v>
      </c>
      <c r="AE69" s="50">
        <v>3</v>
      </c>
      <c r="AF69" s="50">
        <v>3</v>
      </c>
      <c r="AG69" s="50">
        <v>24</v>
      </c>
      <c r="AH69" s="50">
        <v>3</v>
      </c>
      <c r="AI69" s="50">
        <v>3</v>
      </c>
      <c r="AJ69" s="50">
        <v>3</v>
      </c>
      <c r="AK69" s="50">
        <v>24</v>
      </c>
      <c r="AL69" s="50">
        <v>3</v>
      </c>
      <c r="AM69" s="50">
        <v>3</v>
      </c>
      <c r="AN69" s="50">
        <v>3</v>
      </c>
      <c r="AO69" s="50">
        <v>18</v>
      </c>
      <c r="AP69" s="50">
        <v>3</v>
      </c>
      <c r="AQ69" s="50">
        <v>3</v>
      </c>
      <c r="AR69" s="50">
        <v>3</v>
      </c>
      <c r="AS69" s="50">
        <v>18</v>
      </c>
      <c r="AT69" s="50">
        <v>21</v>
      </c>
      <c r="AU69" s="50">
        <v>21</v>
      </c>
      <c r="AV69" s="50">
        <v>21</v>
      </c>
      <c r="AW69" s="50">
        <v>21</v>
      </c>
      <c r="AX69" s="50">
        <v>11</v>
      </c>
      <c r="AY69" s="50">
        <v>3</v>
      </c>
      <c r="AZ69" s="50">
        <v>11</v>
      </c>
      <c r="BA69" s="50">
        <v>0</v>
      </c>
      <c r="BB69" s="50">
        <v>4</v>
      </c>
      <c r="BC69" s="50">
        <v>115</v>
      </c>
      <c r="BD69" s="57">
        <v>10</v>
      </c>
      <c r="BE69" s="57">
        <v>10</v>
      </c>
      <c r="BF69" s="57">
        <v>10</v>
      </c>
      <c r="BG69" s="57">
        <v>10</v>
      </c>
      <c r="BH69" s="57">
        <v>10</v>
      </c>
      <c r="BI69" s="50">
        <v>23</v>
      </c>
    </row>
  </sheetData>
  <sheetProtection autoFilter="0" deleteColumns="1" deleteRows="1" formatCells="1" formatColumns="0" formatRows="0" insertColumns="1" insertHyperlinks="1" insertRows="1" objects="0" pivotTables="1" scenarios="0" selectLockedCells="0" selectUnlockedCells="0" sheet="1" sort="1"/>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D8:AD12"/>
    <mergeCell ref="AE8:AE11"/>
    <mergeCell ref="AF8:AF11"/>
    <mergeCell ref="AG8:AG11"/>
    <mergeCell ref="AH8:AH11"/>
    <mergeCell ref="AI8:AI10"/>
    <mergeCell ref="AJ8:AJ10"/>
    <mergeCell ref="AK8:AK10"/>
    <mergeCell ref="AL8:AL10"/>
    <mergeCell ref="AM8:AM9"/>
    <mergeCell ref="AN8:AN9"/>
    <mergeCell ref="AO8:AO9"/>
    <mergeCell ref="AP8:AP9"/>
    <mergeCell ref="BC8:BC13"/>
    <mergeCell ref="S28:AZ28"/>
    <mergeCell ref="S29:AZ29"/>
    <mergeCell ref="S31:T31"/>
    <mergeCell ref="V31:AB31"/>
    <mergeCell ref="AD31:AZ31"/>
    <mergeCell ref="S32:T32"/>
    <mergeCell ref="V32:AB32"/>
    <mergeCell ref="AD32:AZ32"/>
    <mergeCell ref="S33:T33"/>
    <mergeCell ref="V33:AB33"/>
    <mergeCell ref="AD33:AZ33"/>
    <mergeCell ref="S34:T34"/>
    <mergeCell ref="V34:AB34"/>
    <mergeCell ref="AD34:AZ34"/>
    <mergeCell ref="S36:T36"/>
    <mergeCell ref="V36:AB36"/>
    <mergeCell ref="AD36:AZ36"/>
    <mergeCell ref="S37:T37"/>
    <mergeCell ref="V37:AB37"/>
    <mergeCell ref="AD37:AZ37"/>
    <mergeCell ref="V39:AC39"/>
    <mergeCell ref="AD39:BA39"/>
    <mergeCell ref="S40:BB40"/>
    <mergeCell ref="BC40:BC44"/>
    <mergeCell ref="S41:S44"/>
    <mergeCell ref="T41:T44"/>
    <mergeCell ref="V41:AB41"/>
    <mergeCell ref="AC41:AC44"/>
    <mergeCell ref="AD41:AG44"/>
    <mergeCell ref="AH41:AK44"/>
    <mergeCell ref="AL41:AO44"/>
    <mergeCell ref="AP41:AS44"/>
    <mergeCell ref="AT41:AZ41"/>
    <mergeCell ref="BA41:BA44"/>
    <mergeCell ref="BB41:BB44"/>
    <mergeCell ref="V42:W43"/>
    <mergeCell ref="X42:Y43"/>
    <mergeCell ref="Z42:AB43"/>
    <mergeCell ref="AT42:AU43"/>
    <mergeCell ref="AV42:AW43"/>
    <mergeCell ref="AX42:AZ43"/>
    <mergeCell ref="AA44:AB44"/>
    <mergeCell ref="AY44:AZ44"/>
    <mergeCell ref="AA45:AB45"/>
    <mergeCell ref="AY45:AZ45"/>
    <mergeCell ref="E46:E62"/>
    <mergeCell ref="V46:AC46"/>
    <mergeCell ref="AD46:BB46"/>
    <mergeCell ref="F47:F61"/>
    <mergeCell ref="V47:AC47"/>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F52:AF55"/>
    <mergeCell ref="AG52:AG55"/>
    <mergeCell ref="AH52:AH55"/>
    <mergeCell ref="AI52:AI54"/>
    <mergeCell ref="AJ52:AJ54"/>
    <mergeCell ref="AK52:AK54"/>
    <mergeCell ref="AL52:AL54"/>
    <mergeCell ref="AM52:AM53"/>
    <mergeCell ref="AN52:AN53"/>
    <mergeCell ref="AO52:AO53"/>
    <mergeCell ref="AP52:AP53"/>
    <mergeCell ref="BC52:BC57"/>
    <mergeCell ref="T65:BC65"/>
    <mergeCell ref="T67:BC67"/>
  </mergeCells>
  <dataValidations count="4" disablePrompts="0">
    <dataValidation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type="none" allowBlank="1" errorStyle="stop" imeMode="noControl" operator="between" promptTitle="checkPeriodRange" showDropDown="0" showErrorMessage="0" showInputMessage="0"/>
    <dataValidation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S65591:BC65597 S983095:BC983101 S917559:BC917565 S852023:BC852029 S786487:BC786493 S720951:BC720957 S655415:BC655421 S589879:BC589885 S524343:BC524349 S458807:BC458813 S393271:BC393277 S327735:BC327741 S262199:BC262205 S196663:BC196669 S131127:BC131133"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disablePrompts="0">
        <x14:dataValidation xr:uid="{00350032-0036-4A4B-9591-0094000100A8}" type="list" allowBlank="1" error="Выберите значение из списка" errorStyle="stop" errorTitle="Ошибка" imeMode="noControl" operator="between" showDropDown="0" showErrorMessage="1" showInputMessage="1">
          <x14:formula1>
            <xm:f>kind_of_heat_transfer</xm:f>
          </x14:formula1>
          <xm:sqref>T65589 T131125 T196661 T262197 T327733 T393269 T458805 T524341 T589877 T655413 T720949 T786485 T852021 T917557 T983093</xm:sqref>
        </x14:dataValidation>
        <x14:dataValidation xr:uid="{000A0005-0004-4F5A-8009-003E00D50020}" type="list" allowBlank="1" error="Выберите значение из списка" errorStyle="stop" errorTitle="Ошибка" imeMode="noControl" operator="between" showDropDown="0" showErrorMessage="1" showInputMessage="1">
          <x14:formula1>
            <xm:f>kind_of_scheme_in</xm:f>
          </x14:formula1>
          <xm:sqref>AD917555:AS917555 AD983091:AS983091 AD65587:AS65587 AD131123:AS131123 AD196659:AS196659 AD262195:AS262195 AD327731:AS327731 AD393267:AS393267 AD458803:AS458803 AD524339:AS524339 AD589875:AS589875 AD655411:AS655411 AD720947:AS720947 AD786483:AS786483 AD852019:AS852019</xm:sqref>
        </x14:dataValidation>
        <x14:dataValidation xr:uid="{00C200D1-0063-4DA7-A35D-009A005F0051}" type="textLength" allowBlank="1" error="Допускается ввод не более 900 символов!" errorStyle="stop" errorTitle="Ошибка" imeMode="noControl" operator="lessThanOrEqual" showDropDown="0" showErrorMessage="1" showInputMessage="1">
          <x14:formula1>
            <xm:f>900</xm:f>
          </x14:formula1>
          <xm:sqref>BC65583:BC65590 BC131119:BC131126 BC196655:BC196662 BC262191:BC262198 BC327727:BC327734 BC393263:BC393270 BC458799:BC458806 BC524335:BC524342 BC589871:BC589878 BC655407:BC655414 BC720943:BC720950 BC786479:BC786486 BC852015:BC852022 BC917551:BC917558 BC983087:BC983094 AS8 T8:T12 AS52 T52:T56</xm:sqref>
        </x14:dataValidation>
        <x14:dataValidation xr:uid="{00D60093-004E-4A2E-B44D-007E00D60043}"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AO52:AO53 AG8:AG11 AO8:AO9 AG52:AG55</xm:sqref>
        </x14:dataValidation>
        <x14:dataValidation xr:uid="{007E00D1-0001-475E-BEA9-00CF00270050}"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V983092:BB983092 V917556:BB917556 V852020:BB852020 V786484:BB786484 V720948:BB720948 V655412:BB655412 V589876:BB589876 V524340:BB524340 V458804:BB458804 V393268:BB393268 V327732:BB327732 V262196:BB262196 V196660:BB196660 V131124:BB131124 V65588:BB65588</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outlinePr applyStyles="0" summaryBelow="1" summaryRight="1" showOutlineSymbols="1"/>
    <pageSetUpPr autoPageBreaks="1" fitToPage="1"/>
  </sheetPr>
  <sheetViews>
    <sheetView showGridLines="0" zoomScale="90" workbookViewId="0">
      <pane xSplit="6" ySplit="11" topLeftCell="G12" activePane="bottomRight" state="frozen"/>
      <selection activeCell="A1" activeCellId="0" sqref="A1"/>
    </sheetView>
  </sheetViews>
  <sheetFormatPr defaultColWidth="9.140625" defaultRowHeight="14.25" customHeight="1"/>
  <cols>
    <col customWidth="1" hidden="1" min="1" max="1" style="50" width="8.00390625"/>
    <col customWidth="1" hidden="1" min="2" max="2" style="53" width="6.00390625"/>
    <col customWidth="1" min="3" max="3" style="50" width="3.00390625"/>
    <col customWidth="1" min="4" max="4" style="129" width="3.00390625"/>
    <col customWidth="1" min="5" max="5" style="50" width="6.00390625"/>
    <col customWidth="1" hidden="1" min="6" max="6" style="50" width="2.7109375"/>
    <col customWidth="1" min="7" max="7" style="50" width="46.7109375"/>
    <col customWidth="1" min="8" max="8" style="50" width="42.00390625"/>
    <col customWidth="1" min="9" max="9" style="50" width="14.00390625"/>
    <col customWidth="1" min="10" max="10" style="130" width="3.00390625"/>
    <col hidden="1" min="11" max="13" style="130" width="9.140625"/>
    <col customWidth="1" hidden="1" min="14" max="14" style="130" width="25.7109375"/>
    <col customWidth="1" hidden="1" min="15" max="15" style="130" width="14.421875"/>
    <col hidden="1" min="16" max="19" style="131" width="9.140625"/>
    <col hidden="1" min="20" max="27" style="50" width="9.140625"/>
    <col customWidth="1" min="28" max="28" style="50" width="8.00390625"/>
    <col hidden="1" min="29" max="29" style="50" width="9.140625"/>
  </cols>
  <sheetData>
    <row r="1" s="57" customFormat="1" ht="5.25" hidden="1" customHeight="1">
      <c r="A1" s="132"/>
      <c r="B1" s="57"/>
      <c r="C1" s="57"/>
      <c r="D1" s="133"/>
      <c r="F1" s="57"/>
      <c r="G1" s="134" t="s">
        <v>82</v>
      </c>
      <c r="H1" s="133" t="s">
        <v>83</v>
      </c>
      <c r="I1" s="135" t="s">
        <v>84</v>
      </c>
      <c r="J1" s="134" t="s">
        <v>82</v>
      </c>
      <c r="K1" s="134"/>
      <c r="L1" s="134"/>
      <c r="M1" s="134"/>
      <c r="N1" s="134"/>
      <c r="O1" s="134"/>
      <c r="P1" s="134"/>
      <c r="Q1" s="134"/>
      <c r="R1" s="134"/>
      <c r="S1" s="134"/>
      <c r="T1" s="135"/>
      <c r="U1" s="135"/>
      <c r="V1" s="135"/>
      <c r="W1" s="135"/>
      <c r="X1" s="135"/>
      <c r="Y1" s="135"/>
      <c r="Z1" s="135"/>
      <c r="AA1" s="135"/>
      <c r="AB1" s="135"/>
      <c r="AC1" s="57" t="s">
        <v>14</v>
      </c>
    </row>
    <row r="2" s="136" customFormat="1" ht="11.25" customHeight="1">
      <c r="A2" s="121"/>
      <c r="B2" s="137"/>
      <c r="C2" s="137"/>
      <c r="D2" s="138"/>
      <c r="E2" s="137"/>
      <c r="F2" s="137"/>
      <c r="G2" s="137"/>
      <c r="H2" s="137"/>
      <c r="I2" s="137"/>
      <c r="J2" s="134"/>
      <c r="K2" s="134"/>
      <c r="L2" s="134"/>
      <c r="M2" s="134"/>
      <c r="N2" s="134"/>
      <c r="O2" s="134"/>
      <c r="P2" s="139"/>
      <c r="Q2" s="139"/>
      <c r="R2" s="139"/>
      <c r="S2" s="139"/>
      <c r="T2" s="138"/>
      <c r="U2" s="138"/>
      <c r="V2" s="138"/>
      <c r="W2" s="138"/>
      <c r="X2" s="138"/>
      <c r="Y2" s="138"/>
      <c r="Z2" s="138"/>
      <c r="AA2" s="138"/>
      <c r="AB2" s="138"/>
      <c r="AC2" s="136">
        <v>11</v>
      </c>
    </row>
    <row r="3" s="140" customFormat="1" ht="3" customHeight="1">
      <c r="A3" s="50"/>
      <c r="B3" s="53"/>
      <c r="C3" s="50"/>
      <c r="D3" s="129"/>
      <c r="E3" s="50"/>
      <c r="F3" s="50"/>
      <c r="G3" s="50"/>
      <c r="H3" s="50"/>
      <c r="I3" s="141"/>
      <c r="J3" s="134"/>
      <c r="K3" s="130"/>
      <c r="L3" s="130"/>
      <c r="M3" s="130"/>
      <c r="N3" s="130"/>
      <c r="O3" s="130"/>
      <c r="P3" s="131"/>
      <c r="Q3" s="131"/>
      <c r="R3" s="131"/>
      <c r="S3" s="131"/>
      <c r="AC3" s="140">
        <v>3</v>
      </c>
    </row>
    <row r="4" s="140" customFormat="1" ht="27.300000000000001" customHeight="1">
      <c r="A4" s="50"/>
      <c r="B4" s="53"/>
      <c r="C4" s="50"/>
      <c r="D4" s="129"/>
      <c r="E4" s="142" t="str">
        <f>NameTemplatesInListMO</f>
        <v xml:space="preserve">Перечень муниципальных районов и муниципальных образований (территорий оказания услуг)</v>
      </c>
      <c r="F4" s="142"/>
      <c r="G4" s="142"/>
      <c r="H4" s="142"/>
      <c r="I4" s="142"/>
      <c r="J4" s="134"/>
      <c r="K4" s="130"/>
      <c r="L4" s="130"/>
      <c r="M4" s="130"/>
      <c r="N4" s="130"/>
      <c r="O4" s="130"/>
      <c r="P4" s="131"/>
      <c r="Q4" s="131"/>
      <c r="R4" s="131"/>
      <c r="S4" s="131"/>
      <c r="AC4" s="140">
        <v>26</v>
      </c>
    </row>
    <row r="5" s="140" customFormat="1" ht="3" customHeight="1">
      <c r="A5" s="50"/>
      <c r="B5" s="53"/>
      <c r="C5" s="50"/>
      <c r="D5" s="129"/>
      <c r="E5" s="50"/>
      <c r="F5" s="50"/>
      <c r="G5" s="143"/>
      <c r="H5" s="143"/>
      <c r="I5" s="121"/>
      <c r="J5" s="130"/>
      <c r="K5" s="130"/>
      <c r="L5" s="130"/>
      <c r="M5" s="130"/>
      <c r="N5" s="130"/>
      <c r="O5" s="130"/>
      <c r="P5" s="131"/>
      <c r="Q5" s="131"/>
      <c r="R5" s="131"/>
      <c r="S5" s="131"/>
      <c r="AC5" s="140">
        <v>3</v>
      </c>
    </row>
    <row r="6" s="140" customFormat="1" ht="20.25" hidden="1" customHeight="1">
      <c r="A6" s="144"/>
      <c r="B6" s="64"/>
      <c r="C6" s="144"/>
      <c r="D6" s="129"/>
      <c r="E6" s="126"/>
      <c r="F6" s="126"/>
      <c r="G6" s="143"/>
      <c r="H6" s="145"/>
      <c r="I6" s="145"/>
      <c r="J6" s="130"/>
      <c r="K6" s="130"/>
      <c r="L6" s="130"/>
      <c r="M6" s="130"/>
      <c r="N6" s="130"/>
      <c r="O6" s="130"/>
      <c r="P6" s="131"/>
      <c r="Q6" s="131"/>
      <c r="R6" s="131"/>
      <c r="S6" s="131"/>
      <c r="AC6" s="140">
        <v>0</v>
      </c>
    </row>
    <row r="7" ht="25.5" hidden="1" customHeight="1">
      <c r="AC7" s="50">
        <v>0</v>
      </c>
    </row>
    <row r="8" s="140" customFormat="1" ht="14.65" customHeight="1">
      <c r="A8" s="50"/>
      <c r="B8" s="53"/>
      <c r="C8" s="50"/>
      <c r="D8" s="129"/>
      <c r="E8" s="73" t="s">
        <v>85</v>
      </c>
      <c r="F8" s="146"/>
      <c r="G8" s="72"/>
      <c r="H8" s="147" t="s">
        <v>86</v>
      </c>
      <c r="I8" s="147"/>
      <c r="J8" s="130"/>
      <c r="K8" s="130"/>
      <c r="L8" s="130"/>
      <c r="M8" s="130"/>
      <c r="N8" s="130"/>
      <c r="O8" s="130"/>
      <c r="P8" s="131"/>
      <c r="Q8" s="131"/>
      <c r="R8" s="131"/>
      <c r="S8" s="131"/>
      <c r="AC8" s="140">
        <v>14</v>
      </c>
    </row>
    <row r="9" s="140" customFormat="1" ht="21" customHeight="1">
      <c r="A9" s="50"/>
      <c r="B9" s="53"/>
      <c r="C9" s="50"/>
      <c r="D9" s="129"/>
      <c r="E9" s="148" t="s">
        <v>87</v>
      </c>
      <c r="F9" s="148"/>
      <c r="G9" s="149" t="s">
        <v>88</v>
      </c>
      <c r="H9" s="149" t="s">
        <v>88</v>
      </c>
      <c r="I9" s="149" t="s">
        <v>84</v>
      </c>
      <c r="J9" s="130"/>
      <c r="K9" s="130"/>
      <c r="L9" s="130"/>
      <c r="M9" s="130"/>
      <c r="N9" s="130"/>
      <c r="O9" s="130"/>
      <c r="P9" s="131"/>
      <c r="Q9" s="131"/>
      <c r="R9" s="131"/>
      <c r="S9" s="131"/>
      <c r="AC9" s="140">
        <v>20</v>
      </c>
    </row>
    <row r="10" ht="11.5" customHeight="1">
      <c r="D10" s="150"/>
      <c r="E10" s="151" t="s">
        <v>89</v>
      </c>
      <c r="F10" s="151"/>
      <c r="G10" s="151" t="s">
        <v>90</v>
      </c>
      <c r="H10" s="151" t="s">
        <v>91</v>
      </c>
      <c r="I10" s="151" t="s">
        <v>92</v>
      </c>
      <c r="J10" s="152"/>
      <c r="K10" s="152"/>
      <c r="L10" s="152"/>
      <c r="M10" s="152"/>
      <c r="N10" s="152"/>
      <c r="O10" s="152"/>
      <c r="P10" s="153"/>
      <c r="Q10" s="153"/>
      <c r="R10" s="153"/>
      <c r="S10" s="153"/>
      <c r="AC10" s="50">
        <v>11</v>
      </c>
    </row>
    <row r="11" s="140" customFormat="1" ht="1.05" customHeight="1">
      <c r="A11" s="50"/>
      <c r="B11" s="53"/>
      <c r="C11" s="50"/>
      <c r="D11" s="129"/>
      <c r="E11" s="154"/>
      <c r="F11" s="154"/>
      <c r="G11" s="155"/>
      <c r="H11" s="155"/>
      <c r="I11" s="156"/>
      <c r="J11" s="157" t="s">
        <v>93</v>
      </c>
      <c r="K11" s="130"/>
      <c r="L11" s="130"/>
      <c r="M11" s="130" t="s">
        <v>94</v>
      </c>
      <c r="N11" s="130" t="s">
        <v>95</v>
      </c>
      <c r="O11" s="130" t="s">
        <v>96</v>
      </c>
      <c r="P11" s="131"/>
      <c r="Q11" s="131"/>
      <c r="R11" s="131"/>
      <c r="S11" s="131"/>
      <c r="AC11" s="140">
        <v>1</v>
      </c>
    </row>
    <row r="12" s="140" customFormat="1" ht="15" customHeight="1">
      <c r="A12" s="51">
        <v>1</v>
      </c>
      <c r="B12" s="53"/>
      <c r="C12" s="50"/>
      <c r="D12" s="129"/>
      <c r="E12" s="158">
        <f>A12</f>
        <v>1</v>
      </c>
      <c r="F12" s="159" t="s">
        <v>97</v>
      </c>
      <c r="G12" s="160" t="str">
        <f>"Территория "&amp;E12</f>
        <v xml:space="preserve">Территория 1</v>
      </c>
      <c r="H12" s="161"/>
      <c r="I12" s="161"/>
      <c r="J12" s="130"/>
      <c r="K12" s="130"/>
      <c r="L12" s="130"/>
      <c r="M12" s="130"/>
      <c r="N12" s="130"/>
      <c r="O12" s="130"/>
      <c r="P12" s="131"/>
      <c r="Q12" s="131"/>
      <c r="R12" s="131"/>
      <c r="S12" s="131"/>
      <c r="AC12" s="140">
        <v>14</v>
      </c>
    </row>
    <row r="13" s="63" customFormat="1" ht="15.75" customHeight="1">
      <c r="A13" s="51"/>
      <c r="B13" s="53">
        <v>1</v>
      </c>
      <c r="C13" s="53"/>
      <c r="D13" s="162"/>
      <c r="E13" s="163" t="str">
        <f>A12&amp;"."&amp;B13</f>
        <v>1.1</v>
      </c>
      <c r="F13" s="164">
        <v>1</v>
      </c>
      <c r="G13" s="165"/>
      <c r="H13" s="165"/>
      <c r="I13" s="166"/>
      <c r="J13" s="130" t="e">
        <f>MERGEVALUE(G13)</f>
        <v>#NAME?</v>
      </c>
      <c r="K13" s="57"/>
      <c r="L13" s="57"/>
      <c r="M13" s="130" t="str">
        <f t="array" ref="M13">IF(ISERROR(MATCH(MID(N13,1,250),MID(note_ter,1,250),0)),"n","y")</f>
        <v>n</v>
      </c>
      <c r="N13" s="57"/>
      <c r="O13" s="130" t="str">
        <f>H13&amp;"("&amp;I13&amp;")"</f>
        <v>()</v>
      </c>
      <c r="P13" s="53"/>
      <c r="Q13" s="53"/>
      <c r="R13" s="167"/>
      <c r="S13" s="53"/>
      <c r="T13" s="53"/>
      <c r="U13" s="53"/>
      <c r="V13" s="64"/>
      <c r="W13" s="64"/>
      <c r="X13" s="168"/>
      <c r="Y13" s="168"/>
      <c r="Z13" s="168"/>
      <c r="AA13" s="168"/>
      <c r="AB13" s="168"/>
      <c r="AC13" s="63">
        <v>15</v>
      </c>
    </row>
    <row r="14" s="63" customFormat="1" ht="15.75" customHeight="1">
      <c r="A14" s="51"/>
      <c r="B14" s="53"/>
      <c r="C14" s="169"/>
      <c r="D14" s="170"/>
      <c r="E14" s="171"/>
      <c r="F14" s="172"/>
      <c r="G14" s="173" t="s">
        <v>98</v>
      </c>
      <c r="H14" s="174"/>
      <c r="I14" s="175"/>
      <c r="J14" s="57"/>
      <c r="K14" s="57"/>
      <c r="L14" s="57"/>
      <c r="M14" s="57"/>
      <c r="N14" s="130"/>
      <c r="O14" s="57"/>
      <c r="P14" s="53"/>
      <c r="Q14" s="53"/>
      <c r="R14" s="167"/>
      <c r="S14" s="53"/>
      <c r="T14" s="53"/>
      <c r="U14" s="53"/>
      <c r="V14" s="64"/>
      <c r="W14" s="64"/>
      <c r="X14" s="168"/>
      <c r="Y14" s="168"/>
      <c r="Z14" s="168"/>
      <c r="AA14" s="168"/>
      <c r="AB14" s="168"/>
      <c r="AC14" s="63">
        <v>15</v>
      </c>
    </row>
    <row r="15" s="140" customFormat="1" ht="14.65" customHeight="1">
      <c r="A15" s="50"/>
      <c r="B15" s="53"/>
      <c r="C15" s="50"/>
      <c r="D15" s="129"/>
      <c r="E15" s="176"/>
      <c r="F15" s="177"/>
      <c r="G15" s="178" t="s">
        <v>99</v>
      </c>
      <c r="H15" s="177"/>
      <c r="I15" s="179"/>
      <c r="J15" s="157"/>
      <c r="K15" s="130"/>
      <c r="L15" s="130"/>
      <c r="M15" s="130"/>
      <c r="N15" s="130" t="s">
        <v>100</v>
      </c>
      <c r="O15" s="130"/>
      <c r="P15" s="131"/>
      <c r="Q15" s="131"/>
      <c r="R15" s="131"/>
      <c r="S15" s="131"/>
      <c r="AC15" s="140">
        <v>14</v>
      </c>
    </row>
    <row r="16" s="140" customFormat="1" ht="22" customHeight="1">
      <c r="A16" s="50"/>
      <c r="B16" s="53"/>
      <c r="C16" s="50"/>
      <c r="D16" s="129"/>
      <c r="E16" s="180"/>
      <c r="F16" s="180"/>
      <c r="G16" s="180"/>
      <c r="H16" s="180"/>
      <c r="I16" s="180"/>
      <c r="J16" s="130"/>
      <c r="K16" s="130"/>
      <c r="L16" s="130"/>
      <c r="M16" s="130"/>
      <c r="N16" s="130"/>
      <c r="O16" s="130"/>
      <c r="P16" s="131"/>
      <c r="Q16" s="131"/>
      <c r="R16" s="131"/>
      <c r="S16" s="131"/>
      <c r="AC16" s="140">
        <v>21</v>
      </c>
    </row>
    <row r="17" s="140" customFormat="1" ht="14.65" customHeight="1">
      <c r="A17" s="50"/>
      <c r="B17" s="53"/>
      <c r="C17" s="50"/>
      <c r="D17" s="129"/>
      <c r="E17" s="50"/>
      <c r="F17" s="50"/>
      <c r="G17" s="50"/>
      <c r="H17" s="50"/>
      <c r="I17" s="50"/>
      <c r="J17" s="130"/>
      <c r="K17" s="130"/>
      <c r="L17" s="130"/>
      <c r="M17" s="130"/>
      <c r="N17" s="130"/>
      <c r="O17" s="130"/>
      <c r="P17" s="131"/>
      <c r="Q17" s="131"/>
      <c r="R17" s="131"/>
      <c r="S17" s="131"/>
      <c r="AC17" s="140">
        <v>14</v>
      </c>
    </row>
    <row r="18" s="140" customFormat="1" ht="1.05" customHeight="1">
      <c r="A18" s="50"/>
      <c r="B18" s="53"/>
      <c r="C18" s="50"/>
      <c r="D18" s="129"/>
      <c r="E18" s="50"/>
      <c r="F18" s="50"/>
      <c r="G18" s="50"/>
      <c r="H18" s="50"/>
      <c r="I18" s="50"/>
      <c r="J18" s="130"/>
      <c r="K18" s="130"/>
      <c r="L18" s="130"/>
      <c r="M18" s="130"/>
      <c r="N18" s="130"/>
      <c r="O18" s="130"/>
      <c r="P18" s="131"/>
      <c r="Q18" s="131"/>
      <c r="R18" s="131"/>
      <c r="S18" s="131"/>
      <c r="AC18" s="140">
        <v>1</v>
      </c>
    </row>
    <row r="19" s="181" customFormat="1" ht="10.5" customHeight="1">
      <c r="B19" s="182"/>
      <c r="D19" s="183"/>
      <c r="J19" s="130"/>
      <c r="K19" s="130"/>
      <c r="L19" s="130"/>
      <c r="M19" s="130"/>
      <c r="N19" s="130"/>
      <c r="O19" s="130"/>
      <c r="P19" s="131"/>
      <c r="Q19" s="131"/>
      <c r="R19" s="131"/>
      <c r="S19" s="131"/>
      <c r="AC19" s="181">
        <v>10</v>
      </c>
    </row>
    <row r="20" s="181" customFormat="1" ht="10.5" customHeight="1">
      <c r="B20" s="182"/>
      <c r="D20" s="183"/>
      <c r="J20" s="130"/>
      <c r="K20" s="130"/>
      <c r="L20" s="130"/>
      <c r="M20" s="130"/>
      <c r="N20" s="130"/>
      <c r="O20" s="130"/>
      <c r="P20" s="131"/>
      <c r="Q20" s="131"/>
      <c r="R20" s="131"/>
      <c r="S20" s="131"/>
      <c r="AC20" s="181">
        <v>10</v>
      </c>
    </row>
    <row r="21" ht="14.65" customHeight="1">
      <c r="AC21" s="50">
        <v>14</v>
      </c>
    </row>
    <row r="22" ht="14.65" customHeight="1">
      <c r="AC22" s="50">
        <v>14</v>
      </c>
    </row>
    <row r="23" ht="14.65" customHeight="1">
      <c r="AC23" s="50">
        <v>14</v>
      </c>
    </row>
    <row r="24" ht="14.65" customHeight="1">
      <c r="H24" s="184"/>
      <c r="AC24" s="50">
        <v>14</v>
      </c>
    </row>
    <row r="25" ht="14.65" customHeight="1">
      <c r="AC25" s="50">
        <v>14</v>
      </c>
    </row>
    <row r="26" ht="14.65" customHeight="1">
      <c r="AC26" s="50">
        <v>14</v>
      </c>
    </row>
    <row r="27" ht="14.65" customHeight="1">
      <c r="AC27" s="50">
        <v>14</v>
      </c>
    </row>
    <row r="28" ht="14.65" customHeight="1">
      <c r="J28" s="50"/>
      <c r="K28" s="50"/>
      <c r="L28" s="50"/>
      <c r="AC28" s="50">
        <v>14</v>
      </c>
    </row>
    <row r="29" ht="22.5" hidden="1" customHeight="1">
      <c r="A29" s="50" t="s">
        <v>81</v>
      </c>
      <c r="B29" s="53">
        <v>0</v>
      </c>
      <c r="C29" s="50">
        <v>3</v>
      </c>
      <c r="D29" s="129">
        <v>3</v>
      </c>
      <c r="E29" s="50">
        <v>6</v>
      </c>
      <c r="F29" s="50">
        <v>0</v>
      </c>
      <c r="G29" s="50">
        <v>46</v>
      </c>
      <c r="H29" s="50">
        <v>42</v>
      </c>
      <c r="I29" s="50">
        <v>14</v>
      </c>
      <c r="J29" s="130">
        <v>3</v>
      </c>
      <c r="K29" s="130">
        <v>0</v>
      </c>
      <c r="L29" s="130">
        <v>0</v>
      </c>
      <c r="M29" s="130">
        <v>0</v>
      </c>
      <c r="N29" s="130">
        <v>0</v>
      </c>
      <c r="O29" s="130">
        <v>0</v>
      </c>
      <c r="P29" s="131">
        <v>0</v>
      </c>
      <c r="Q29" s="131">
        <v>0</v>
      </c>
      <c r="R29" s="131">
        <v>0</v>
      </c>
      <c r="S29" s="131">
        <v>0</v>
      </c>
      <c r="T29" s="50">
        <v>0</v>
      </c>
      <c r="U29" s="50">
        <v>0</v>
      </c>
      <c r="V29" s="50">
        <v>0</v>
      </c>
      <c r="W29" s="50">
        <v>0</v>
      </c>
      <c r="X29" s="50">
        <v>0</v>
      </c>
      <c r="Y29" s="50">
        <v>0</v>
      </c>
      <c r="Z29" s="50">
        <v>0</v>
      </c>
      <c r="AA29" s="50">
        <v>0</v>
      </c>
      <c r="AB29" s="50">
        <v>8</v>
      </c>
      <c r="AC29" s="50">
        <v>23</v>
      </c>
    </row>
  </sheetData>
  <sheetProtection autoFilter="0" deleteColumns="1" deleteRows="1" formatCells="1" formatColumns="0" formatRows="0" insertColumns="1" insertHyperlinks="1" insertRows="1" objects="0" pivotTables="1" scenarios="0" selectLockedCells="0" selectUnlockedCells="0" sheet="1" sort="1"/>
  <mergeCells count="4">
    <mergeCell ref="E4:I4"/>
    <mergeCell ref="E8:G8"/>
    <mergeCell ref="H8:I8"/>
    <mergeCell ref="A12:A14"/>
  </mergeCells>
  <printOptions headings="0" gridLines="0"/>
  <pageMargins left="0" right="0" top="0" bottom="0" header="0" footer="0.79000000000000004"/>
  <pageSetup paperSize="9" scale="93" fitToWidth="1" fitToHeight="0" pageOrder="downThenOver" orientation="portrait" usePrinterDefaults="1" blackAndWhite="1"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 disablePrompts="0">
        <x14:dataValidation xr:uid="{00B50049-00FE-4C54-BCAB-00CC00DC00A3}" type="textLength" allowBlank="1" error="Допускается ввод не более 900 символов!" errorStyle="stop" errorTitle="Ошибка" imeMode="noControl" operator="lessThanOrEqual" showDropDown="0" showErrorMessage="1" showInputMessage="1">
          <x14:formula1>
            <xm:f>900</xm:f>
          </x14:formula1>
          <xm:sqref>G12</xm:sqref>
        </x14:dataValidation>
      </x14:dataValidations>
    </ext>
  </extLst>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32" ySplit="41" topLeftCell="AG42"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4.140625"/>
    <col customWidth="1" hidden="1" min="10" max="10" style="53" width="9.8515625"/>
    <col customWidth="1" hidden="1" min="11" max="11" style="53" width="14.7109375"/>
    <col customWidth="1" hidden="1" min="12" max="12" style="114" width="19.140625"/>
    <col customWidth="1" hidden="1" min="13" max="14" style="61" width="12.28125"/>
    <col customWidth="1" hidden="1" min="15" max="15" style="61" width="23.421875"/>
    <col customWidth="1" min="16" max="16" style="60" width="3.00390625"/>
    <col customWidth="1" min="17" max="18" style="479" width="3.00390625"/>
    <col customWidth="1" min="19" max="19" style="86" width="12.00390625"/>
    <col customWidth="1" min="20" max="20" style="50" width="35.00390625"/>
    <col customWidth="1" min="21" max="21" style="50" width="0.140625"/>
    <col customWidth="1" hidden="1" min="22" max="28" style="50" width="19.7109375"/>
    <col customWidth="1" hidden="1" min="29" max="29" style="50" width="11.7109375"/>
    <col customWidth="1" hidden="1" min="30" max="30" style="50" width="3.7109375"/>
    <col customWidth="1" hidden="1" min="31" max="31" style="50" width="11.7109375"/>
    <col customWidth="1" hidden="1" min="32" max="32" style="50" width="8.57421875"/>
    <col customWidth="1" min="33" max="33" style="50" width="19.7109375"/>
    <col customWidth="1" min="34" max="39" style="50" width="19.00390625"/>
    <col customWidth="1" min="40" max="40" style="50" width="11.00390625"/>
    <col customWidth="1" min="41" max="41" style="50" width="3.7109375"/>
    <col customWidth="1" min="42" max="42" style="50" width="11.00390625"/>
    <col customWidth="1" hidden="1" min="43" max="43" style="50" width="8.57421875"/>
    <col customWidth="1" min="44" max="44" style="50" width="4.00390625"/>
    <col customWidth="1" min="45" max="45" style="50" width="115.00390625"/>
    <col customWidth="1" min="46" max="50" style="57" width="10.00390625"/>
    <col hidden="1" min="51" max="51" style="50" width="10.57421875"/>
  </cols>
  <sheetData>
    <row r="1" ht="22.5" hidden="1" customHeight="1">
      <c r="AC1" s="50"/>
      <c r="AN1" s="50"/>
      <c r="AY1" s="50" t="s">
        <v>14</v>
      </c>
    </row>
    <row r="2" ht="23.25" hidden="1" customHeight="1">
      <c r="A2" s="480"/>
      <c r="B2" s="480"/>
      <c r="C2" s="480"/>
      <c r="D2" s="480"/>
      <c r="E2" s="481">
        <v>1</v>
      </c>
      <c r="F2" s="480"/>
      <c r="G2" s="480"/>
      <c r="H2" s="480"/>
      <c r="I2" s="480"/>
      <c r="J2" s="480"/>
      <c r="K2" s="480"/>
      <c r="L2" s="482"/>
      <c r="M2" s="483"/>
      <c r="N2" s="483"/>
      <c r="O2" s="483"/>
      <c r="P2" s="60"/>
      <c r="Q2" s="144"/>
      <c r="R2" s="484"/>
      <c r="S2" s="485" t="e">
        <f>INDEX(PT_DIFFERENTIATION_NUM_NTAR,MATCH(A2,PT_DIFFERENTIATION_NTAR_ID,0))</f>
        <v>#VALUE!</v>
      </c>
      <c r="T2" s="486" t="s">
        <v>119</v>
      </c>
      <c r="U2" s="487"/>
      <c r="V2" s="488"/>
      <c r="W2" s="489"/>
      <c r="X2" s="489"/>
      <c r="Y2" s="489"/>
      <c r="Z2" s="489"/>
      <c r="AA2" s="489"/>
      <c r="AB2" s="489"/>
      <c r="AC2" s="489"/>
      <c r="AD2" s="489"/>
      <c r="AE2" s="489"/>
      <c r="AF2" s="490"/>
      <c r="AG2" s="488" t="e">
        <f>INDEX(PT_DIFFERENTIATION_NTAR,MATCH(A2,PT_DIFFERENTIATION_NTAR_ID,0))</f>
        <v>#VALUE!</v>
      </c>
      <c r="AH2" s="489"/>
      <c r="AI2" s="489"/>
      <c r="AJ2" s="489"/>
      <c r="AK2" s="489"/>
      <c r="AL2" s="489"/>
      <c r="AM2" s="489"/>
      <c r="AN2" s="489"/>
      <c r="AO2" s="489"/>
      <c r="AP2" s="489"/>
      <c r="AQ2" s="489"/>
      <c r="AR2" s="490"/>
      <c r="AS2" s="49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130"/>
      <c r="AV2" s="130" t="str">
        <f t="shared" ref="AV2:AV9" si="41">IF(T2="","",T2)</f>
        <v xml:space="preserve">Наименование тарифа</v>
      </c>
      <c r="AW2" s="130"/>
      <c r="AX2" s="130"/>
      <c r="AY2" s="50">
        <v>0</v>
      </c>
    </row>
    <row r="3" ht="23.25" hidden="1" customHeight="1">
      <c r="A3" s="480"/>
      <c r="B3" s="480"/>
      <c r="C3" s="480"/>
      <c r="D3" s="480"/>
      <c r="E3" s="492"/>
      <c r="F3" s="481">
        <v>1</v>
      </c>
      <c r="G3" s="480"/>
      <c r="H3" s="480"/>
      <c r="I3" s="480"/>
      <c r="J3" s="480"/>
      <c r="K3" s="480"/>
      <c r="L3" s="482"/>
      <c r="M3" s="483"/>
      <c r="N3" s="483"/>
      <c r="O3" s="483"/>
      <c r="P3" s="51"/>
      <c r="Q3" s="493"/>
      <c r="R3" s="494"/>
      <c r="S3" s="485" t="e">
        <f>INDEX(PT_DIFFERENTIATION_NUM_TER,MATCH(B3,PT_DIFFERENTIATION_TER_ID,0))</f>
        <v>#VALUE!</v>
      </c>
      <c r="T3" s="495" t="s">
        <v>391</v>
      </c>
      <c r="U3" s="487"/>
      <c r="V3" s="488"/>
      <c r="W3" s="489"/>
      <c r="X3" s="489"/>
      <c r="Y3" s="489"/>
      <c r="Z3" s="489"/>
      <c r="AA3" s="489"/>
      <c r="AB3" s="489"/>
      <c r="AC3" s="489"/>
      <c r="AD3" s="489"/>
      <c r="AE3" s="489"/>
      <c r="AF3" s="490"/>
      <c r="AG3" s="488" t="e">
        <f>INDEX(PT_DIFFERENTIATION_TER,MATCH(B3,PT_DIFFERENTIATION_TER_ID,0))</f>
        <v>#VALUE!</v>
      </c>
      <c r="AH3" s="489"/>
      <c r="AI3" s="489"/>
      <c r="AJ3" s="489"/>
      <c r="AK3" s="489"/>
      <c r="AL3" s="489"/>
      <c r="AM3" s="489"/>
      <c r="AN3" s="489"/>
      <c r="AO3" s="489"/>
      <c r="AP3" s="489"/>
      <c r="AQ3" s="489"/>
      <c r="AR3" s="490"/>
      <c r="AS3" s="491" t="s">
        <v>392</v>
      </c>
      <c r="AU3" s="130"/>
      <c r="AV3" s="130" t="str">
        <f t="shared" si="41"/>
        <v xml:space="preserve">Территория действия тарифа</v>
      </c>
      <c r="AW3" s="130"/>
      <c r="AX3" s="130"/>
      <c r="AY3" s="50">
        <v>0</v>
      </c>
    </row>
    <row r="4" ht="23.25" hidden="1" customHeight="1">
      <c r="A4" s="480"/>
      <c r="B4" s="480"/>
      <c r="C4" s="480"/>
      <c r="D4" s="480"/>
      <c r="E4" s="492"/>
      <c r="F4" s="492"/>
      <c r="G4" s="481">
        <v>1</v>
      </c>
      <c r="H4" s="480"/>
      <c r="I4" s="480"/>
      <c r="J4" s="480"/>
      <c r="K4" s="480"/>
      <c r="L4" s="482"/>
      <c r="M4" s="483"/>
      <c r="N4" s="483"/>
      <c r="O4" s="483"/>
      <c r="P4" s="496"/>
      <c r="Q4" s="493"/>
      <c r="R4" s="494"/>
      <c r="S4" s="485" t="e">
        <f>INDEX(PT_DIFFERENTIATION_NUM_CS,MATCH(C4,PT_DIFFERENTIATION_CS_ID,0))</f>
        <v>#VALUE!</v>
      </c>
      <c r="T4" s="497" t="s">
        <v>524</v>
      </c>
      <c r="U4" s="487"/>
      <c r="V4" s="488"/>
      <c r="W4" s="489"/>
      <c r="X4" s="489"/>
      <c r="Y4" s="489"/>
      <c r="Z4" s="489"/>
      <c r="AA4" s="489"/>
      <c r="AB4" s="489"/>
      <c r="AC4" s="489"/>
      <c r="AD4" s="489"/>
      <c r="AE4" s="489"/>
      <c r="AF4" s="490"/>
      <c r="AG4" s="488" t="e">
        <f>INDEX(PT_DIFFERENTIATION_CS,MATCH(C4,PT_DIFFERENTIATION_CS_ID,0))</f>
        <v>#VALUE!</v>
      </c>
      <c r="AH4" s="489"/>
      <c r="AI4" s="489"/>
      <c r="AJ4" s="489"/>
      <c r="AK4" s="489"/>
      <c r="AL4" s="489"/>
      <c r="AM4" s="489"/>
      <c r="AN4" s="489"/>
      <c r="AO4" s="489"/>
      <c r="AP4" s="489"/>
      <c r="AQ4" s="489"/>
      <c r="AR4" s="490"/>
      <c r="AS4" s="491" t="s">
        <v>525</v>
      </c>
      <c r="AU4" s="130"/>
      <c r="AV4" s="130" t="str">
        <f t="shared" si="41"/>
        <v xml:space="preserve">Наименование централизованной системы горячего водоснабжения</v>
      </c>
      <c r="AW4" s="130"/>
      <c r="AX4" s="130"/>
      <c r="AY4" s="50">
        <v>0</v>
      </c>
    </row>
    <row r="5" ht="23.25" hidden="1" customHeight="1">
      <c r="A5" s="480"/>
      <c r="B5" s="480"/>
      <c r="C5" s="480"/>
      <c r="D5" s="480"/>
      <c r="E5" s="492"/>
      <c r="F5" s="492"/>
      <c r="G5" s="492"/>
      <c r="H5" s="492"/>
      <c r="I5" s="499" t="e">
        <f>S4&amp;".1"</f>
        <v>#VALUE!</v>
      </c>
      <c r="J5" s="480"/>
      <c r="K5" s="480"/>
      <c r="L5" s="482"/>
      <c r="P5" s="133">
        <v>1</v>
      </c>
      <c r="Q5" s="133"/>
      <c r="R5" s="500"/>
      <c r="S5" s="485" t="e">
        <f>$I5</f>
        <v>#VALUE!</v>
      </c>
      <c r="T5" s="501" t="s">
        <v>477</v>
      </c>
      <c r="U5" s="487"/>
      <c r="V5" s="677"/>
      <c r="W5" s="678"/>
      <c r="X5" s="678"/>
      <c r="Y5" s="678"/>
      <c r="Z5" s="678"/>
      <c r="AA5" s="678"/>
      <c r="AB5" s="678"/>
      <c r="AC5" s="678"/>
      <c r="AD5" s="678"/>
      <c r="AE5" s="678"/>
      <c r="AF5" s="679"/>
      <c r="AG5" s="680"/>
      <c r="AH5" s="681"/>
      <c r="AI5" s="681"/>
      <c r="AJ5" s="681"/>
      <c r="AK5" s="681"/>
      <c r="AL5" s="681"/>
      <c r="AM5" s="681"/>
      <c r="AN5" s="681"/>
      <c r="AO5" s="681"/>
      <c r="AP5" s="681"/>
      <c r="AQ5" s="681"/>
      <c r="AR5" s="682"/>
      <c r="AS5" s="491" t="s">
        <v>478</v>
      </c>
      <c r="AU5" s="130"/>
      <c r="AV5" s="130" t="str">
        <f t="shared" si="41"/>
        <v xml:space="preserve">Наименование признака дифференциации</v>
      </c>
      <c r="AW5" s="130"/>
      <c r="AX5" s="130"/>
      <c r="AY5" s="50">
        <v>0</v>
      </c>
    </row>
    <row r="6" ht="23.25" hidden="1" customHeight="1">
      <c r="A6" s="480"/>
      <c r="B6" s="480"/>
      <c r="C6" s="480"/>
      <c r="D6" s="480"/>
      <c r="E6" s="492"/>
      <c r="F6" s="492"/>
      <c r="G6" s="492"/>
      <c r="H6" s="492"/>
      <c r="I6" s="504"/>
      <c r="J6" s="499" t="e">
        <f>I5&amp;".1"</f>
        <v>#VALUE!</v>
      </c>
      <c r="K6" s="480"/>
      <c r="L6" s="482" t="s">
        <v>400</v>
      </c>
      <c r="P6" s="133"/>
      <c r="Q6" s="133">
        <v>1</v>
      </c>
      <c r="R6" s="505"/>
      <c r="S6" s="485" t="e">
        <f>$J6</f>
        <v>#VALUE!</v>
      </c>
      <c r="T6" s="506" t="s">
        <v>401</v>
      </c>
      <c r="U6" s="487"/>
      <c r="V6" s="432"/>
      <c r="W6" s="502"/>
      <c r="X6" s="502"/>
      <c r="Y6" s="502"/>
      <c r="Z6" s="502"/>
      <c r="AA6" s="502"/>
      <c r="AB6" s="502"/>
      <c r="AC6" s="502"/>
      <c r="AD6" s="502"/>
      <c r="AE6" s="502"/>
      <c r="AF6" s="503"/>
      <c r="AG6" s="432"/>
      <c r="AH6" s="502"/>
      <c r="AI6" s="502"/>
      <c r="AJ6" s="502"/>
      <c r="AK6" s="502"/>
      <c r="AL6" s="502"/>
      <c r="AM6" s="502"/>
      <c r="AN6" s="502"/>
      <c r="AO6" s="502"/>
      <c r="AP6" s="502"/>
      <c r="AQ6" s="502"/>
      <c r="AR6" s="503"/>
      <c r="AS6" s="618" t="s">
        <v>479</v>
      </c>
      <c r="AU6" s="130"/>
      <c r="AV6" s="130" t="str">
        <f t="shared" si="41"/>
        <v xml:space="preserve">Группа потребителей</v>
      </c>
      <c r="AW6" s="130"/>
      <c r="AX6" s="130"/>
      <c r="AY6" s="50">
        <v>0</v>
      </c>
    </row>
    <row r="7" ht="23.25" hidden="1" customHeight="1">
      <c r="A7" s="480"/>
      <c r="B7" s="480"/>
      <c r="C7" s="480"/>
      <c r="D7" s="480"/>
      <c r="E7" s="492"/>
      <c r="F7" s="492"/>
      <c r="G7" s="492"/>
      <c r="H7" s="492"/>
      <c r="I7" s="504"/>
      <c r="J7" s="504"/>
      <c r="K7" s="499" t="e">
        <f>J6&amp;".1"</f>
        <v>#VALUE!</v>
      </c>
      <c r="L7" s="482"/>
      <c r="P7" s="133"/>
      <c r="Q7" s="133"/>
      <c r="R7" s="505">
        <v>1</v>
      </c>
      <c r="S7" s="485" t="e">
        <f>$K7</f>
        <v>#VALUE!</v>
      </c>
      <c r="T7" s="683"/>
      <c r="U7" s="487"/>
      <c r="V7" s="508"/>
      <c r="W7" s="508"/>
      <c r="X7" s="508"/>
      <c r="Y7" s="508"/>
      <c r="Z7" s="508"/>
      <c r="AA7" s="508"/>
      <c r="AB7" s="508"/>
      <c r="AC7" s="511"/>
      <c r="AD7" s="225" t="s">
        <v>64</v>
      </c>
      <c r="AE7" s="511"/>
      <c r="AF7" s="225" t="s">
        <v>64</v>
      </c>
      <c r="AG7" s="508"/>
      <c r="AH7" s="508"/>
      <c r="AI7" s="508"/>
      <c r="AJ7" s="508"/>
      <c r="AK7" s="508"/>
      <c r="AL7" s="508"/>
      <c r="AM7" s="508"/>
      <c r="AN7" s="511"/>
      <c r="AO7" s="225" t="s">
        <v>64</v>
      </c>
      <c r="AP7" s="571"/>
      <c r="AQ7" s="225" t="s">
        <v>64</v>
      </c>
      <c r="AR7" s="684"/>
      <c r="AS7" s="68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 t="e">
        <f>STRCHECKDATE(V8:AR8)</f>
        <v>#NAME?</v>
      </c>
      <c r="AU7" s="130"/>
      <c r="AV7" s="130" t="str">
        <f t="shared" si="41"/>
        <v/>
      </c>
      <c r="AW7" s="130"/>
      <c r="AX7" s="130"/>
      <c r="AY7" s="50">
        <v>0</v>
      </c>
    </row>
    <row r="8" ht="14.25" hidden="1" customHeight="1">
      <c r="A8" s="480"/>
      <c r="B8" s="480"/>
      <c r="C8" s="480"/>
      <c r="D8" s="480"/>
      <c r="E8" s="492"/>
      <c r="F8" s="492"/>
      <c r="G8" s="492"/>
      <c r="H8" s="492"/>
      <c r="I8" s="504"/>
      <c r="J8" s="504"/>
      <c r="K8" s="499"/>
      <c r="L8" s="482"/>
      <c r="P8" s="133"/>
      <c r="Q8" s="133"/>
      <c r="R8" s="505"/>
      <c r="S8" s="459"/>
      <c r="T8" s="487"/>
      <c r="U8" s="487"/>
      <c r="V8" s="509"/>
      <c r="W8" s="509"/>
      <c r="X8" s="509"/>
      <c r="Y8" s="509"/>
      <c r="Z8" s="509"/>
      <c r="AA8" s="509"/>
      <c r="AB8" s="509"/>
      <c r="AC8" s="514"/>
      <c r="AD8" s="225"/>
      <c r="AE8" s="514"/>
      <c r="AF8" s="225"/>
      <c r="AG8" s="509"/>
      <c r="AH8" s="509"/>
      <c r="AI8" s="509"/>
      <c r="AJ8" s="509"/>
      <c r="AK8" s="509"/>
      <c r="AL8" s="509"/>
      <c r="AM8" s="509"/>
      <c r="AN8" s="514"/>
      <c r="AO8" s="225"/>
      <c r="AP8" s="573"/>
      <c r="AQ8" s="225"/>
      <c r="AR8" s="686"/>
      <c r="AS8" s="685"/>
      <c r="AU8" s="130"/>
      <c r="AV8" s="130" t="str">
        <f t="shared" si="41"/>
        <v/>
      </c>
      <c r="AW8" s="130"/>
      <c r="AX8" s="130"/>
      <c r="AY8" s="50">
        <v>0</v>
      </c>
    </row>
    <row r="9" ht="21" hidden="1" customHeight="1">
      <c r="A9" s="480"/>
      <c r="B9" s="480"/>
      <c r="C9" s="480"/>
      <c r="D9" s="480"/>
      <c r="E9" s="492"/>
      <c r="F9" s="492"/>
      <c r="G9" s="492"/>
      <c r="H9" s="492"/>
      <c r="I9" s="504"/>
      <c r="J9" s="499"/>
      <c r="K9" s="480"/>
      <c r="L9" s="482"/>
      <c r="P9" s="133"/>
      <c r="Q9" s="133"/>
      <c r="R9" s="500"/>
      <c r="S9" s="516"/>
      <c r="T9" s="520" t="s">
        <v>480</v>
      </c>
      <c r="U9" s="215"/>
      <c r="V9" s="215"/>
      <c r="W9" s="215"/>
      <c r="X9" s="215"/>
      <c r="Y9" s="215"/>
      <c r="Z9" s="215"/>
      <c r="AA9" s="215"/>
      <c r="AB9" s="215"/>
      <c r="AC9" s="215"/>
      <c r="AD9" s="215"/>
      <c r="AE9" s="215"/>
      <c r="AF9" s="215"/>
      <c r="AG9" s="215"/>
      <c r="AH9" s="215"/>
      <c r="AI9" s="215"/>
      <c r="AJ9" s="215"/>
      <c r="AK9" s="215"/>
      <c r="AL9" s="215"/>
      <c r="AM9" s="215"/>
      <c r="AN9" s="215"/>
      <c r="AO9" s="215"/>
      <c r="AP9" s="215"/>
      <c r="AQ9" s="215"/>
      <c r="AR9" s="215"/>
      <c r="AS9" s="491" t="s">
        <v>481</v>
      </c>
      <c r="AU9" s="130"/>
      <c r="AV9" s="130" t="str">
        <f t="shared" si="41"/>
        <v xml:space="preserve">Добавить значение признака дифференциации</v>
      </c>
      <c r="AW9" s="130"/>
      <c r="AX9" s="130"/>
      <c r="AY9" s="50">
        <v>0</v>
      </c>
    </row>
    <row r="10" ht="21" hidden="1" customHeight="1">
      <c r="A10" s="480"/>
      <c r="B10" s="480"/>
      <c r="C10" s="480"/>
      <c r="D10" s="480"/>
      <c r="E10" s="492"/>
      <c r="F10" s="492"/>
      <c r="G10" s="492"/>
      <c r="H10" s="492"/>
      <c r="I10" s="499"/>
      <c r="J10" s="480"/>
      <c r="K10" s="480"/>
      <c r="L10" s="482"/>
      <c r="P10" s="133"/>
      <c r="Q10" s="133"/>
      <c r="R10" s="500"/>
      <c r="S10" s="516"/>
      <c r="T10" s="524" t="s">
        <v>406</v>
      </c>
      <c r="U10" s="215"/>
      <c r="V10" s="215"/>
      <c r="W10" s="215"/>
      <c r="X10" s="215"/>
      <c r="Y10" s="215"/>
      <c r="Z10" s="215"/>
      <c r="AA10" s="215"/>
      <c r="AB10" s="215"/>
      <c r="AC10" s="215"/>
      <c r="AD10" s="215"/>
      <c r="AE10" s="215"/>
      <c r="AF10" s="521"/>
      <c r="AG10" s="215"/>
      <c r="AH10" s="215"/>
      <c r="AI10" s="215"/>
      <c r="AJ10" s="215"/>
      <c r="AK10" s="215"/>
      <c r="AL10" s="215"/>
      <c r="AM10" s="215"/>
      <c r="AN10" s="215"/>
      <c r="AO10" s="215"/>
      <c r="AP10" s="215"/>
      <c r="AQ10" s="521"/>
      <c r="AR10" s="215"/>
      <c r="AS10" s="687"/>
      <c r="AU10" s="130"/>
      <c r="AV10" s="130" t="str">
        <f t="shared" ref="AV10:AV54" si="42">IF(T10="","",T10)</f>
        <v xml:space="preserve">Добавить группу потребителей</v>
      </c>
      <c r="AW10" s="130"/>
      <c r="AX10" s="130"/>
      <c r="AY10" s="50">
        <v>0</v>
      </c>
    </row>
    <row r="11" ht="21" hidden="1" customHeight="1">
      <c r="A11" s="480"/>
      <c r="B11" s="480"/>
      <c r="C11" s="480"/>
      <c r="D11" s="480"/>
      <c r="E11" s="492"/>
      <c r="F11" s="492"/>
      <c r="G11" s="492"/>
      <c r="H11" s="481"/>
      <c r="I11" s="480"/>
      <c r="J11" s="480"/>
      <c r="K11" s="480"/>
      <c r="L11" s="482"/>
      <c r="M11" s="483"/>
      <c r="N11" s="483"/>
      <c r="O11" s="53"/>
      <c r="P11" s="144"/>
      <c r="Q11" s="523"/>
      <c r="R11" s="484"/>
      <c r="S11" s="516"/>
      <c r="T11" s="688" t="s">
        <v>482</v>
      </c>
      <c r="U11" s="215"/>
      <c r="V11" s="215"/>
      <c r="W11" s="215"/>
      <c r="X11" s="215"/>
      <c r="Y11" s="215"/>
      <c r="Z11" s="215"/>
      <c r="AA11" s="215"/>
      <c r="AB11" s="215"/>
      <c r="AC11" s="215"/>
      <c r="AD11" s="215"/>
      <c r="AE11" s="215"/>
      <c r="AF11" s="521"/>
      <c r="AG11" s="215"/>
      <c r="AH11" s="215"/>
      <c r="AI11" s="215"/>
      <c r="AJ11" s="215"/>
      <c r="AK11" s="215"/>
      <c r="AL11" s="215"/>
      <c r="AM11" s="215"/>
      <c r="AN11" s="215"/>
      <c r="AO11" s="215"/>
      <c r="AP11" s="215"/>
      <c r="AQ11" s="521"/>
      <c r="AR11" s="215"/>
      <c r="AS11" s="522"/>
      <c r="AU11" s="130"/>
      <c r="AV11" s="130" t="str">
        <f t="shared" si="42"/>
        <v xml:space="preserve">Добавить наименование признака дифференциации</v>
      </c>
      <c r="AW11" s="130"/>
      <c r="AX11" s="130"/>
      <c r="AY11" s="50">
        <v>0</v>
      </c>
    </row>
    <row r="12" s="57" customFormat="1" ht="14.25" hidden="1" customHeight="1">
      <c r="A12" s="134"/>
      <c r="B12" s="134"/>
      <c r="C12" s="134"/>
      <c r="D12" s="134"/>
      <c r="E12" s="492"/>
      <c r="F12" s="481"/>
      <c r="G12" s="134"/>
      <c r="H12" s="134"/>
      <c r="I12" s="134"/>
      <c r="J12" s="134"/>
      <c r="K12" s="134"/>
      <c r="L12" s="213"/>
      <c r="M12" s="529"/>
      <c r="N12" s="529"/>
      <c r="P12" s="168"/>
      <c r="Q12" s="525"/>
      <c r="R12" s="168"/>
      <c r="S12" s="530"/>
      <c r="T12" s="533" t="s">
        <v>409</v>
      </c>
      <c r="U12" s="532"/>
      <c r="V12" s="532"/>
      <c r="W12" s="532"/>
      <c r="X12" s="532"/>
      <c r="Y12" s="532"/>
      <c r="Z12" s="532"/>
      <c r="AA12" s="532"/>
      <c r="AB12" s="532"/>
      <c r="AC12" s="532"/>
      <c r="AD12" s="532"/>
      <c r="AE12" s="532"/>
      <c r="AF12" s="532"/>
      <c r="AG12" s="532"/>
      <c r="AH12" s="532"/>
      <c r="AI12" s="532"/>
      <c r="AJ12" s="532"/>
      <c r="AK12" s="532"/>
      <c r="AL12" s="532"/>
      <c r="AM12" s="532"/>
      <c r="AN12" s="532"/>
      <c r="AO12" s="532"/>
      <c r="AP12" s="532"/>
      <c r="AQ12" s="532"/>
      <c r="AR12" s="532"/>
      <c r="AS12" s="532"/>
      <c r="AU12" s="130"/>
      <c r="AV12" s="130" t="str">
        <f t="shared" si="42"/>
        <v xml:space="preserve">Добавить централизованную систему для дифференциации</v>
      </c>
      <c r="AW12" s="130"/>
      <c r="AX12" s="130"/>
      <c r="AY12" s="57">
        <v>0</v>
      </c>
    </row>
    <row r="13" s="57" customFormat="1" ht="14.25" hidden="1" customHeight="1">
      <c r="A13" s="134"/>
      <c r="B13" s="134"/>
      <c r="C13" s="134"/>
      <c r="D13" s="134"/>
      <c r="E13" s="481"/>
      <c r="F13" s="134"/>
      <c r="G13" s="134"/>
      <c r="H13" s="134"/>
      <c r="I13" s="134"/>
      <c r="J13" s="134"/>
      <c r="K13" s="134"/>
      <c r="L13" s="213"/>
      <c r="M13" s="529"/>
      <c r="N13" s="529"/>
      <c r="O13" s="57"/>
      <c r="P13" s="168"/>
      <c r="Q13" s="525"/>
      <c r="R13" s="168"/>
      <c r="S13" s="530"/>
      <c r="T13" s="533" t="s">
        <v>410</v>
      </c>
      <c r="U13" s="532"/>
      <c r="V13" s="532"/>
      <c r="W13" s="532"/>
      <c r="X13" s="532"/>
      <c r="Y13" s="532"/>
      <c r="Z13" s="532"/>
      <c r="AA13" s="532"/>
      <c r="AB13" s="532"/>
      <c r="AC13" s="532"/>
      <c r="AD13" s="532"/>
      <c r="AE13" s="532"/>
      <c r="AF13" s="532"/>
      <c r="AG13" s="532"/>
      <c r="AH13" s="532"/>
      <c r="AI13" s="532"/>
      <c r="AJ13" s="532"/>
      <c r="AK13" s="532"/>
      <c r="AL13" s="532"/>
      <c r="AM13" s="532"/>
      <c r="AN13" s="532"/>
      <c r="AO13" s="532"/>
      <c r="AP13" s="532"/>
      <c r="AQ13" s="532"/>
      <c r="AR13" s="532"/>
      <c r="AS13" s="532"/>
      <c r="AU13" s="130"/>
      <c r="AV13" s="130" t="str">
        <f t="shared" si="42"/>
        <v xml:space="preserve">Добавить территорию для дифференциации</v>
      </c>
      <c r="AW13" s="130"/>
      <c r="AX13" s="130"/>
      <c r="AY13" s="57">
        <v>0</v>
      </c>
    </row>
    <row r="14" ht="14.25" hidden="1" customHeight="1">
      <c r="AF14" s="50"/>
      <c r="AQ14" s="50"/>
      <c r="AY14" s="50">
        <v>0</v>
      </c>
    </row>
    <row r="15" ht="14.25" hidden="1" customHeight="1">
      <c r="AG15" s="534"/>
      <c r="AH15" s="534"/>
      <c r="AI15" s="534"/>
      <c r="AJ15" s="534"/>
      <c r="AK15" s="534"/>
      <c r="AL15" s="534"/>
      <c r="AM15" s="534"/>
      <c r="AN15" s="536"/>
      <c r="AO15" s="537" t="s">
        <v>64</v>
      </c>
      <c r="AP15" s="536"/>
      <c r="AQ15" s="537" t="s">
        <v>64</v>
      </c>
      <c r="AY15" s="50">
        <v>0</v>
      </c>
    </row>
    <row r="16" ht="14.25" hidden="1" customHeight="1">
      <c r="AG16" s="534"/>
      <c r="AH16" s="534"/>
      <c r="AI16" s="534"/>
      <c r="AJ16" s="534"/>
      <c r="AK16" s="534"/>
      <c r="AL16" s="534"/>
      <c r="AM16" s="534"/>
      <c r="AN16" s="537"/>
      <c r="AO16" s="537"/>
      <c r="AP16" s="537"/>
      <c r="AQ16" s="537"/>
      <c r="AY16" s="50">
        <v>0</v>
      </c>
    </row>
    <row r="17" ht="14.25" hidden="1" customHeight="1">
      <c r="AQ17" s="50"/>
      <c r="AY17" s="50">
        <v>0</v>
      </c>
    </row>
    <row r="18" s="53" customFormat="1" ht="22.5" hidden="1" customHeight="1">
      <c r="L18" s="114"/>
      <c r="M18" s="61"/>
      <c r="N18" s="61"/>
      <c r="O18" s="538" t="s">
        <v>411</v>
      </c>
      <c r="P18" s="61"/>
      <c r="Q18" s="539"/>
      <c r="R18" s="539"/>
      <c r="S18" s="483"/>
      <c r="W18" s="53"/>
      <c r="X18" s="53"/>
      <c r="Y18" s="53"/>
      <c r="Z18" s="53"/>
      <c r="AA18" s="53"/>
      <c r="AB18" s="53"/>
      <c r="AC18" s="538"/>
      <c r="AE18" s="538"/>
      <c r="AF18" s="53"/>
      <c r="AH18" s="53"/>
      <c r="AI18" s="53"/>
      <c r="AJ18" s="53"/>
      <c r="AK18" s="53"/>
      <c r="AL18" s="53"/>
      <c r="AN18" s="538"/>
      <c r="AP18" s="538"/>
      <c r="AQ18" s="53"/>
      <c r="AT18" s="57"/>
      <c r="AU18" s="57"/>
      <c r="AV18" s="57"/>
      <c r="AW18" s="57"/>
      <c r="AX18" s="57"/>
      <c r="AY18" s="53">
        <v>0</v>
      </c>
    </row>
    <row r="19" s="53" customFormat="1" ht="14.25" hidden="1" customHeight="1">
      <c r="L19" s="114"/>
      <c r="M19" s="61"/>
      <c r="N19" s="61"/>
      <c r="O19" s="61"/>
      <c r="P19" s="61"/>
      <c r="Q19" s="539"/>
      <c r="R19" s="539"/>
      <c r="S19" s="483"/>
      <c r="W19" s="53"/>
      <c r="X19" s="53"/>
      <c r="Y19" s="53"/>
      <c r="Z19" s="53"/>
      <c r="AA19" s="53"/>
      <c r="AB19" s="53"/>
      <c r="AF19" s="53"/>
      <c r="AH19" s="53"/>
      <c r="AI19" s="53"/>
      <c r="AJ19" s="53"/>
      <c r="AK19" s="53"/>
      <c r="AL19" s="53"/>
      <c r="AQ19" s="53"/>
      <c r="AT19" s="57"/>
      <c r="AU19" s="57"/>
      <c r="AV19" s="57"/>
      <c r="AW19" s="57"/>
      <c r="AX19" s="57"/>
      <c r="AY19" s="53">
        <v>0</v>
      </c>
    </row>
    <row r="20" s="53" customFormat="1" ht="12" hidden="1" customHeight="1">
      <c r="L20" s="114"/>
      <c r="M20" s="61"/>
      <c r="N20" s="61"/>
      <c r="O20" s="482" t="s">
        <v>412</v>
      </c>
      <c r="P20" s="61"/>
      <c r="Q20" s="689"/>
      <c r="R20" s="689"/>
      <c r="S20" s="483"/>
      <c r="T20" s="53" t="s">
        <v>413</v>
      </c>
      <c r="W20" s="53"/>
      <c r="X20" s="53"/>
      <c r="Y20" s="53"/>
      <c r="Z20" s="53"/>
      <c r="AA20" s="53"/>
      <c r="AB20" s="53"/>
      <c r="AD20" s="152" t="s">
        <v>414</v>
      </c>
      <c r="AF20" s="152" t="s">
        <v>415</v>
      </c>
      <c r="AG20" s="53" t="s">
        <v>413</v>
      </c>
      <c r="AH20" s="53"/>
      <c r="AI20" s="53"/>
      <c r="AJ20" s="53"/>
      <c r="AK20" s="53"/>
      <c r="AL20" s="53"/>
      <c r="AO20" s="152" t="s">
        <v>416</v>
      </c>
      <c r="AQ20" s="152" t="s">
        <v>415</v>
      </c>
      <c r="AY20" s="53">
        <v>0</v>
      </c>
    </row>
    <row r="21" ht="14.25" hidden="1" customHeight="1">
      <c r="O21" s="482"/>
      <c r="AY21" s="50">
        <v>0</v>
      </c>
    </row>
    <row r="22" ht="14.25" hidden="1" customHeight="1">
      <c r="O22" s="482"/>
      <c r="AY22" s="50">
        <v>0</v>
      </c>
    </row>
    <row r="23" ht="14.65" customHeight="1">
      <c r="Q23" s="540"/>
      <c r="R23" s="540"/>
      <c r="S23" s="541"/>
      <c r="T23" s="91"/>
      <c r="U23" s="91"/>
      <c r="V23" s="50"/>
      <c r="W23" s="50"/>
      <c r="X23" s="50"/>
      <c r="Y23" s="50"/>
      <c r="Z23" s="50"/>
      <c r="AA23" s="50"/>
      <c r="AB23" s="50"/>
      <c r="AC23" s="50"/>
      <c r="AD23" s="50"/>
      <c r="AE23" s="50"/>
      <c r="AF23" s="50"/>
      <c r="AG23" s="50"/>
      <c r="AH23" s="50"/>
      <c r="AI23" s="50"/>
      <c r="AJ23" s="50"/>
      <c r="AK23" s="50"/>
      <c r="AL23" s="50"/>
      <c r="AM23" s="50"/>
      <c r="AN23" s="50"/>
      <c r="AO23" s="50"/>
      <c r="AP23" s="50"/>
      <c r="AQ23" s="50"/>
      <c r="AY23" s="50">
        <v>14</v>
      </c>
    </row>
    <row r="24" ht="26.25" customHeight="1">
      <c r="Q24" s="540"/>
      <c r="R24" s="540"/>
      <c r="S24" s="453" t="str">
        <f>IF(TEMPLATE_GROUP="P",PT_P_FORM_HOTVSNA_4_NAME_FORM,PT_R_FORM_HOTVSNA_16_NAME_FORM)</f>
        <v xml:space="preserve">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453"/>
      <c r="U24" s="453"/>
      <c r="V24" s="453"/>
      <c r="W24" s="453"/>
      <c r="X24" s="453"/>
      <c r="Y24" s="453"/>
      <c r="Z24" s="453"/>
      <c r="AA24" s="453"/>
      <c r="AB24" s="453"/>
      <c r="AC24" s="453"/>
      <c r="AD24" s="453"/>
      <c r="AE24" s="453"/>
      <c r="AF24" s="453"/>
      <c r="AG24" s="453"/>
      <c r="AH24" s="453"/>
      <c r="AI24" s="453"/>
      <c r="AJ24" s="453"/>
      <c r="AK24" s="453"/>
      <c r="AL24" s="453"/>
      <c r="AM24" s="453"/>
      <c r="AN24" s="453"/>
      <c r="AO24" s="453"/>
      <c r="AP24" s="453"/>
      <c r="AQ24" s="241"/>
      <c r="AY24" s="50">
        <v>25</v>
      </c>
    </row>
    <row r="25" ht="14.65" customHeight="1">
      <c r="Q25" s="540"/>
      <c r="R25" s="540"/>
      <c r="S25" s="304" t="str">
        <f>IF(org=0,"Не определено",org)</f>
        <v xml:space="preserve">АО "ДГК" СП "Биробиджанская ТЭЦ"</v>
      </c>
      <c r="T25" s="304"/>
      <c r="U25" s="304"/>
      <c r="V25" s="304"/>
      <c r="W25" s="304"/>
      <c r="X25" s="304"/>
      <c r="Y25" s="304"/>
      <c r="Z25" s="304"/>
      <c r="AA25" s="304"/>
      <c r="AB25" s="304"/>
      <c r="AC25" s="304"/>
      <c r="AD25" s="304"/>
      <c r="AE25" s="304"/>
      <c r="AF25" s="304"/>
      <c r="AG25" s="304"/>
      <c r="AH25" s="304"/>
      <c r="AI25" s="304"/>
      <c r="AJ25" s="304"/>
      <c r="AK25" s="304"/>
      <c r="AL25" s="304"/>
      <c r="AM25" s="304"/>
      <c r="AN25" s="304"/>
      <c r="AO25" s="304"/>
      <c r="AP25" s="304"/>
      <c r="AQ25" s="241"/>
      <c r="AY25" s="50">
        <v>14</v>
      </c>
    </row>
    <row r="26" ht="14.25" hidden="1" customHeight="1">
      <c r="Q26" s="540"/>
      <c r="R26" s="540"/>
      <c r="S26" s="541"/>
      <c r="T26" s="91"/>
      <c r="U26" s="91"/>
      <c r="V26" s="542"/>
      <c r="W26" s="542"/>
      <c r="X26" s="542"/>
      <c r="Y26" s="542"/>
      <c r="Z26" s="542"/>
      <c r="AA26" s="542"/>
      <c r="AB26" s="542"/>
      <c r="AC26" s="542"/>
      <c r="AD26" s="542"/>
      <c r="AE26" s="542"/>
      <c r="AF26" s="542"/>
      <c r="AG26" s="542"/>
      <c r="AH26" s="542"/>
      <c r="AI26" s="542"/>
      <c r="AJ26" s="542"/>
      <c r="AK26" s="542"/>
      <c r="AL26" s="542"/>
      <c r="AM26" s="542"/>
      <c r="AN26" s="542"/>
      <c r="AO26" s="542"/>
      <c r="AP26" s="542"/>
      <c r="AQ26" s="542"/>
      <c r="AR26" s="50"/>
      <c r="AY26" s="50">
        <v>0</v>
      </c>
    </row>
    <row r="27" s="185" customFormat="1" ht="25.5" hidden="1" customHeight="1">
      <c r="A27" s="152"/>
      <c r="B27" s="152"/>
      <c r="C27" s="152"/>
      <c r="D27" s="152"/>
      <c r="E27" s="152"/>
      <c r="F27" s="152"/>
      <c r="G27" s="152"/>
      <c r="H27" s="152"/>
      <c r="I27" s="152"/>
      <c r="J27" s="152"/>
      <c r="K27" s="152"/>
      <c r="L27" s="482"/>
      <c r="M27" s="152"/>
      <c r="N27" s="152"/>
      <c r="O27" s="152"/>
      <c r="S27" s="543" t="s">
        <v>41</v>
      </c>
      <c r="T27" s="543"/>
      <c r="U27" s="544"/>
      <c r="V27" s="545" t="str">
        <f>IF(TITLE_NAME_OR_PR_CHANGE="",IF(TITLE_NAME_OR_PR="","",TITLE_NAME_OR_PR),TITLE_NAME_OR_PR_CHANGE)</f>
        <v/>
      </c>
      <c r="W27" s="545"/>
      <c r="X27" s="545"/>
      <c r="Y27" s="545"/>
      <c r="Z27" s="545"/>
      <c r="AA27" s="545"/>
      <c r="AB27" s="545"/>
      <c r="AC27" s="545"/>
      <c r="AD27" s="545"/>
      <c r="AE27" s="545"/>
      <c r="AF27" s="50"/>
      <c r="AG27" s="545" t="str">
        <f>IF(TITLE_NAME_OR_PR_CHANGE="",IF(TITLE_NAME_OR_PR="","",TITLE_NAME_OR_PR),TITLE_NAME_OR_PR_CHANGE)</f>
        <v/>
      </c>
      <c r="AH27" s="545"/>
      <c r="AI27" s="545"/>
      <c r="AJ27" s="545"/>
      <c r="AK27" s="545"/>
      <c r="AL27" s="545"/>
      <c r="AM27" s="545"/>
      <c r="AN27" s="545"/>
      <c r="AO27" s="545"/>
      <c r="AP27" s="545"/>
      <c r="AQ27" s="50"/>
      <c r="AR27" s="50"/>
      <c r="AS27" s="546"/>
      <c r="AT27" s="130"/>
      <c r="AU27" s="130"/>
      <c r="AV27" s="130"/>
      <c r="AW27" s="130"/>
      <c r="AX27" s="130"/>
      <c r="AY27" s="185">
        <v>0</v>
      </c>
    </row>
    <row r="28" s="185" customFormat="1" ht="18.75" hidden="1" customHeight="1">
      <c r="A28" s="152"/>
      <c r="B28" s="152"/>
      <c r="C28" s="152"/>
      <c r="D28" s="152"/>
      <c r="E28" s="152"/>
      <c r="F28" s="152"/>
      <c r="G28" s="152"/>
      <c r="H28" s="152"/>
      <c r="I28" s="152"/>
      <c r="J28" s="152"/>
      <c r="K28" s="152"/>
      <c r="L28" s="482"/>
      <c r="M28" s="152"/>
      <c r="N28" s="152"/>
      <c r="O28" s="152"/>
      <c r="S28" s="543" t="s">
        <v>417</v>
      </c>
      <c r="T28" s="543"/>
      <c r="U28" s="544"/>
      <c r="V28" s="547" t="str">
        <f>IF(TITLE_DATE_PR_CHANGE="",IF(TITLE_DATE_PR="","",TITLE_DATE_PR),TITLE_DATE_PR_CHANGE)</f>
        <v/>
      </c>
      <c r="W28" s="547"/>
      <c r="X28" s="547"/>
      <c r="Y28" s="547"/>
      <c r="Z28" s="547"/>
      <c r="AA28" s="547"/>
      <c r="AB28" s="547"/>
      <c r="AC28" s="547"/>
      <c r="AD28" s="547"/>
      <c r="AE28" s="547"/>
      <c r="AF28" s="50"/>
      <c r="AG28" s="547" t="str">
        <f>IF(TITLE_DATE_PR_CHANGE="",IF(TITLE_DATE_PR="","",TITLE_DATE_PR),TITLE_DATE_PR_CHANGE)</f>
        <v/>
      </c>
      <c r="AH28" s="547"/>
      <c r="AI28" s="547"/>
      <c r="AJ28" s="547"/>
      <c r="AK28" s="547"/>
      <c r="AL28" s="547"/>
      <c r="AM28" s="547"/>
      <c r="AN28" s="547"/>
      <c r="AO28" s="547"/>
      <c r="AP28" s="547"/>
      <c r="AQ28" s="50"/>
      <c r="AR28" s="50"/>
      <c r="AS28" s="546"/>
      <c r="AT28" s="130"/>
      <c r="AU28" s="130"/>
      <c r="AV28" s="130"/>
      <c r="AW28" s="130"/>
      <c r="AX28" s="130"/>
      <c r="AY28" s="185">
        <v>0</v>
      </c>
    </row>
    <row r="29" s="185" customFormat="1" ht="18.75" hidden="1" customHeight="1">
      <c r="A29" s="152"/>
      <c r="B29" s="152"/>
      <c r="C29" s="152"/>
      <c r="D29" s="152"/>
      <c r="E29" s="152"/>
      <c r="F29" s="152"/>
      <c r="G29" s="152"/>
      <c r="H29" s="152"/>
      <c r="I29" s="152"/>
      <c r="J29" s="152"/>
      <c r="K29" s="152"/>
      <c r="L29" s="482"/>
      <c r="M29" s="152"/>
      <c r="N29" s="152"/>
      <c r="O29" s="152"/>
      <c r="S29" s="543" t="s">
        <v>418</v>
      </c>
      <c r="T29" s="543"/>
      <c r="U29" s="544"/>
      <c r="V29" s="545" t="str">
        <f>IF(TITLE_NUMBER_PR_CHANGE="",IF(TITLE_NUMBER_PR="","",TITLE_NUMBER_PR),TITLE_NUMBER_PR_CHANGE)</f>
        <v/>
      </c>
      <c r="W29" s="545"/>
      <c r="X29" s="545"/>
      <c r="Y29" s="545"/>
      <c r="Z29" s="545"/>
      <c r="AA29" s="545"/>
      <c r="AB29" s="545"/>
      <c r="AC29" s="545"/>
      <c r="AD29" s="545"/>
      <c r="AE29" s="545"/>
      <c r="AF29" s="50"/>
      <c r="AG29" s="545" t="str">
        <f>IF(TITLE_NUMBER_PR_CHANGE="",IF(TITLE_NUMBER_PR="","",TITLE_NUMBER_PR),TITLE_NUMBER_PR_CHANGE)</f>
        <v/>
      </c>
      <c r="AH29" s="545"/>
      <c r="AI29" s="545"/>
      <c r="AJ29" s="545"/>
      <c r="AK29" s="545"/>
      <c r="AL29" s="545"/>
      <c r="AM29" s="545"/>
      <c r="AN29" s="545"/>
      <c r="AO29" s="545"/>
      <c r="AP29" s="545"/>
      <c r="AQ29" s="50"/>
      <c r="AR29" s="50"/>
      <c r="AS29" s="546"/>
      <c r="AT29" s="130"/>
      <c r="AU29" s="130"/>
      <c r="AV29" s="130"/>
      <c r="AW29" s="130"/>
      <c r="AX29" s="130"/>
      <c r="AY29" s="185">
        <v>0</v>
      </c>
    </row>
    <row r="30" s="185" customFormat="1" ht="18.75" hidden="1" customHeight="1">
      <c r="A30" s="152"/>
      <c r="B30" s="152"/>
      <c r="C30" s="152"/>
      <c r="D30" s="152"/>
      <c r="E30" s="152"/>
      <c r="F30" s="152"/>
      <c r="G30" s="152"/>
      <c r="H30" s="152"/>
      <c r="I30" s="152"/>
      <c r="J30" s="152"/>
      <c r="K30" s="152"/>
      <c r="L30" s="482"/>
      <c r="M30" s="152"/>
      <c r="N30" s="152"/>
      <c r="O30" s="152"/>
      <c r="S30" s="543" t="s">
        <v>42</v>
      </c>
      <c r="T30" s="543"/>
      <c r="U30" s="544"/>
      <c r="V30" s="545" t="str">
        <f>IF(TITLE_IST_PUB_CHANGE="",IF(TITLE_IST_PUB="","",TITLE_IST_PUB),TITLE_IST_PUB_CHANGE)</f>
        <v/>
      </c>
      <c r="W30" s="545"/>
      <c r="X30" s="545"/>
      <c r="Y30" s="545"/>
      <c r="Z30" s="545"/>
      <c r="AA30" s="545"/>
      <c r="AB30" s="545"/>
      <c r="AC30" s="545"/>
      <c r="AD30" s="545"/>
      <c r="AE30" s="545"/>
      <c r="AF30" s="50"/>
      <c r="AG30" s="545" t="str">
        <f>IF(TITLE_IST_PUB_CHANGE="",IF(TITLE_IST_PUB="","",TITLE_IST_PUB),TITLE_IST_PUB_CHANGE)</f>
        <v/>
      </c>
      <c r="AH30" s="545"/>
      <c r="AI30" s="545"/>
      <c r="AJ30" s="545"/>
      <c r="AK30" s="545"/>
      <c r="AL30" s="545"/>
      <c r="AM30" s="545"/>
      <c r="AN30" s="545"/>
      <c r="AO30" s="545"/>
      <c r="AP30" s="545"/>
      <c r="AQ30" s="50"/>
      <c r="AR30" s="50"/>
      <c r="AS30" s="546"/>
      <c r="AT30" s="130"/>
      <c r="AU30" s="130"/>
      <c r="AV30" s="130"/>
      <c r="AW30" s="130"/>
      <c r="AX30" s="130"/>
      <c r="AY30" s="185">
        <v>0</v>
      </c>
    </row>
    <row r="31" ht="14.25" hidden="1" customHeight="1">
      <c r="Q31" s="540"/>
      <c r="R31" s="540"/>
      <c r="S31" s="541"/>
      <c r="T31" s="91"/>
      <c r="U31" s="91"/>
      <c r="V31" s="542"/>
      <c r="W31" s="542"/>
      <c r="X31" s="542"/>
      <c r="Y31" s="542"/>
      <c r="Z31" s="542"/>
      <c r="AA31" s="542"/>
      <c r="AB31" s="542"/>
      <c r="AC31" s="542"/>
      <c r="AD31" s="542"/>
      <c r="AE31" s="542"/>
      <c r="AF31" s="542"/>
      <c r="AG31" s="542"/>
      <c r="AH31" s="542"/>
      <c r="AI31" s="542"/>
      <c r="AJ31" s="542"/>
      <c r="AK31" s="542"/>
      <c r="AL31" s="542"/>
      <c r="AM31" s="542"/>
      <c r="AN31" s="542"/>
      <c r="AO31" s="542"/>
      <c r="AP31" s="542"/>
      <c r="AQ31" s="542"/>
      <c r="AR31" s="50"/>
      <c r="AY31" s="50">
        <v>0</v>
      </c>
    </row>
    <row r="32" s="185" customFormat="1" ht="18.75" hidden="1" customHeight="1">
      <c r="A32" s="152"/>
      <c r="B32" s="152"/>
      <c r="C32" s="152"/>
      <c r="D32" s="152"/>
      <c r="E32" s="152"/>
      <c r="F32" s="152"/>
      <c r="G32" s="152"/>
      <c r="H32" s="152"/>
      <c r="I32" s="152"/>
      <c r="J32" s="152"/>
      <c r="K32" s="152"/>
      <c r="L32" s="482"/>
      <c r="M32" s="152"/>
      <c r="N32" s="152"/>
      <c r="O32" s="152"/>
      <c r="S32" s="543" t="s">
        <v>419</v>
      </c>
      <c r="T32" s="543"/>
      <c r="U32" s="544"/>
      <c r="V32" s="547" t="str">
        <f>IF(TITLE_DATE_PR_CHANGE="",IF(TITLE_DATE_PR="","",TITLE_DATE_PR),TITLE_DATE_PR_CHANGE)</f>
        <v/>
      </c>
      <c r="W32" s="547"/>
      <c r="X32" s="547"/>
      <c r="Y32" s="547"/>
      <c r="Z32" s="547"/>
      <c r="AA32" s="547"/>
      <c r="AB32" s="547"/>
      <c r="AC32" s="547"/>
      <c r="AD32" s="547"/>
      <c r="AE32" s="547"/>
      <c r="AF32" s="50"/>
      <c r="AG32" s="547" t="str">
        <f>IF(TITLE_DATE_PR_CHANGE="",IF(TITLE_DATE_PR="","",TITLE_DATE_PR),TITLE_DATE_PR_CHANGE)</f>
        <v/>
      </c>
      <c r="AH32" s="547"/>
      <c r="AI32" s="547"/>
      <c r="AJ32" s="547"/>
      <c r="AK32" s="547"/>
      <c r="AL32" s="547"/>
      <c r="AM32" s="547"/>
      <c r="AN32" s="547"/>
      <c r="AO32" s="547"/>
      <c r="AP32" s="547"/>
      <c r="AQ32" s="50"/>
      <c r="AR32" s="50"/>
      <c r="AS32" s="546"/>
      <c r="AT32" s="130"/>
      <c r="AU32" s="130"/>
      <c r="AV32" s="130"/>
      <c r="AW32" s="130"/>
      <c r="AX32" s="130"/>
      <c r="AY32" s="185">
        <v>0</v>
      </c>
    </row>
    <row r="33" s="185" customFormat="1" ht="18.75" hidden="1" customHeight="1">
      <c r="A33" s="152"/>
      <c r="B33" s="152"/>
      <c r="C33" s="152"/>
      <c r="D33" s="152"/>
      <c r="E33" s="152"/>
      <c r="F33" s="152"/>
      <c r="G33" s="152"/>
      <c r="H33" s="152"/>
      <c r="I33" s="152"/>
      <c r="J33" s="152"/>
      <c r="K33" s="152"/>
      <c r="L33" s="482"/>
      <c r="M33" s="152"/>
      <c r="N33" s="152"/>
      <c r="O33" s="152"/>
      <c r="S33" s="543" t="s">
        <v>420</v>
      </c>
      <c r="T33" s="543"/>
      <c r="U33" s="544"/>
      <c r="V33" s="545" t="str">
        <f>IF(TITLE_NUMBER_PR_CHANGE="",IF(TITLE_NUMBER_PR="","",TITLE_NUMBER_PR),TITLE_NUMBER_PR_CHANGE)</f>
        <v/>
      </c>
      <c r="W33" s="545"/>
      <c r="X33" s="545"/>
      <c r="Y33" s="545"/>
      <c r="Z33" s="545"/>
      <c r="AA33" s="545"/>
      <c r="AB33" s="545"/>
      <c r="AC33" s="545"/>
      <c r="AD33" s="545"/>
      <c r="AE33" s="545"/>
      <c r="AF33" s="50"/>
      <c r="AG33" s="545" t="str">
        <f>IF(TITLE_NUMBER_PR_CHANGE="",IF(TITLE_NUMBER_PR="","",TITLE_NUMBER_PR),TITLE_NUMBER_PR_CHANGE)</f>
        <v/>
      </c>
      <c r="AH33" s="545"/>
      <c r="AI33" s="545"/>
      <c r="AJ33" s="545"/>
      <c r="AK33" s="545"/>
      <c r="AL33" s="545"/>
      <c r="AM33" s="545"/>
      <c r="AN33" s="545"/>
      <c r="AO33" s="545"/>
      <c r="AP33" s="545"/>
      <c r="AQ33" s="50"/>
      <c r="AR33" s="50"/>
      <c r="AS33" s="546"/>
      <c r="AT33" s="130"/>
      <c r="AU33" s="130"/>
      <c r="AV33" s="130"/>
      <c r="AW33" s="130"/>
      <c r="AX33" s="130"/>
      <c r="AY33" s="185">
        <v>0</v>
      </c>
    </row>
    <row r="34" s="185" customFormat="1" ht="1.05" customHeight="1">
      <c r="A34" s="152"/>
      <c r="B34" s="152"/>
      <c r="C34" s="152"/>
      <c r="D34" s="152"/>
      <c r="E34" s="152"/>
      <c r="F34" s="152"/>
      <c r="G34" s="152"/>
      <c r="H34" s="152"/>
      <c r="I34" s="152"/>
      <c r="J34" s="152"/>
      <c r="K34" s="152"/>
      <c r="L34" s="482"/>
      <c r="M34" s="152"/>
      <c r="N34" s="152"/>
      <c r="O34" s="152"/>
      <c r="S34" s="50"/>
      <c r="T34" s="50"/>
      <c r="U34" s="141"/>
      <c r="V34" s="50"/>
      <c r="W34" s="50"/>
      <c r="X34" s="50"/>
      <c r="Y34" s="50"/>
      <c r="Z34" s="50"/>
      <c r="AA34" s="50"/>
      <c r="AB34" s="50"/>
      <c r="AC34" s="50"/>
      <c r="AD34" s="50"/>
      <c r="AE34" s="50"/>
      <c r="AF34" s="57" t="s">
        <v>421</v>
      </c>
      <c r="AG34" s="50"/>
      <c r="AH34" s="50"/>
      <c r="AI34" s="50"/>
      <c r="AJ34" s="50"/>
      <c r="AK34" s="50"/>
      <c r="AL34" s="50"/>
      <c r="AM34" s="50"/>
      <c r="AN34" s="50"/>
      <c r="AO34" s="50"/>
      <c r="AP34" s="50"/>
      <c r="AQ34" s="57" t="s">
        <v>421</v>
      </c>
      <c r="AT34" s="130"/>
      <c r="AU34" s="130"/>
      <c r="AV34" s="130"/>
      <c r="AW34" s="130"/>
      <c r="AX34" s="130"/>
      <c r="AY34" s="185">
        <v>1</v>
      </c>
    </row>
    <row r="35" ht="14.65" customHeight="1">
      <c r="Q35" s="540"/>
      <c r="R35" s="540"/>
      <c r="S35" s="541"/>
      <c r="T35" s="91"/>
      <c r="U35" s="548"/>
      <c r="V35" s="549"/>
      <c r="W35" s="549"/>
      <c r="X35" s="549"/>
      <c r="Y35" s="549"/>
      <c r="Z35" s="549"/>
      <c r="AA35" s="549"/>
      <c r="AB35" s="549"/>
      <c r="AC35" s="549"/>
      <c r="AD35" s="549"/>
      <c r="AE35" s="549"/>
      <c r="AF35" s="549"/>
      <c r="AG35" s="549"/>
      <c r="AH35" s="549"/>
      <c r="AI35" s="549"/>
      <c r="AJ35" s="549"/>
      <c r="AK35" s="549"/>
      <c r="AL35" s="549"/>
      <c r="AM35" s="549"/>
      <c r="AN35" s="549"/>
      <c r="AO35" s="549"/>
      <c r="AP35" s="549"/>
      <c r="AQ35" s="549"/>
      <c r="AY35" s="50">
        <v>14</v>
      </c>
    </row>
    <row r="36" ht="14.65" customHeight="1">
      <c r="Q36" s="540"/>
      <c r="R36" s="540"/>
      <c r="S36" s="158" t="s">
        <v>294</v>
      </c>
      <c r="T36" s="158"/>
      <c r="U36" s="158"/>
      <c r="V36" s="158"/>
      <c r="W36" s="158"/>
      <c r="X36" s="158"/>
      <c r="Y36" s="158"/>
      <c r="Z36" s="158"/>
      <c r="AA36" s="158"/>
      <c r="AB36" s="158"/>
      <c r="AC36" s="158"/>
      <c r="AD36" s="158"/>
      <c r="AE36" s="158"/>
      <c r="AF36" s="158"/>
      <c r="AG36" s="158"/>
      <c r="AH36" s="158"/>
      <c r="AI36" s="158"/>
      <c r="AJ36" s="158"/>
      <c r="AK36" s="158"/>
      <c r="AL36" s="158"/>
      <c r="AM36" s="158"/>
      <c r="AN36" s="158"/>
      <c r="AO36" s="158"/>
      <c r="AP36" s="158"/>
      <c r="AQ36" s="158"/>
      <c r="AR36" s="158"/>
      <c r="AS36" s="158" t="s">
        <v>295</v>
      </c>
      <c r="AY36" s="50">
        <v>14</v>
      </c>
    </row>
    <row r="37" ht="14.65" customHeight="1">
      <c r="Q37" s="540"/>
      <c r="R37" s="540"/>
      <c r="S37" s="485" t="s">
        <v>87</v>
      </c>
      <c r="T37" s="348" t="s">
        <v>422</v>
      </c>
      <c r="U37" s="550"/>
      <c r="V37" s="551" t="s">
        <v>423</v>
      </c>
      <c r="W37" s="585"/>
      <c r="X37" s="585"/>
      <c r="Y37" s="585"/>
      <c r="Z37" s="585"/>
      <c r="AA37" s="585"/>
      <c r="AB37" s="585"/>
      <c r="AC37" s="552"/>
      <c r="AD37" s="552"/>
      <c r="AE37" s="553"/>
      <c r="AF37" s="554" t="s">
        <v>424</v>
      </c>
      <c r="AG37" s="551" t="s">
        <v>423</v>
      </c>
      <c r="AH37" s="552"/>
      <c r="AI37" s="552"/>
      <c r="AJ37" s="552"/>
      <c r="AK37" s="552"/>
      <c r="AL37" s="552"/>
      <c r="AM37" s="552"/>
      <c r="AN37" s="552"/>
      <c r="AO37" s="552"/>
      <c r="AP37" s="553"/>
      <c r="AQ37" s="554" t="s">
        <v>425</v>
      </c>
      <c r="AR37" s="555" t="s">
        <v>426</v>
      </c>
      <c r="AS37" s="158"/>
      <c r="AY37" s="50">
        <v>14</v>
      </c>
    </row>
    <row r="38" ht="19.949999999999999" customHeight="1">
      <c r="Q38" s="540"/>
      <c r="R38" s="540"/>
      <c r="S38" s="485"/>
      <c r="T38" s="348"/>
      <c r="U38" s="556"/>
      <c r="V38" s="158" t="s">
        <v>526</v>
      </c>
      <c r="W38" s="705" t="s">
        <v>527</v>
      </c>
      <c r="X38" s="705"/>
      <c r="Y38" s="705"/>
      <c r="Z38" s="705" t="s">
        <v>528</v>
      </c>
      <c r="AA38" s="705"/>
      <c r="AB38" s="705"/>
      <c r="AC38" s="305" t="s">
        <v>430</v>
      </c>
      <c r="AD38" s="627"/>
      <c r="AE38" s="306"/>
      <c r="AF38" s="558"/>
      <c r="AG38" s="158" t="s">
        <v>526</v>
      </c>
      <c r="AH38" s="705" t="s">
        <v>527</v>
      </c>
      <c r="AI38" s="705"/>
      <c r="AJ38" s="705"/>
      <c r="AK38" s="705" t="s">
        <v>528</v>
      </c>
      <c r="AL38" s="705"/>
      <c r="AM38" s="705"/>
      <c r="AN38" s="305" t="s">
        <v>430</v>
      </c>
      <c r="AO38" s="627"/>
      <c r="AP38" s="306"/>
      <c r="AQ38" s="558"/>
      <c r="AR38" s="559"/>
      <c r="AS38" s="158"/>
      <c r="AY38" s="50">
        <v>19</v>
      </c>
    </row>
    <row r="39" s="50" customFormat="1" ht="19.949999999999999" customHeight="1">
      <c r="A39" s="53"/>
      <c r="B39" s="53"/>
      <c r="C39" s="53"/>
      <c r="D39" s="53"/>
      <c r="E39" s="53"/>
      <c r="F39" s="53"/>
      <c r="G39" s="53"/>
      <c r="H39" s="53"/>
      <c r="I39" s="53"/>
      <c r="J39" s="53"/>
      <c r="K39" s="53"/>
      <c r="L39" s="114"/>
      <c r="M39" s="61"/>
      <c r="N39" s="61"/>
      <c r="O39" s="61"/>
      <c r="P39" s="60"/>
      <c r="Q39" s="540"/>
      <c r="R39" s="540"/>
      <c r="S39" s="485"/>
      <c r="T39" s="348"/>
      <c r="U39" s="556"/>
      <c r="V39" s="158"/>
      <c r="W39" s="705" t="s">
        <v>529</v>
      </c>
      <c r="X39" s="705" t="s">
        <v>530</v>
      </c>
      <c r="Y39" s="705"/>
      <c r="Z39" s="705" t="s">
        <v>531</v>
      </c>
      <c r="AA39" s="705" t="s">
        <v>530</v>
      </c>
      <c r="AB39" s="705"/>
      <c r="AC39" s="311"/>
      <c r="AD39" s="628"/>
      <c r="AE39" s="312"/>
      <c r="AF39" s="558"/>
      <c r="AG39" s="158"/>
      <c r="AH39" s="705" t="s">
        <v>529</v>
      </c>
      <c r="AI39" s="705" t="s">
        <v>530</v>
      </c>
      <c r="AJ39" s="705"/>
      <c r="AK39" s="705" t="s">
        <v>531</v>
      </c>
      <c r="AL39" s="705" t="s">
        <v>530</v>
      </c>
      <c r="AM39" s="705"/>
      <c r="AN39" s="311"/>
      <c r="AO39" s="628"/>
      <c r="AP39" s="312"/>
      <c r="AQ39" s="558"/>
      <c r="AR39" s="559"/>
      <c r="AS39" s="158"/>
      <c r="AT39" s="57"/>
      <c r="AU39" s="57"/>
      <c r="AV39" s="57"/>
      <c r="AW39" s="57"/>
      <c r="AX39" s="57"/>
      <c r="AY39" s="50">
        <v>19</v>
      </c>
    </row>
    <row r="40" ht="61.950000000000003" customHeight="1">
      <c r="A40" s="152"/>
      <c r="B40" s="152" t="s">
        <v>131</v>
      </c>
      <c r="C40" s="152" t="s">
        <v>132</v>
      </c>
      <c r="D40" s="152" t="s">
        <v>133</v>
      </c>
      <c r="E40" s="482" t="s">
        <v>431</v>
      </c>
      <c r="F40" s="482" t="s">
        <v>432</v>
      </c>
      <c r="G40" s="482" t="s">
        <v>433</v>
      </c>
      <c r="H40" s="482"/>
      <c r="I40" s="482" t="s">
        <v>484</v>
      </c>
      <c r="J40" s="482" t="s">
        <v>436</v>
      </c>
      <c r="K40" s="482" t="s">
        <v>485</v>
      </c>
      <c r="L40" s="482" t="s">
        <v>412</v>
      </c>
      <c r="Q40" s="540"/>
      <c r="R40" s="540"/>
      <c r="S40" s="485"/>
      <c r="T40" s="348"/>
      <c r="U40" s="560"/>
      <c r="V40" s="158"/>
      <c r="W40" s="705"/>
      <c r="X40" s="705" t="s">
        <v>532</v>
      </c>
      <c r="Y40" s="705" t="s">
        <v>533</v>
      </c>
      <c r="Z40" s="705"/>
      <c r="AA40" s="705" t="s">
        <v>534</v>
      </c>
      <c r="AB40" s="705" t="s">
        <v>535</v>
      </c>
      <c r="AC40" s="247" t="s">
        <v>440</v>
      </c>
      <c r="AD40" s="416" t="s">
        <v>441</v>
      </c>
      <c r="AE40" s="418"/>
      <c r="AF40" s="562"/>
      <c r="AG40" s="158"/>
      <c r="AH40" s="705"/>
      <c r="AI40" s="705" t="s">
        <v>532</v>
      </c>
      <c r="AJ40" s="705" t="s">
        <v>533</v>
      </c>
      <c r="AK40" s="705"/>
      <c r="AL40" s="705" t="s">
        <v>534</v>
      </c>
      <c r="AM40" s="705" t="s">
        <v>535</v>
      </c>
      <c r="AN40" s="247" t="s">
        <v>440</v>
      </c>
      <c r="AO40" s="416" t="s">
        <v>441</v>
      </c>
      <c r="AP40" s="418"/>
      <c r="AQ40" s="562"/>
      <c r="AR40" s="563"/>
      <c r="AS40" s="158"/>
      <c r="AY40" s="50">
        <v>59</v>
      </c>
    </row>
    <row r="41" s="132" customFormat="1" ht="11.25" hidden="1" customHeight="1">
      <c r="A41" s="152"/>
      <c r="B41" s="152"/>
      <c r="C41" s="152"/>
      <c r="D41" s="152"/>
      <c r="E41" s="152"/>
      <c r="F41" s="152"/>
      <c r="G41" s="152"/>
      <c r="H41" s="152"/>
      <c r="I41" s="152"/>
      <c r="J41" s="152"/>
      <c r="K41" s="152"/>
      <c r="L41" s="482"/>
      <c r="M41" s="61"/>
      <c r="N41" s="61"/>
      <c r="O41" s="61"/>
      <c r="P41" s="564"/>
      <c r="Q41" s="565"/>
      <c r="R41" s="566">
        <v>1</v>
      </c>
      <c r="S41" s="567" t="s">
        <v>105</v>
      </c>
      <c r="T41" s="568" t="s">
        <v>106</v>
      </c>
      <c r="U41" s="569" t="str">
        <f ca="1">OFFSET(U41,0,-1)</f>
        <v>2</v>
      </c>
      <c r="V41" s="570">
        <f ca="1">OFFSET(V41,0,-1)+1</f>
        <v>3</v>
      </c>
      <c r="W41" s="427"/>
      <c r="X41" s="427"/>
      <c r="Y41" s="427"/>
      <c r="Z41" s="427"/>
      <c r="AA41" s="427"/>
      <c r="AB41" s="427"/>
      <c r="AC41" s="570">
        <f ca="1">OFFSET(AC41,0,-1)+1</f>
        <v>1</v>
      </c>
      <c r="AD41" s="570">
        <f ca="1">OFFSET(AD41,0,-1)+1</f>
        <v>2</v>
      </c>
      <c r="AE41" s="570"/>
      <c r="AF41" s="570">
        <f ca="1">OFFSET(AF41,0,-2)+1</f>
        <v>3</v>
      </c>
      <c r="AG41" s="570">
        <f ca="1">OFFSET(AG41,0,-1)+1</f>
        <v>4</v>
      </c>
      <c r="AH41" s="570"/>
      <c r="AI41" s="570"/>
      <c r="AJ41" s="570"/>
      <c r="AK41" s="570"/>
      <c r="AL41" s="570"/>
      <c r="AM41" s="570">
        <f ca="1">OFFSET(AM41,0,-1)+1</f>
        <v>1</v>
      </c>
      <c r="AN41" s="570">
        <f ca="1">OFFSET(AN41,0,-1)+1</f>
        <v>2</v>
      </c>
      <c r="AO41" s="570">
        <f ca="1">OFFSET(AO41,0,-1)+1</f>
        <v>3</v>
      </c>
      <c r="AP41" s="570"/>
      <c r="AQ41" s="570">
        <f ca="1">OFFSET(AQ41,0,-2)+1</f>
        <v>4</v>
      </c>
      <c r="AR41" s="569">
        <f ca="1">OFFSET(AR41,0,-1)</f>
        <v>4</v>
      </c>
      <c r="AS41" s="570">
        <f ca="1">OFFSET(AS41,0,-1)+1</f>
        <v>5</v>
      </c>
      <c r="AT41" s="57"/>
      <c r="AU41" s="57"/>
      <c r="AV41" s="57"/>
      <c r="AW41" s="57"/>
      <c r="AX41" s="57"/>
      <c r="AY41" s="132">
        <v>0</v>
      </c>
    </row>
    <row r="42" ht="24" customHeight="1">
      <c r="A42" s="480" t="s">
        <v>245</v>
      </c>
      <c r="B42" s="480"/>
      <c r="C42" s="480"/>
      <c r="D42" s="480"/>
      <c r="E42" s="481">
        <v>1</v>
      </c>
      <c r="F42" s="480"/>
      <c r="G42" s="480"/>
      <c r="H42" s="480"/>
      <c r="I42" s="480"/>
      <c r="J42" s="480"/>
      <c r="K42" s="480"/>
      <c r="L42" s="482"/>
      <c r="M42" s="483"/>
      <c r="N42" s="483"/>
      <c r="O42" s="483"/>
      <c r="P42" s="60"/>
      <c r="Q42" s="144"/>
      <c r="R42" s="484"/>
      <c r="S42" s="485">
        <f>INDEX(PT_DIFFERENTIATION_NUM_NTAR,MATCH(A42,PT_DIFFERENTIATION_NTAR_ID,0))</f>
        <v>0</v>
      </c>
      <c r="T42" s="486" t="s">
        <v>119</v>
      </c>
      <c r="U42" s="487"/>
      <c r="V42" s="488"/>
      <c r="W42" s="489"/>
      <c r="X42" s="489"/>
      <c r="Y42" s="489"/>
      <c r="Z42" s="489"/>
      <c r="AA42" s="489"/>
      <c r="AB42" s="489"/>
      <c r="AC42" s="489"/>
      <c r="AD42" s="489"/>
      <c r="AE42" s="489"/>
      <c r="AF42" s="490"/>
      <c r="AG42" s="488" t="str">
        <f>INDEX(PT_DIFFERENTIATION_NTAR,MATCH(A42,PT_DIFFERENTIATION_NTAR_ID,0))</f>
        <v/>
      </c>
      <c r="AH42" s="489"/>
      <c r="AI42" s="489"/>
      <c r="AJ42" s="489"/>
      <c r="AK42" s="489"/>
      <c r="AL42" s="489"/>
      <c r="AM42" s="489"/>
      <c r="AN42" s="489"/>
      <c r="AO42" s="489"/>
      <c r="AP42" s="489"/>
      <c r="AQ42" s="489"/>
      <c r="AR42" s="490"/>
      <c r="AS42" s="49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130"/>
      <c r="AV42" s="130" t="str">
        <f t="shared" si="42"/>
        <v xml:space="preserve">Наименование тарифа</v>
      </c>
      <c r="AW42" s="130"/>
      <c r="AX42" s="130"/>
      <c r="AY42" s="50">
        <v>23</v>
      </c>
    </row>
    <row r="43" ht="24" customHeight="1">
      <c r="A43" s="480" t="s">
        <v>245</v>
      </c>
      <c r="B43" s="480" t="s">
        <v>246</v>
      </c>
      <c r="C43" s="480"/>
      <c r="D43" s="480"/>
      <c r="E43" s="492"/>
      <c r="F43" s="481">
        <v>1</v>
      </c>
      <c r="G43" s="480"/>
      <c r="H43" s="480"/>
      <c r="I43" s="480"/>
      <c r="J43" s="480"/>
      <c r="K43" s="480"/>
      <c r="L43" s="482"/>
      <c r="M43" s="483"/>
      <c r="N43" s="483"/>
      <c r="O43" s="483"/>
      <c r="P43" s="51"/>
      <c r="Q43" s="493"/>
      <c r="R43" s="494"/>
      <c r="S43" s="485" t="str">
        <f>INDEX(PT_DIFFERENTIATION_NUM_TER,MATCH(B43,PT_DIFFERENTIATION_TER_ID,0))</f>
        <v>.</v>
      </c>
      <c r="T43" s="495" t="s">
        <v>391</v>
      </c>
      <c r="U43" s="487"/>
      <c r="V43" s="488"/>
      <c r="W43" s="489"/>
      <c r="X43" s="489"/>
      <c r="Y43" s="489"/>
      <c r="Z43" s="489"/>
      <c r="AA43" s="489"/>
      <c r="AB43" s="489"/>
      <c r="AC43" s="489"/>
      <c r="AD43" s="489"/>
      <c r="AE43" s="489"/>
      <c r="AF43" s="490"/>
      <c r="AG43" s="488" t="str">
        <f>INDEX(PT_DIFFERENTIATION_TER,MATCH(B43,PT_DIFFERENTIATION_TER_ID,0))</f>
        <v/>
      </c>
      <c r="AH43" s="489"/>
      <c r="AI43" s="489"/>
      <c r="AJ43" s="489"/>
      <c r="AK43" s="489"/>
      <c r="AL43" s="489"/>
      <c r="AM43" s="489"/>
      <c r="AN43" s="489"/>
      <c r="AO43" s="489"/>
      <c r="AP43" s="489"/>
      <c r="AQ43" s="489"/>
      <c r="AR43" s="490"/>
      <c r="AS43" s="491" t="s">
        <v>392</v>
      </c>
      <c r="AU43" s="130"/>
      <c r="AV43" s="130" t="str">
        <f t="shared" si="42"/>
        <v xml:space="preserve">Территория действия тарифа</v>
      </c>
      <c r="AW43" s="130"/>
      <c r="AX43" s="130"/>
      <c r="AY43" s="50">
        <v>23</v>
      </c>
    </row>
    <row r="44" ht="24" customHeight="1">
      <c r="A44" s="480" t="s">
        <v>245</v>
      </c>
      <c r="B44" s="480" t="s">
        <v>246</v>
      </c>
      <c r="C44" s="480" t="s">
        <v>247</v>
      </c>
      <c r="D44" s="480"/>
      <c r="E44" s="492"/>
      <c r="F44" s="492"/>
      <c r="G44" s="481">
        <v>1</v>
      </c>
      <c r="H44" s="480"/>
      <c r="I44" s="480"/>
      <c r="J44" s="480"/>
      <c r="K44" s="480"/>
      <c r="L44" s="482"/>
      <c r="M44" s="483"/>
      <c r="N44" s="483"/>
      <c r="O44" s="483"/>
      <c r="P44" s="496"/>
      <c r="Q44" s="493"/>
      <c r="R44" s="494"/>
      <c r="S44" s="485" t="str">
        <f>INDEX(PT_DIFFERENTIATION_NUM_CS,MATCH(C44,PT_DIFFERENTIATION_CS_ID,0))</f>
        <v>..</v>
      </c>
      <c r="T44" s="497" t="s">
        <v>524</v>
      </c>
      <c r="U44" s="487"/>
      <c r="V44" s="488"/>
      <c r="W44" s="489"/>
      <c r="X44" s="489"/>
      <c r="Y44" s="489"/>
      <c r="Z44" s="489"/>
      <c r="AA44" s="489"/>
      <c r="AB44" s="489"/>
      <c r="AC44" s="489"/>
      <c r="AD44" s="489"/>
      <c r="AE44" s="489"/>
      <c r="AF44" s="490"/>
      <c r="AG44" s="488" t="str">
        <f>INDEX(PT_DIFFERENTIATION_CS,MATCH(C44,PT_DIFFERENTIATION_CS_ID,0))</f>
        <v/>
      </c>
      <c r="AH44" s="489"/>
      <c r="AI44" s="489"/>
      <c r="AJ44" s="489"/>
      <c r="AK44" s="489"/>
      <c r="AL44" s="489"/>
      <c r="AM44" s="489"/>
      <c r="AN44" s="489"/>
      <c r="AO44" s="489"/>
      <c r="AP44" s="489"/>
      <c r="AQ44" s="489"/>
      <c r="AR44" s="490"/>
      <c r="AS44" s="491" t="s">
        <v>525</v>
      </c>
      <c r="AU44" s="130"/>
      <c r="AV44" s="130" t="str">
        <f t="shared" si="42"/>
        <v xml:space="preserve">Наименование централизованной системы горячего водоснабжения</v>
      </c>
      <c r="AW44" s="130"/>
      <c r="AX44" s="130"/>
      <c r="AY44" s="50">
        <v>23</v>
      </c>
    </row>
    <row r="45" ht="24" customHeight="1">
      <c r="A45" s="480" t="s">
        <v>245</v>
      </c>
      <c r="B45" s="480" t="s">
        <v>246</v>
      </c>
      <c r="C45" s="480" t="s">
        <v>247</v>
      </c>
      <c r="D45" s="480" t="s">
        <v>536</v>
      </c>
      <c r="E45" s="492"/>
      <c r="F45" s="492"/>
      <c r="G45" s="492"/>
      <c r="H45" s="492"/>
      <c r="I45" s="499" t="str">
        <f>S44&amp;".1"</f>
        <v>...1</v>
      </c>
      <c r="J45" s="480"/>
      <c r="K45" s="480"/>
      <c r="L45" s="482"/>
      <c r="P45" s="133">
        <v>1</v>
      </c>
      <c r="Q45" s="133"/>
      <c r="R45" s="500"/>
      <c r="S45" s="485" t="str">
        <f>$I45</f>
        <v>...1</v>
      </c>
      <c r="T45" s="501" t="s">
        <v>477</v>
      </c>
      <c r="U45" s="487"/>
      <c r="V45" s="677"/>
      <c r="W45" s="678"/>
      <c r="X45" s="678"/>
      <c r="Y45" s="678"/>
      <c r="Z45" s="678"/>
      <c r="AA45" s="678"/>
      <c r="AB45" s="678"/>
      <c r="AC45" s="678"/>
      <c r="AD45" s="678"/>
      <c r="AE45" s="678"/>
      <c r="AF45" s="679"/>
      <c r="AG45" s="680"/>
      <c r="AH45" s="681"/>
      <c r="AI45" s="681"/>
      <c r="AJ45" s="681"/>
      <c r="AK45" s="681"/>
      <c r="AL45" s="681"/>
      <c r="AM45" s="681"/>
      <c r="AN45" s="681"/>
      <c r="AO45" s="681"/>
      <c r="AP45" s="681"/>
      <c r="AQ45" s="681"/>
      <c r="AR45" s="682"/>
      <c r="AS45" s="491" t="s">
        <v>478</v>
      </c>
      <c r="AU45" s="130"/>
      <c r="AV45" s="130" t="str">
        <f t="shared" si="42"/>
        <v xml:space="preserve">Наименование признака дифференциации</v>
      </c>
      <c r="AW45" s="130"/>
      <c r="AX45" s="130"/>
      <c r="AY45" s="50">
        <v>23</v>
      </c>
    </row>
    <row r="46" ht="24" customHeight="1">
      <c r="A46" s="480" t="s">
        <v>245</v>
      </c>
      <c r="B46" s="480" t="s">
        <v>246</v>
      </c>
      <c r="C46" s="480" t="s">
        <v>247</v>
      </c>
      <c r="D46" s="480" t="s">
        <v>536</v>
      </c>
      <c r="E46" s="492"/>
      <c r="F46" s="492"/>
      <c r="G46" s="492"/>
      <c r="H46" s="492"/>
      <c r="I46" s="504"/>
      <c r="J46" s="499" t="str">
        <f>I45&amp;".1"</f>
        <v>...1.1</v>
      </c>
      <c r="K46" s="480"/>
      <c r="L46" s="482" t="s">
        <v>400</v>
      </c>
      <c r="P46" s="133"/>
      <c r="Q46" s="133">
        <v>1</v>
      </c>
      <c r="R46" s="505"/>
      <c r="S46" s="485" t="str">
        <f>$J46</f>
        <v>...1.1</v>
      </c>
      <c r="T46" s="506" t="s">
        <v>401</v>
      </c>
      <c r="U46" s="487"/>
      <c r="V46" s="432"/>
      <c r="W46" s="502"/>
      <c r="X46" s="502"/>
      <c r="Y46" s="502"/>
      <c r="Z46" s="502"/>
      <c r="AA46" s="502"/>
      <c r="AB46" s="502"/>
      <c r="AC46" s="502"/>
      <c r="AD46" s="502"/>
      <c r="AE46" s="502"/>
      <c r="AF46" s="503"/>
      <c r="AG46" s="432"/>
      <c r="AH46" s="502"/>
      <c r="AI46" s="502"/>
      <c r="AJ46" s="502"/>
      <c r="AK46" s="502"/>
      <c r="AL46" s="502"/>
      <c r="AM46" s="502"/>
      <c r="AN46" s="502"/>
      <c r="AO46" s="502"/>
      <c r="AP46" s="502"/>
      <c r="AQ46" s="502"/>
      <c r="AR46" s="503"/>
      <c r="AS46" s="618" t="s">
        <v>479</v>
      </c>
      <c r="AU46" s="130"/>
      <c r="AV46" s="130" t="str">
        <f t="shared" si="42"/>
        <v xml:space="preserve">Группа потребителей</v>
      </c>
      <c r="AW46" s="130"/>
      <c r="AX46" s="130"/>
      <c r="AY46" s="50">
        <v>23</v>
      </c>
    </row>
    <row r="47" ht="24" customHeight="1">
      <c r="A47" s="480" t="s">
        <v>245</v>
      </c>
      <c r="B47" s="480" t="s">
        <v>246</v>
      </c>
      <c r="C47" s="480" t="s">
        <v>247</v>
      </c>
      <c r="D47" s="480" t="s">
        <v>536</v>
      </c>
      <c r="E47" s="492"/>
      <c r="F47" s="492"/>
      <c r="G47" s="492"/>
      <c r="H47" s="492"/>
      <c r="I47" s="504"/>
      <c r="J47" s="504"/>
      <c r="K47" s="499" t="str">
        <f>J46&amp;".1"</f>
        <v>...1.1.1</v>
      </c>
      <c r="L47" s="482"/>
      <c r="P47" s="133"/>
      <c r="Q47" s="133"/>
      <c r="R47" s="505">
        <v>1</v>
      </c>
      <c r="S47" s="485" t="str">
        <f>$K47</f>
        <v>...1.1.1</v>
      </c>
      <c r="T47" s="683"/>
      <c r="U47" s="487"/>
      <c r="V47" s="508"/>
      <c r="W47" s="508"/>
      <c r="X47" s="508"/>
      <c r="Y47" s="508"/>
      <c r="Z47" s="508"/>
      <c r="AA47" s="508"/>
      <c r="AB47" s="508"/>
      <c r="AC47" s="536"/>
      <c r="AD47" s="537" t="s">
        <v>64</v>
      </c>
      <c r="AE47" s="536"/>
      <c r="AF47" s="537" t="s">
        <v>64</v>
      </c>
      <c r="AG47" s="508"/>
      <c r="AH47" s="508"/>
      <c r="AI47" s="508"/>
      <c r="AJ47" s="508"/>
      <c r="AK47" s="508"/>
      <c r="AL47" s="508"/>
      <c r="AM47" s="508"/>
      <c r="AN47" s="511"/>
      <c r="AO47" s="225" t="s">
        <v>64</v>
      </c>
      <c r="AP47" s="571"/>
      <c r="AQ47" s="225" t="s">
        <v>19</v>
      </c>
      <c r="AR47" s="684"/>
      <c r="AS47" s="68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 t="e">
        <f>STRCHECKDATE(V48:AR48)</f>
        <v>#NAME?</v>
      </c>
      <c r="AU47" s="130"/>
      <c r="AV47" s="130" t="str">
        <f t="shared" si="42"/>
        <v/>
      </c>
      <c r="AW47" s="130"/>
      <c r="AX47" s="130"/>
      <c r="AY47" s="50">
        <v>23</v>
      </c>
    </row>
    <row r="48" ht="0" customHeight="1">
      <c r="A48" s="480" t="s">
        <v>245</v>
      </c>
      <c r="B48" s="480" t="s">
        <v>246</v>
      </c>
      <c r="C48" s="480" t="s">
        <v>247</v>
      </c>
      <c r="D48" s="480" t="s">
        <v>536</v>
      </c>
      <c r="E48" s="492"/>
      <c r="F48" s="492"/>
      <c r="G48" s="492"/>
      <c r="H48" s="492"/>
      <c r="I48" s="504"/>
      <c r="J48" s="504"/>
      <c r="K48" s="499"/>
      <c r="L48" s="482"/>
      <c r="P48" s="133"/>
      <c r="Q48" s="133"/>
      <c r="R48" s="505"/>
      <c r="S48" s="459"/>
      <c r="T48" s="487"/>
      <c r="U48" s="487"/>
      <c r="V48" s="534"/>
      <c r="W48" s="534"/>
      <c r="X48" s="534"/>
      <c r="Y48" s="534"/>
      <c r="Z48" s="534"/>
      <c r="AA48" s="534"/>
      <c r="AB48" s="534"/>
      <c r="AC48" s="537"/>
      <c r="AD48" s="537"/>
      <c r="AE48" s="537"/>
      <c r="AF48" s="537"/>
      <c r="AG48" s="509"/>
      <c r="AH48" s="509"/>
      <c r="AI48" s="509"/>
      <c r="AJ48" s="509"/>
      <c r="AK48" s="509"/>
      <c r="AL48" s="509"/>
      <c r="AM48" s="509"/>
      <c r="AN48" s="514"/>
      <c r="AO48" s="225"/>
      <c r="AP48" s="573"/>
      <c r="AQ48" s="225"/>
      <c r="AR48" s="686"/>
      <c r="AS48" s="685"/>
      <c r="AU48" s="130"/>
      <c r="AV48" s="130" t="str">
        <f t="shared" si="42"/>
        <v/>
      </c>
      <c r="AW48" s="130"/>
      <c r="AX48" s="130"/>
      <c r="AY48" s="50">
        <v>0</v>
      </c>
    </row>
    <row r="49" ht="21" customHeight="1">
      <c r="A49" s="480" t="s">
        <v>245</v>
      </c>
      <c r="B49" s="480" t="s">
        <v>246</v>
      </c>
      <c r="C49" s="480" t="s">
        <v>247</v>
      </c>
      <c r="D49" s="480" t="s">
        <v>536</v>
      </c>
      <c r="E49" s="492"/>
      <c r="F49" s="492"/>
      <c r="G49" s="492"/>
      <c r="H49" s="492"/>
      <c r="I49" s="504"/>
      <c r="J49" s="499"/>
      <c r="K49" s="480"/>
      <c r="L49" s="482"/>
      <c r="P49" s="133"/>
      <c r="Q49" s="133"/>
      <c r="R49" s="500"/>
      <c r="S49" s="516"/>
      <c r="T49" s="520" t="s">
        <v>480</v>
      </c>
      <c r="U49" s="215"/>
      <c r="V49" s="215"/>
      <c r="W49" s="215"/>
      <c r="X49" s="215"/>
      <c r="Y49" s="215"/>
      <c r="Z49" s="215"/>
      <c r="AA49" s="215"/>
      <c r="AB49" s="215"/>
      <c r="AC49" s="215"/>
      <c r="AD49" s="215"/>
      <c r="AE49" s="215"/>
      <c r="AF49" s="215"/>
      <c r="AG49" s="215"/>
      <c r="AH49" s="215"/>
      <c r="AI49" s="215"/>
      <c r="AJ49" s="215"/>
      <c r="AK49" s="215"/>
      <c r="AL49" s="215"/>
      <c r="AM49" s="215"/>
      <c r="AN49" s="215"/>
      <c r="AO49" s="215"/>
      <c r="AP49" s="215"/>
      <c r="AQ49" s="215"/>
      <c r="AR49" s="215"/>
      <c r="AS49" s="491" t="s">
        <v>481</v>
      </c>
      <c r="AU49" s="130"/>
      <c r="AV49" s="130" t="str">
        <f t="shared" si="42"/>
        <v xml:space="preserve">Добавить значение признака дифференциации</v>
      </c>
      <c r="AW49" s="130"/>
      <c r="AX49" s="130"/>
      <c r="AY49" s="50">
        <v>20</v>
      </c>
    </row>
    <row r="50" ht="22" customHeight="1">
      <c r="A50" s="480" t="s">
        <v>245</v>
      </c>
      <c r="B50" s="480" t="s">
        <v>246</v>
      </c>
      <c r="C50" s="480" t="s">
        <v>247</v>
      </c>
      <c r="D50" s="480" t="s">
        <v>536</v>
      </c>
      <c r="E50" s="492"/>
      <c r="F50" s="492"/>
      <c r="G50" s="492"/>
      <c r="H50" s="492"/>
      <c r="I50" s="499"/>
      <c r="J50" s="480"/>
      <c r="K50" s="480"/>
      <c r="L50" s="482"/>
      <c r="P50" s="133"/>
      <c r="Q50" s="133"/>
      <c r="R50" s="500"/>
      <c r="S50" s="516"/>
      <c r="T50" s="524" t="s">
        <v>406</v>
      </c>
      <c r="U50" s="215"/>
      <c r="V50" s="215"/>
      <c r="W50" s="215"/>
      <c r="X50" s="215"/>
      <c r="Y50" s="215"/>
      <c r="Z50" s="215"/>
      <c r="AA50" s="215"/>
      <c r="AB50" s="215"/>
      <c r="AC50" s="215"/>
      <c r="AD50" s="215"/>
      <c r="AE50" s="215"/>
      <c r="AF50" s="521"/>
      <c r="AG50" s="215"/>
      <c r="AH50" s="215"/>
      <c r="AI50" s="215"/>
      <c r="AJ50" s="215"/>
      <c r="AK50" s="215"/>
      <c r="AL50" s="215"/>
      <c r="AM50" s="215"/>
      <c r="AN50" s="215"/>
      <c r="AO50" s="215"/>
      <c r="AP50" s="215"/>
      <c r="AQ50" s="521"/>
      <c r="AR50" s="215"/>
      <c r="AS50" s="687"/>
      <c r="AU50" s="130"/>
      <c r="AV50" s="130" t="str">
        <f t="shared" si="42"/>
        <v xml:space="preserve">Добавить группу потребителей</v>
      </c>
      <c r="AW50" s="130"/>
      <c r="AX50" s="130"/>
      <c r="AY50" s="50">
        <v>21</v>
      </c>
    </row>
    <row r="51" ht="22" customHeight="1">
      <c r="A51" s="480" t="s">
        <v>245</v>
      </c>
      <c r="B51" s="480" t="s">
        <v>246</v>
      </c>
      <c r="C51" s="480" t="s">
        <v>247</v>
      </c>
      <c r="D51" s="480" t="s">
        <v>536</v>
      </c>
      <c r="E51" s="492"/>
      <c r="F51" s="492"/>
      <c r="G51" s="492"/>
      <c r="H51" s="481"/>
      <c r="I51" s="480"/>
      <c r="J51" s="480"/>
      <c r="K51" s="480"/>
      <c r="L51" s="482"/>
      <c r="M51" s="483"/>
      <c r="N51" s="483"/>
      <c r="O51" s="53"/>
      <c r="P51" s="144"/>
      <c r="Q51" s="523"/>
      <c r="R51" s="484"/>
      <c r="S51" s="516"/>
      <c r="T51" s="688" t="s">
        <v>482</v>
      </c>
      <c r="U51" s="215"/>
      <c r="V51" s="215"/>
      <c r="W51" s="215"/>
      <c r="X51" s="215"/>
      <c r="Y51" s="215"/>
      <c r="Z51" s="215"/>
      <c r="AA51" s="215"/>
      <c r="AB51" s="215"/>
      <c r="AC51" s="215"/>
      <c r="AD51" s="215"/>
      <c r="AE51" s="215"/>
      <c r="AF51" s="521"/>
      <c r="AG51" s="215"/>
      <c r="AH51" s="215"/>
      <c r="AI51" s="215"/>
      <c r="AJ51" s="215"/>
      <c r="AK51" s="215"/>
      <c r="AL51" s="215"/>
      <c r="AM51" s="215"/>
      <c r="AN51" s="215"/>
      <c r="AO51" s="215"/>
      <c r="AP51" s="215"/>
      <c r="AQ51" s="521"/>
      <c r="AR51" s="215"/>
      <c r="AS51" s="522"/>
      <c r="AU51" s="130"/>
      <c r="AV51" s="130" t="str">
        <f t="shared" si="42"/>
        <v xml:space="preserve">Добавить наименование признака дифференциации</v>
      </c>
      <c r="AW51" s="130"/>
      <c r="AX51" s="130"/>
      <c r="AY51" s="50">
        <v>21</v>
      </c>
    </row>
    <row r="52" s="57" customFormat="1" ht="0" customHeight="1">
      <c r="A52" s="134" t="s">
        <v>245</v>
      </c>
      <c r="B52" s="134" t="s">
        <v>246</v>
      </c>
      <c r="C52" s="134"/>
      <c r="D52" s="134"/>
      <c r="E52" s="492"/>
      <c r="F52" s="481"/>
      <c r="G52" s="134"/>
      <c r="H52" s="134"/>
      <c r="I52" s="134"/>
      <c r="J52" s="134"/>
      <c r="K52" s="134"/>
      <c r="L52" s="213"/>
      <c r="M52" s="529"/>
      <c r="N52" s="529"/>
      <c r="P52" s="168"/>
      <c r="Q52" s="525"/>
      <c r="R52" s="168"/>
      <c r="S52" s="530"/>
      <c r="T52" s="533" t="s">
        <v>409</v>
      </c>
      <c r="U52" s="532"/>
      <c r="V52" s="532"/>
      <c r="W52" s="532"/>
      <c r="X52" s="532"/>
      <c r="Y52" s="532"/>
      <c r="Z52" s="532"/>
      <c r="AA52" s="532"/>
      <c r="AB52" s="532"/>
      <c r="AC52" s="532"/>
      <c r="AD52" s="532"/>
      <c r="AE52" s="532"/>
      <c r="AF52" s="532"/>
      <c r="AG52" s="532"/>
      <c r="AH52" s="532"/>
      <c r="AI52" s="532"/>
      <c r="AJ52" s="532"/>
      <c r="AK52" s="532"/>
      <c r="AL52" s="532"/>
      <c r="AM52" s="532"/>
      <c r="AN52" s="532"/>
      <c r="AO52" s="532"/>
      <c r="AP52" s="532"/>
      <c r="AQ52" s="532"/>
      <c r="AR52" s="532"/>
      <c r="AS52" s="532"/>
      <c r="AU52" s="130"/>
      <c r="AV52" s="130" t="str">
        <f t="shared" si="42"/>
        <v xml:space="preserve">Добавить централизованную систему для дифференциации</v>
      </c>
      <c r="AW52" s="130"/>
      <c r="AX52" s="130"/>
      <c r="AY52" s="57">
        <v>0</v>
      </c>
    </row>
    <row r="53" s="57" customFormat="1" ht="0" customHeight="1">
      <c r="A53" s="134" t="s">
        <v>245</v>
      </c>
      <c r="B53" s="134"/>
      <c r="C53" s="134"/>
      <c r="D53" s="134"/>
      <c r="E53" s="481"/>
      <c r="F53" s="134"/>
      <c r="G53" s="134"/>
      <c r="H53" s="134"/>
      <c r="I53" s="134"/>
      <c r="J53" s="134"/>
      <c r="K53" s="134"/>
      <c r="L53" s="213"/>
      <c r="M53" s="529"/>
      <c r="N53" s="529"/>
      <c r="O53" s="57"/>
      <c r="P53" s="168"/>
      <c r="Q53" s="525"/>
      <c r="R53" s="168"/>
      <c r="S53" s="530"/>
      <c r="T53" s="533" t="s">
        <v>410</v>
      </c>
      <c r="U53" s="532"/>
      <c r="V53" s="532"/>
      <c r="W53" s="532"/>
      <c r="X53" s="532"/>
      <c r="Y53" s="532"/>
      <c r="Z53" s="532"/>
      <c r="AA53" s="532"/>
      <c r="AB53" s="532"/>
      <c r="AC53" s="532"/>
      <c r="AD53" s="532"/>
      <c r="AE53" s="532"/>
      <c r="AF53" s="532"/>
      <c r="AG53" s="532"/>
      <c r="AH53" s="532"/>
      <c r="AI53" s="532"/>
      <c r="AJ53" s="532"/>
      <c r="AK53" s="532"/>
      <c r="AL53" s="532"/>
      <c r="AM53" s="532"/>
      <c r="AN53" s="532"/>
      <c r="AO53" s="532"/>
      <c r="AP53" s="532"/>
      <c r="AQ53" s="532"/>
      <c r="AR53" s="532"/>
      <c r="AS53" s="532"/>
      <c r="AU53" s="130"/>
      <c r="AV53" s="130" t="str">
        <f t="shared" si="42"/>
        <v xml:space="preserve">Добавить территорию для дифференциации</v>
      </c>
      <c r="AW53" s="130"/>
      <c r="AX53" s="130"/>
      <c r="AY53" s="57">
        <v>0</v>
      </c>
    </row>
    <row r="54" s="57" customFormat="1" ht="0" customHeight="1">
      <c r="A54" s="134"/>
      <c r="B54" s="134"/>
      <c r="C54" s="134"/>
      <c r="D54" s="134"/>
      <c r="E54" s="134"/>
      <c r="F54" s="134"/>
      <c r="G54" s="134"/>
      <c r="H54" s="134"/>
      <c r="I54" s="134"/>
      <c r="J54" s="134"/>
      <c r="K54" s="134"/>
      <c r="L54" s="213"/>
      <c r="M54" s="529"/>
      <c r="N54" s="529"/>
      <c r="P54" s="168"/>
      <c r="Q54" s="525"/>
      <c r="R54" s="168"/>
      <c r="S54" s="530"/>
      <c r="T54" s="533" t="s">
        <v>442</v>
      </c>
      <c r="U54" s="532"/>
      <c r="V54" s="532"/>
      <c r="W54" s="532"/>
      <c r="X54" s="532"/>
      <c r="Y54" s="532"/>
      <c r="Z54" s="532"/>
      <c r="AA54" s="532"/>
      <c r="AB54" s="532"/>
      <c r="AC54" s="532"/>
      <c r="AD54" s="532"/>
      <c r="AE54" s="532"/>
      <c r="AF54" s="532"/>
      <c r="AG54" s="532"/>
      <c r="AH54" s="532"/>
      <c r="AI54" s="532"/>
      <c r="AJ54" s="532"/>
      <c r="AK54" s="532"/>
      <c r="AL54" s="532"/>
      <c r="AM54" s="532"/>
      <c r="AN54" s="532"/>
      <c r="AO54" s="532"/>
      <c r="AP54" s="532"/>
      <c r="AQ54" s="532"/>
      <c r="AR54" s="532"/>
      <c r="AS54" s="532"/>
      <c r="AU54" s="130"/>
      <c r="AV54" s="130" t="str">
        <f t="shared" si="42"/>
        <v xml:space="preserve">Добавить наименование тарифа</v>
      </c>
      <c r="AW54" s="130"/>
      <c r="AX54" s="130"/>
      <c r="AY54" s="57">
        <v>0</v>
      </c>
    </row>
    <row r="55" ht="11.5" customHeight="1">
      <c r="M55" s="53"/>
      <c r="N55" s="53"/>
      <c r="O55" s="53"/>
      <c r="P55" s="50"/>
      <c r="Q55" s="50"/>
      <c r="R55" s="50"/>
      <c r="S55" s="50"/>
      <c r="AT55" s="50"/>
      <c r="AU55" s="50"/>
      <c r="AV55" s="50"/>
      <c r="AW55" s="50"/>
      <c r="AX55" s="50"/>
      <c r="AY55" s="50">
        <v>11</v>
      </c>
    </row>
    <row r="56" ht="14.65" customHeight="1">
      <c r="O56" s="53"/>
      <c r="S56" s="477"/>
      <c r="T56" s="575"/>
      <c r="U56" s="575"/>
      <c r="V56" s="575"/>
      <c r="W56" s="575"/>
      <c r="X56" s="575"/>
      <c r="Y56" s="575"/>
      <c r="Z56" s="575"/>
      <c r="AA56" s="575"/>
      <c r="AB56" s="575"/>
      <c r="AC56" s="575"/>
      <c r="AD56" s="575"/>
      <c r="AE56" s="575"/>
      <c r="AF56" s="575"/>
      <c r="AG56" s="575"/>
      <c r="AH56" s="575"/>
      <c r="AI56" s="575"/>
      <c r="AJ56" s="575"/>
      <c r="AK56" s="575"/>
      <c r="AL56" s="575"/>
      <c r="AM56" s="575"/>
      <c r="AN56" s="575"/>
      <c r="AO56" s="575"/>
      <c r="AP56" s="575"/>
      <c r="AQ56" s="575"/>
      <c r="AR56" s="575"/>
      <c r="AS56" s="575"/>
      <c r="AY56" s="50">
        <v>14</v>
      </c>
    </row>
    <row r="57" ht="14.65" customHeight="1">
      <c r="O57" s="53"/>
      <c r="AY57" s="50">
        <v>14</v>
      </c>
    </row>
    <row r="58" ht="14.65" customHeight="1">
      <c r="O58" s="53"/>
      <c r="S58" s="477"/>
      <c r="T58" s="575"/>
      <c r="U58" s="575"/>
      <c r="V58" s="575"/>
      <c r="W58" s="575"/>
      <c r="X58" s="575"/>
      <c r="Y58" s="575"/>
      <c r="Z58" s="575"/>
      <c r="AA58" s="575"/>
      <c r="AB58" s="575"/>
      <c r="AC58" s="575"/>
      <c r="AD58" s="575"/>
      <c r="AE58" s="575"/>
      <c r="AF58" s="575"/>
      <c r="AG58" s="575"/>
      <c r="AH58" s="575"/>
      <c r="AI58" s="575"/>
      <c r="AJ58" s="575"/>
      <c r="AK58" s="575"/>
      <c r="AL58" s="575"/>
      <c r="AM58" s="575"/>
      <c r="AN58" s="575"/>
      <c r="AO58" s="575"/>
      <c r="AP58" s="575"/>
      <c r="AQ58" s="575"/>
      <c r="AR58" s="575"/>
      <c r="AS58" s="575"/>
      <c r="AY58" s="50">
        <v>14</v>
      </c>
    </row>
    <row r="59" ht="22.5" hidden="1" customHeight="1">
      <c r="A59" s="53" t="s">
        <v>81</v>
      </c>
      <c r="B59" s="53">
        <v>0</v>
      </c>
      <c r="C59" s="53">
        <v>0</v>
      </c>
      <c r="D59" s="53">
        <v>0</v>
      </c>
      <c r="E59" s="53">
        <v>0</v>
      </c>
      <c r="F59" s="53">
        <v>0</v>
      </c>
      <c r="G59" s="53">
        <v>0</v>
      </c>
      <c r="H59" s="53">
        <v>0</v>
      </c>
      <c r="I59" s="53">
        <v>0</v>
      </c>
      <c r="J59" s="53">
        <v>0</v>
      </c>
      <c r="K59" s="53">
        <v>0</v>
      </c>
      <c r="L59" s="114">
        <v>0</v>
      </c>
      <c r="M59" s="61">
        <v>0</v>
      </c>
      <c r="N59" s="61">
        <v>0</v>
      </c>
      <c r="O59" s="61">
        <v>0</v>
      </c>
      <c r="P59" s="60">
        <v>3</v>
      </c>
      <c r="Q59" s="479">
        <v>3</v>
      </c>
      <c r="R59" s="479">
        <v>3</v>
      </c>
      <c r="S59" s="86">
        <v>12</v>
      </c>
      <c r="T59" s="50">
        <v>35</v>
      </c>
      <c r="U59" s="50">
        <v>0</v>
      </c>
      <c r="V59" s="50">
        <v>0</v>
      </c>
      <c r="W59" s="50">
        <v>0</v>
      </c>
      <c r="X59" s="50">
        <v>0</v>
      </c>
      <c r="Y59" s="50">
        <v>0</v>
      </c>
      <c r="Z59" s="50">
        <v>0</v>
      </c>
      <c r="AA59" s="50">
        <v>0</v>
      </c>
      <c r="AB59" s="50">
        <v>0</v>
      </c>
      <c r="AC59" s="50">
        <v>0</v>
      </c>
      <c r="AD59" s="50">
        <v>0</v>
      </c>
      <c r="AE59" s="50">
        <v>0</v>
      </c>
      <c r="AF59" s="50">
        <v>0</v>
      </c>
      <c r="AG59" s="50">
        <v>19</v>
      </c>
      <c r="AH59" s="50">
        <v>19</v>
      </c>
      <c r="AI59" s="50">
        <v>19</v>
      </c>
      <c r="AJ59" s="50">
        <v>19</v>
      </c>
      <c r="AK59" s="50">
        <v>19</v>
      </c>
      <c r="AL59" s="50">
        <v>19</v>
      </c>
      <c r="AM59" s="50">
        <v>19</v>
      </c>
      <c r="AN59" s="50">
        <v>11</v>
      </c>
      <c r="AO59" s="50">
        <v>3</v>
      </c>
      <c r="AP59" s="50">
        <v>11</v>
      </c>
      <c r="AQ59" s="50">
        <v>0</v>
      </c>
      <c r="AR59" s="50">
        <v>4</v>
      </c>
      <c r="AS59" s="50">
        <v>115</v>
      </c>
      <c r="AT59" s="57">
        <v>10</v>
      </c>
      <c r="AU59" s="57">
        <v>10</v>
      </c>
      <c r="AV59" s="57">
        <v>10</v>
      </c>
      <c r="AW59" s="57">
        <v>10</v>
      </c>
      <c r="AX59" s="57">
        <v>10</v>
      </c>
      <c r="AY59" s="50">
        <v>23</v>
      </c>
    </row>
  </sheetData>
  <sheetProtection autoFilter="0" deleteColumns="1" deleteRows="1" formatCells="1" formatColumns="0" formatRows="0" insertColumns="1" insertHyperlinks="1" insertRows="1" objects="0" pivotTables="1" scenarios="0" selectLockedCells="0" selectUnlockedCells="0" sheet="1" sort="1"/>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D7:AD8"/>
    <mergeCell ref="AE7:AE8"/>
    <mergeCell ref="AF7:AF8"/>
    <mergeCell ref="AN7:AN8"/>
    <mergeCell ref="AO7:AO8"/>
    <mergeCell ref="AP7:AP8"/>
    <mergeCell ref="AQ7:AQ8"/>
    <mergeCell ref="AS7:AS8"/>
    <mergeCell ref="AN15:AN16"/>
    <mergeCell ref="AO15:AO16"/>
    <mergeCell ref="AP15:AP16"/>
    <mergeCell ref="AQ15:AQ16"/>
    <mergeCell ref="S24:AP24"/>
    <mergeCell ref="S25:AP25"/>
    <mergeCell ref="S27:T27"/>
    <mergeCell ref="V27:AE27"/>
    <mergeCell ref="AG27:AP27"/>
    <mergeCell ref="S28:T28"/>
    <mergeCell ref="V28:AE28"/>
    <mergeCell ref="AG28:AP28"/>
    <mergeCell ref="S29:T29"/>
    <mergeCell ref="V29:AE29"/>
    <mergeCell ref="AG29:AP29"/>
    <mergeCell ref="S30:T30"/>
    <mergeCell ref="V30:AE30"/>
    <mergeCell ref="AG30:AP30"/>
    <mergeCell ref="S32:T32"/>
    <mergeCell ref="V32:AE32"/>
    <mergeCell ref="AG32:AP32"/>
    <mergeCell ref="S33:T33"/>
    <mergeCell ref="V33:AE33"/>
    <mergeCell ref="AG33:AP33"/>
    <mergeCell ref="V35:AF35"/>
    <mergeCell ref="AG35:AQ35"/>
    <mergeCell ref="S36:AR36"/>
    <mergeCell ref="AS36:AS40"/>
    <mergeCell ref="S37:S40"/>
    <mergeCell ref="T37:T40"/>
    <mergeCell ref="V37:AE37"/>
    <mergeCell ref="AF37:AF40"/>
    <mergeCell ref="AG37:AP37"/>
    <mergeCell ref="AQ37:AQ40"/>
    <mergeCell ref="AR37:AR40"/>
    <mergeCell ref="V38:V40"/>
    <mergeCell ref="W38:Y38"/>
    <mergeCell ref="Z38:AB38"/>
    <mergeCell ref="AC38:AE39"/>
    <mergeCell ref="AG38:AG40"/>
    <mergeCell ref="AH38:AJ38"/>
    <mergeCell ref="AK38:AM38"/>
    <mergeCell ref="AN38:AP39"/>
    <mergeCell ref="W39:W40"/>
    <mergeCell ref="X39:Y39"/>
    <mergeCell ref="Z39:Z40"/>
    <mergeCell ref="AA39:AB39"/>
    <mergeCell ref="AH39:AH40"/>
    <mergeCell ref="AI39:AJ39"/>
    <mergeCell ref="AK39:AK40"/>
    <mergeCell ref="AL39:AM39"/>
    <mergeCell ref="AD40:AE40"/>
    <mergeCell ref="AO40:AP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K47:K48"/>
    <mergeCell ref="AC47:AC48"/>
    <mergeCell ref="AD47:AD48"/>
    <mergeCell ref="AE47:AE48"/>
    <mergeCell ref="AF47:AF48"/>
    <mergeCell ref="AN47:AN48"/>
    <mergeCell ref="AO47:AO48"/>
    <mergeCell ref="AP47:AP48"/>
    <mergeCell ref="AQ47:AQ48"/>
    <mergeCell ref="AS47:AS48"/>
    <mergeCell ref="T56:AS56"/>
    <mergeCell ref="T58:AS58"/>
  </mergeCells>
  <dataValidations count="3" disablePrompts="0">
    <dataValidation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S131117:AS131123 S196653:AS196659 S262189:AS262195 S327725:AS327731 S393261:AS393267 S458797:AS458803 S524333:AS524339 S589869:AS589875 S655405:AS655411 S720941:AS720947 S786477:AS786483 S852013:AS852019 S917549:AS917555 S983085:AS983091 S65581:AS65587"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65003A-007A-4513-9552-0075000F00D6}" type="list" allowBlank="1" error="Выберите значение из списка" errorStyle="stop" errorTitle="Ошибка" imeMode="noControl" operator="between" showDropDown="0" showErrorMessage="1" showInputMessage="1">
          <x14:formula1>
            <xm:f>kind_of_heat_transfer</xm:f>
          </x14:formula1>
          <xm:sqref>T65579 T131115 T196651 T262187 T327723 T393259 T458795 T524331 T589867 T655403 T720939 T786475 T852011 T917547 T983083</xm:sqref>
        </x14:dataValidation>
        <x14:dataValidation xr:uid="{007A0042-00E7-4937-ABA7-001600D400D9}" type="textLength" allowBlank="1" error="Допускается ввод не более 900 символов!" errorStyle="stop" errorTitle="Ошибка" imeMode="noControl" operator="lessThanOrEqual" showDropDown="0" showErrorMessage="1" showInputMessage="1">
          <x14:formula1>
            <xm:f>900</xm:f>
          </x14:formula1>
          <xm: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xm:sqref>
        </x14:dataValidation>
        <x14:dataValidation xr:uid="{005F00C1-0020-420F-A29D-008D00C100BD}" type="list" allowBlank="1" error="Выберите значение из списка" errorStyle="stop" errorTitle="Ошибка" imeMode="noControl" operator="between" showDropDown="0" showErrorMessage="1" showInputMessage="1">
          <x14:formula1>
            <xm:f>kind_of_scheme_in</xm:f>
          </x14:formula1>
          <xm: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xm:sqref>
        </x14:dataValidation>
        <x14:dataValidation xr:uid="{00670024-00CC-4191-BCC1-00FB00900048}"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V983082:AR983082 V65578:AR65578 V131114:AR131114 V196650:AR196650 V262186:AR262186 V327722:AR327722 V393258:AR393258 V458794:AR458794 V524330:AR524330 V589866:AR589866 V655402:AR655402 V720938:AR720938 V786474:AR786474 V852010:AR852010 V917546:AR917546</xm:sqref>
        </x14:dataValidation>
      </x14:dataValidations>
    </ext>
  </extLst>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32" ySplit="41" topLeftCell="AG42" activePane="bottomRight" state="frozen"/>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4.140625"/>
    <col customWidth="1" hidden="1" min="10" max="10" style="53" width="9.8515625"/>
    <col customWidth="1" hidden="1" min="11" max="11" style="53" width="14.7109375"/>
    <col customWidth="1" hidden="1" min="12" max="12" style="114" width="19.140625"/>
    <col customWidth="1" hidden="1" min="13" max="14" style="61" width="12.28125"/>
    <col customWidth="1" hidden="1" min="15" max="15" style="61" width="23.421875"/>
    <col customWidth="1" min="16" max="16" style="60" width="3.00390625"/>
    <col customWidth="1" min="17" max="18" style="479" width="3.00390625"/>
    <col customWidth="1" min="19" max="19" style="86" width="12.00390625"/>
    <col customWidth="1" min="20" max="20" style="50" width="35.00390625"/>
    <col customWidth="1" min="21" max="21" style="50" width="0.140625"/>
    <col customWidth="1" hidden="1" min="22" max="28" style="50" width="19.7109375"/>
    <col customWidth="1" hidden="1" min="29" max="29" style="50" width="11.7109375"/>
    <col customWidth="1" hidden="1" min="30" max="30" style="50" width="3.7109375"/>
    <col customWidth="1" hidden="1" min="31" max="31" style="50" width="11.7109375"/>
    <col customWidth="1" hidden="1" min="32" max="32" style="50" width="8.57421875"/>
    <col customWidth="1" min="33" max="33" style="50" width="19.7109375"/>
    <col customWidth="1" min="34" max="39" style="50" width="19.00390625"/>
    <col customWidth="1" min="40" max="40" style="50" width="11.00390625"/>
    <col customWidth="1" min="41" max="41" style="50" width="3.7109375"/>
    <col customWidth="1" min="42" max="42" style="50" width="11.00390625"/>
    <col customWidth="1" hidden="1" min="43" max="43" style="50" width="8.57421875"/>
    <col customWidth="1" min="44" max="44" style="50" width="4.00390625"/>
    <col customWidth="1" min="45" max="45" style="50" width="115.00390625"/>
    <col customWidth="1" min="46" max="50" style="57" width="10.00390625"/>
    <col hidden="1" min="51" max="51" style="50" width="10.57421875"/>
  </cols>
  <sheetData>
    <row r="1" ht="22.5" hidden="1" customHeight="1">
      <c r="AB1" s="50"/>
      <c r="AC1" s="50"/>
      <c r="AM1" s="50"/>
      <c r="AN1" s="50"/>
      <c r="AY1" s="50" t="s">
        <v>14</v>
      </c>
    </row>
    <row r="2" ht="23.25" hidden="1" customHeight="1">
      <c r="A2" s="480"/>
      <c r="B2" s="480"/>
      <c r="C2" s="480"/>
      <c r="D2" s="480"/>
      <c r="E2" s="481">
        <v>1</v>
      </c>
      <c r="F2" s="480"/>
      <c r="G2" s="480"/>
      <c r="H2" s="480"/>
      <c r="I2" s="480"/>
      <c r="J2" s="480"/>
      <c r="K2" s="480"/>
      <c r="L2" s="482"/>
      <c r="M2" s="483"/>
      <c r="N2" s="483"/>
      <c r="O2" s="483"/>
      <c r="P2" s="60"/>
      <c r="Q2" s="144"/>
      <c r="R2" s="484"/>
      <c r="S2" s="485" t="e">
        <f>INDEX(PT_DIFFERENTIATION_NUM_NTAR,MATCH(A2,PT_DIFFERENTIATION_NTAR_ID,0))</f>
        <v>#VALUE!</v>
      </c>
      <c r="T2" s="486" t="s">
        <v>119</v>
      </c>
      <c r="U2" s="487"/>
      <c r="V2" s="488"/>
      <c r="W2" s="489"/>
      <c r="X2" s="489"/>
      <c r="Y2" s="489"/>
      <c r="Z2" s="489"/>
      <c r="AA2" s="489"/>
      <c r="AB2" s="489"/>
      <c r="AC2" s="489"/>
      <c r="AD2" s="489"/>
      <c r="AE2" s="489"/>
      <c r="AF2" s="490"/>
      <c r="AG2" s="488" t="e">
        <f>INDEX(PT_DIFFERENTIATION_NTAR,MATCH(A2,PT_DIFFERENTIATION_NTAR_ID,0))</f>
        <v>#VALUE!</v>
      </c>
      <c r="AH2" s="489"/>
      <c r="AI2" s="489"/>
      <c r="AJ2" s="489"/>
      <c r="AK2" s="489"/>
      <c r="AL2" s="489"/>
      <c r="AM2" s="489"/>
      <c r="AN2" s="489"/>
      <c r="AO2" s="489"/>
      <c r="AP2" s="489"/>
      <c r="AQ2" s="489"/>
      <c r="AR2" s="490"/>
      <c r="AS2" s="49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130"/>
      <c r="AV2" s="130" t="str">
        <f t="shared" ref="AV2:AV9" si="43">IF(T2="","",T2)</f>
        <v xml:space="preserve">Наименование тарифа</v>
      </c>
      <c r="AW2" s="130"/>
      <c r="AX2" s="130"/>
      <c r="AY2" s="50">
        <v>0</v>
      </c>
    </row>
    <row r="3" ht="23.25" hidden="1" customHeight="1">
      <c r="A3" s="480"/>
      <c r="B3" s="480"/>
      <c r="C3" s="480"/>
      <c r="D3" s="480"/>
      <c r="E3" s="492"/>
      <c r="F3" s="481">
        <v>1</v>
      </c>
      <c r="G3" s="480"/>
      <c r="H3" s="480"/>
      <c r="I3" s="480"/>
      <c r="J3" s="480"/>
      <c r="K3" s="480"/>
      <c r="L3" s="482"/>
      <c r="M3" s="483"/>
      <c r="N3" s="483"/>
      <c r="O3" s="483"/>
      <c r="P3" s="51"/>
      <c r="Q3" s="493"/>
      <c r="R3" s="494"/>
      <c r="S3" s="485" t="e">
        <f>INDEX(PT_DIFFERENTIATION_NUM_TER,MATCH(B3,PT_DIFFERENTIATION_TER_ID,0))</f>
        <v>#VALUE!</v>
      </c>
      <c r="T3" s="495" t="s">
        <v>391</v>
      </c>
      <c r="U3" s="487"/>
      <c r="V3" s="488"/>
      <c r="W3" s="489"/>
      <c r="X3" s="489"/>
      <c r="Y3" s="489"/>
      <c r="Z3" s="489"/>
      <c r="AA3" s="489"/>
      <c r="AB3" s="489"/>
      <c r="AC3" s="489"/>
      <c r="AD3" s="489"/>
      <c r="AE3" s="489"/>
      <c r="AF3" s="490"/>
      <c r="AG3" s="488" t="e">
        <f>INDEX(PT_DIFFERENTIATION_TER,MATCH(B3,PT_DIFFERENTIATION_TER_ID,0))</f>
        <v>#VALUE!</v>
      </c>
      <c r="AH3" s="489"/>
      <c r="AI3" s="489"/>
      <c r="AJ3" s="489"/>
      <c r="AK3" s="489"/>
      <c r="AL3" s="489"/>
      <c r="AM3" s="489"/>
      <c r="AN3" s="489"/>
      <c r="AO3" s="489"/>
      <c r="AP3" s="489"/>
      <c r="AQ3" s="489"/>
      <c r="AR3" s="490"/>
      <c r="AS3" s="491" t="s">
        <v>392</v>
      </c>
      <c r="AU3" s="130"/>
      <c r="AV3" s="130" t="str">
        <f t="shared" si="43"/>
        <v xml:space="preserve">Территория действия тарифа</v>
      </c>
      <c r="AW3" s="130"/>
      <c r="AX3" s="130"/>
      <c r="AY3" s="50">
        <v>0</v>
      </c>
    </row>
    <row r="4" ht="23.25" hidden="1" customHeight="1">
      <c r="A4" s="480"/>
      <c r="B4" s="480"/>
      <c r="C4" s="480"/>
      <c r="D4" s="480"/>
      <c r="E4" s="492"/>
      <c r="F4" s="492"/>
      <c r="G4" s="481">
        <v>1</v>
      </c>
      <c r="H4" s="480"/>
      <c r="I4" s="480"/>
      <c r="J4" s="480"/>
      <c r="K4" s="480"/>
      <c r="L4" s="482"/>
      <c r="M4" s="483"/>
      <c r="N4" s="483"/>
      <c r="O4" s="483"/>
      <c r="P4" s="496"/>
      <c r="Q4" s="493"/>
      <c r="R4" s="494"/>
      <c r="S4" s="485" t="e">
        <f>INDEX(PT_DIFFERENTIATION_NUM_CS,MATCH(C4,PT_DIFFERENTIATION_CS_ID,0))</f>
        <v>#VALUE!</v>
      </c>
      <c r="T4" s="497" t="s">
        <v>524</v>
      </c>
      <c r="U4" s="487"/>
      <c r="V4" s="488"/>
      <c r="W4" s="489"/>
      <c r="X4" s="489"/>
      <c r="Y4" s="489"/>
      <c r="Z4" s="489"/>
      <c r="AA4" s="489"/>
      <c r="AB4" s="489"/>
      <c r="AC4" s="489"/>
      <c r="AD4" s="489"/>
      <c r="AE4" s="489"/>
      <c r="AF4" s="490"/>
      <c r="AG4" s="488" t="e">
        <f>INDEX(PT_DIFFERENTIATION_CS,MATCH(C4,PT_DIFFERENTIATION_CS_ID,0))</f>
        <v>#VALUE!</v>
      </c>
      <c r="AH4" s="489"/>
      <c r="AI4" s="489"/>
      <c r="AJ4" s="489"/>
      <c r="AK4" s="489"/>
      <c r="AL4" s="489"/>
      <c r="AM4" s="489"/>
      <c r="AN4" s="489"/>
      <c r="AO4" s="489"/>
      <c r="AP4" s="489"/>
      <c r="AQ4" s="489"/>
      <c r="AR4" s="490"/>
      <c r="AS4" s="491" t="s">
        <v>525</v>
      </c>
      <c r="AU4" s="130"/>
      <c r="AV4" s="130" t="str">
        <f t="shared" si="43"/>
        <v xml:space="preserve">Наименование централизованной системы горячего водоснабжения</v>
      </c>
      <c r="AW4" s="130"/>
      <c r="AX4" s="130"/>
      <c r="AY4" s="50">
        <v>0</v>
      </c>
    </row>
    <row r="5" ht="23.25" hidden="1" customHeight="1">
      <c r="A5" s="480"/>
      <c r="B5" s="480"/>
      <c r="C5" s="480"/>
      <c r="D5" s="480"/>
      <c r="E5" s="492"/>
      <c r="F5" s="492"/>
      <c r="G5" s="492"/>
      <c r="H5" s="492"/>
      <c r="I5" s="499" t="e">
        <f>S4&amp;".1"</f>
        <v>#VALUE!</v>
      </c>
      <c r="J5" s="480"/>
      <c r="K5" s="480"/>
      <c r="L5" s="482"/>
      <c r="P5" s="133">
        <v>1</v>
      </c>
      <c r="Q5" s="133"/>
      <c r="R5" s="500"/>
      <c r="S5" s="485" t="e">
        <f>$I5</f>
        <v>#VALUE!</v>
      </c>
      <c r="T5" s="501" t="s">
        <v>477</v>
      </c>
      <c r="U5" s="487"/>
      <c r="V5" s="677"/>
      <c r="W5" s="678"/>
      <c r="X5" s="678"/>
      <c r="Y5" s="678"/>
      <c r="Z5" s="678"/>
      <c r="AA5" s="678"/>
      <c r="AB5" s="678"/>
      <c r="AC5" s="678"/>
      <c r="AD5" s="678"/>
      <c r="AE5" s="678"/>
      <c r="AF5" s="679"/>
      <c r="AG5" s="680"/>
      <c r="AH5" s="681"/>
      <c r="AI5" s="681"/>
      <c r="AJ5" s="681"/>
      <c r="AK5" s="681"/>
      <c r="AL5" s="681"/>
      <c r="AM5" s="681"/>
      <c r="AN5" s="681"/>
      <c r="AO5" s="681"/>
      <c r="AP5" s="681"/>
      <c r="AQ5" s="681"/>
      <c r="AR5" s="682"/>
      <c r="AS5" s="491" t="s">
        <v>478</v>
      </c>
      <c r="AU5" s="130"/>
      <c r="AV5" s="130" t="str">
        <f t="shared" si="43"/>
        <v xml:space="preserve">Наименование признака дифференциации</v>
      </c>
      <c r="AW5" s="130"/>
      <c r="AX5" s="130"/>
      <c r="AY5" s="50">
        <v>0</v>
      </c>
    </row>
    <row r="6" ht="23.25" hidden="1" customHeight="1">
      <c r="A6" s="480"/>
      <c r="B6" s="480"/>
      <c r="C6" s="480"/>
      <c r="D6" s="480"/>
      <c r="E6" s="492"/>
      <c r="F6" s="492"/>
      <c r="G6" s="492"/>
      <c r="H6" s="492"/>
      <c r="I6" s="504"/>
      <c r="J6" s="499" t="e">
        <f>I5&amp;".1"</f>
        <v>#VALUE!</v>
      </c>
      <c r="K6" s="480"/>
      <c r="L6" s="482" t="s">
        <v>400</v>
      </c>
      <c r="P6" s="133"/>
      <c r="Q6" s="133">
        <v>1</v>
      </c>
      <c r="R6" s="505"/>
      <c r="S6" s="485" t="e">
        <f>$J6</f>
        <v>#VALUE!</v>
      </c>
      <c r="T6" s="506" t="s">
        <v>401</v>
      </c>
      <c r="U6" s="487"/>
      <c r="V6" s="432"/>
      <c r="W6" s="502"/>
      <c r="X6" s="502"/>
      <c r="Y6" s="502"/>
      <c r="Z6" s="502"/>
      <c r="AA6" s="502"/>
      <c r="AB6" s="502"/>
      <c r="AC6" s="502"/>
      <c r="AD6" s="502"/>
      <c r="AE6" s="502"/>
      <c r="AF6" s="503"/>
      <c r="AG6" s="432"/>
      <c r="AH6" s="502"/>
      <c r="AI6" s="502"/>
      <c r="AJ6" s="502"/>
      <c r="AK6" s="502"/>
      <c r="AL6" s="502"/>
      <c r="AM6" s="502"/>
      <c r="AN6" s="502"/>
      <c r="AO6" s="502"/>
      <c r="AP6" s="502"/>
      <c r="AQ6" s="502"/>
      <c r="AR6" s="503"/>
      <c r="AS6" s="618" t="s">
        <v>479</v>
      </c>
      <c r="AU6" s="130"/>
      <c r="AV6" s="130" t="str">
        <f t="shared" si="43"/>
        <v xml:space="preserve">Группа потребителей</v>
      </c>
      <c r="AW6" s="130"/>
      <c r="AX6" s="130"/>
      <c r="AY6" s="50">
        <v>0</v>
      </c>
    </row>
    <row r="7" ht="23.25" hidden="1" customHeight="1">
      <c r="A7" s="480"/>
      <c r="B7" s="480"/>
      <c r="C7" s="480"/>
      <c r="D7" s="480"/>
      <c r="E7" s="492"/>
      <c r="F7" s="492"/>
      <c r="G7" s="492"/>
      <c r="H7" s="492"/>
      <c r="I7" s="504"/>
      <c r="J7" s="504"/>
      <c r="K7" s="499" t="e">
        <f>J6&amp;".1"</f>
        <v>#VALUE!</v>
      </c>
      <c r="L7" s="482"/>
      <c r="P7" s="133"/>
      <c r="Q7" s="133"/>
      <c r="R7" s="505">
        <v>1</v>
      </c>
      <c r="S7" s="485" t="e">
        <f>$K7</f>
        <v>#VALUE!</v>
      </c>
      <c r="T7" s="683"/>
      <c r="U7" s="487"/>
      <c r="V7" s="508"/>
      <c r="W7" s="508"/>
      <c r="X7" s="508"/>
      <c r="Y7" s="508"/>
      <c r="Z7" s="508"/>
      <c r="AA7" s="508"/>
      <c r="AB7" s="510"/>
      <c r="AC7" s="511"/>
      <c r="AD7" s="225" t="s">
        <v>64</v>
      </c>
      <c r="AE7" s="511"/>
      <c r="AF7" s="225" t="s">
        <v>64</v>
      </c>
      <c r="AG7" s="508"/>
      <c r="AH7" s="508"/>
      <c r="AI7" s="508"/>
      <c r="AJ7" s="508"/>
      <c r="AK7" s="508"/>
      <c r="AL7" s="508"/>
      <c r="AM7" s="510"/>
      <c r="AN7" s="511"/>
      <c r="AO7" s="225" t="s">
        <v>64</v>
      </c>
      <c r="AP7" s="571"/>
      <c r="AQ7" s="225" t="s">
        <v>64</v>
      </c>
      <c r="AR7" s="684"/>
      <c r="AS7" s="68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 t="e">
        <f>STRCHECKDATE(V8:AR8)</f>
        <v>#NAME?</v>
      </c>
      <c r="AU7" s="130"/>
      <c r="AV7" s="130" t="str">
        <f t="shared" si="43"/>
        <v/>
      </c>
      <c r="AW7" s="130"/>
      <c r="AX7" s="130"/>
      <c r="AY7" s="50">
        <v>0</v>
      </c>
    </row>
    <row r="8" ht="14.25" hidden="1" customHeight="1">
      <c r="A8" s="480"/>
      <c r="B8" s="480"/>
      <c r="C8" s="480"/>
      <c r="D8" s="480"/>
      <c r="E8" s="492"/>
      <c r="F8" s="492"/>
      <c r="G8" s="492"/>
      <c r="H8" s="492"/>
      <c r="I8" s="504"/>
      <c r="J8" s="504"/>
      <c r="K8" s="499"/>
      <c r="L8" s="482"/>
      <c r="P8" s="133"/>
      <c r="Q8" s="133"/>
      <c r="R8" s="505"/>
      <c r="S8" s="459"/>
      <c r="T8" s="487"/>
      <c r="U8" s="487"/>
      <c r="V8" s="509"/>
      <c r="W8" s="509"/>
      <c r="X8" s="509"/>
      <c r="Y8" s="509"/>
      <c r="Z8" s="509"/>
      <c r="AA8" s="509"/>
      <c r="AB8" s="513" t="str">
        <f>AC7&amp;"-"&amp;AE7</f>
        <v>-</v>
      </c>
      <c r="AC8" s="514"/>
      <c r="AD8" s="225"/>
      <c r="AE8" s="514"/>
      <c r="AF8" s="225"/>
      <c r="AG8" s="509"/>
      <c r="AH8" s="509"/>
      <c r="AI8" s="509"/>
      <c r="AJ8" s="509"/>
      <c r="AK8" s="509"/>
      <c r="AL8" s="509"/>
      <c r="AM8" s="513" t="str">
        <f>AN7&amp;"-"&amp;AP7</f>
        <v>-</v>
      </c>
      <c r="AN8" s="514"/>
      <c r="AO8" s="225"/>
      <c r="AP8" s="573"/>
      <c r="AQ8" s="225"/>
      <c r="AR8" s="686"/>
      <c r="AS8" s="685"/>
      <c r="AU8" s="130"/>
      <c r="AV8" s="130" t="str">
        <f t="shared" si="43"/>
        <v/>
      </c>
      <c r="AW8" s="130"/>
      <c r="AX8" s="130"/>
      <c r="AY8" s="50">
        <v>0</v>
      </c>
    </row>
    <row r="9" ht="21" hidden="1" customHeight="1">
      <c r="A9" s="480"/>
      <c r="B9" s="480"/>
      <c r="C9" s="480"/>
      <c r="D9" s="480"/>
      <c r="E9" s="492"/>
      <c r="F9" s="492"/>
      <c r="G9" s="492"/>
      <c r="H9" s="492"/>
      <c r="I9" s="504"/>
      <c r="J9" s="499"/>
      <c r="K9" s="480"/>
      <c r="L9" s="482"/>
      <c r="P9" s="133"/>
      <c r="Q9" s="133"/>
      <c r="R9" s="500"/>
      <c r="S9" s="516"/>
      <c r="T9" s="520" t="s">
        <v>480</v>
      </c>
      <c r="U9" s="215"/>
      <c r="V9" s="215"/>
      <c r="W9" s="215"/>
      <c r="X9" s="215"/>
      <c r="Y9" s="215"/>
      <c r="Z9" s="215"/>
      <c r="AA9" s="215"/>
      <c r="AB9" s="215"/>
      <c r="AC9" s="215"/>
      <c r="AD9" s="215"/>
      <c r="AE9" s="215"/>
      <c r="AF9" s="215"/>
      <c r="AG9" s="215"/>
      <c r="AH9" s="215"/>
      <c r="AI9" s="215"/>
      <c r="AJ9" s="215"/>
      <c r="AK9" s="215"/>
      <c r="AL9" s="215"/>
      <c r="AM9" s="215"/>
      <c r="AN9" s="215"/>
      <c r="AO9" s="215"/>
      <c r="AP9" s="215"/>
      <c r="AQ9" s="215"/>
      <c r="AR9" s="215"/>
      <c r="AS9" s="491" t="s">
        <v>481</v>
      </c>
      <c r="AU9" s="130"/>
      <c r="AV9" s="130" t="str">
        <f t="shared" si="43"/>
        <v xml:space="preserve">Добавить значение признака дифференциации</v>
      </c>
      <c r="AW9" s="130"/>
      <c r="AX9" s="130"/>
      <c r="AY9" s="50">
        <v>0</v>
      </c>
    </row>
    <row r="10" ht="21" hidden="1" customHeight="1">
      <c r="A10" s="480"/>
      <c r="B10" s="480"/>
      <c r="C10" s="480"/>
      <c r="D10" s="480"/>
      <c r="E10" s="492"/>
      <c r="F10" s="492"/>
      <c r="G10" s="492"/>
      <c r="H10" s="492"/>
      <c r="I10" s="499"/>
      <c r="J10" s="480"/>
      <c r="K10" s="480"/>
      <c r="L10" s="482"/>
      <c r="P10" s="133"/>
      <c r="Q10" s="133"/>
      <c r="R10" s="500"/>
      <c r="S10" s="516"/>
      <c r="T10" s="524" t="s">
        <v>406</v>
      </c>
      <c r="U10" s="215"/>
      <c r="V10" s="215"/>
      <c r="W10" s="215"/>
      <c r="X10" s="215"/>
      <c r="Y10" s="215"/>
      <c r="Z10" s="215"/>
      <c r="AA10" s="215"/>
      <c r="AB10" s="215"/>
      <c r="AC10" s="215"/>
      <c r="AD10" s="215"/>
      <c r="AE10" s="215"/>
      <c r="AF10" s="521"/>
      <c r="AG10" s="215"/>
      <c r="AH10" s="215"/>
      <c r="AI10" s="215"/>
      <c r="AJ10" s="215"/>
      <c r="AK10" s="215"/>
      <c r="AL10" s="215"/>
      <c r="AM10" s="215"/>
      <c r="AN10" s="215"/>
      <c r="AO10" s="215"/>
      <c r="AP10" s="215"/>
      <c r="AQ10" s="521"/>
      <c r="AR10" s="215"/>
      <c r="AS10" s="687"/>
      <c r="AU10" s="130"/>
      <c r="AV10" s="130" t="str">
        <f t="shared" ref="AV10:AV54" si="44">IF(T10="","",T10)</f>
        <v xml:space="preserve">Добавить группу потребителей</v>
      </c>
      <c r="AW10" s="130"/>
      <c r="AX10" s="130"/>
      <c r="AY10" s="50">
        <v>0</v>
      </c>
    </row>
    <row r="11" ht="21" hidden="1" customHeight="1">
      <c r="A11" s="480"/>
      <c r="B11" s="480"/>
      <c r="C11" s="480"/>
      <c r="D11" s="480"/>
      <c r="E11" s="492"/>
      <c r="F11" s="492"/>
      <c r="G11" s="492"/>
      <c r="H11" s="481"/>
      <c r="I11" s="480"/>
      <c r="J11" s="480"/>
      <c r="K11" s="480"/>
      <c r="L11" s="482"/>
      <c r="M11" s="483"/>
      <c r="N11" s="483"/>
      <c r="O11" s="53"/>
      <c r="P11" s="144"/>
      <c r="Q11" s="523"/>
      <c r="R11" s="484"/>
      <c r="S11" s="516"/>
      <c r="T11" s="688" t="s">
        <v>482</v>
      </c>
      <c r="U11" s="215"/>
      <c r="V11" s="215"/>
      <c r="W11" s="215"/>
      <c r="X11" s="215"/>
      <c r="Y11" s="215"/>
      <c r="Z11" s="215"/>
      <c r="AA11" s="215"/>
      <c r="AB11" s="215"/>
      <c r="AC11" s="215"/>
      <c r="AD11" s="215"/>
      <c r="AE11" s="215"/>
      <c r="AF11" s="521"/>
      <c r="AG11" s="215"/>
      <c r="AH11" s="215"/>
      <c r="AI11" s="215"/>
      <c r="AJ11" s="215"/>
      <c r="AK11" s="215"/>
      <c r="AL11" s="215"/>
      <c r="AM11" s="215"/>
      <c r="AN11" s="215"/>
      <c r="AO11" s="215"/>
      <c r="AP11" s="215"/>
      <c r="AQ11" s="521"/>
      <c r="AR11" s="215"/>
      <c r="AS11" s="522"/>
      <c r="AU11" s="130"/>
      <c r="AV11" s="130" t="str">
        <f t="shared" si="44"/>
        <v xml:space="preserve">Добавить наименование признака дифференциации</v>
      </c>
      <c r="AW11" s="130"/>
      <c r="AX11" s="130"/>
      <c r="AY11" s="50">
        <v>0</v>
      </c>
    </row>
    <row r="12" s="57" customFormat="1" ht="14.25" hidden="1" customHeight="1">
      <c r="A12" s="134"/>
      <c r="B12" s="134"/>
      <c r="C12" s="134"/>
      <c r="D12" s="134"/>
      <c r="E12" s="492"/>
      <c r="F12" s="481"/>
      <c r="G12" s="134"/>
      <c r="H12" s="134"/>
      <c r="I12" s="134"/>
      <c r="J12" s="134"/>
      <c r="K12" s="134"/>
      <c r="L12" s="213"/>
      <c r="M12" s="529"/>
      <c r="N12" s="529"/>
      <c r="P12" s="168"/>
      <c r="Q12" s="525"/>
      <c r="R12" s="168"/>
      <c r="S12" s="530"/>
      <c r="T12" s="533" t="s">
        <v>409</v>
      </c>
      <c r="U12" s="532"/>
      <c r="V12" s="532"/>
      <c r="W12" s="532"/>
      <c r="X12" s="532"/>
      <c r="Y12" s="532"/>
      <c r="Z12" s="532"/>
      <c r="AA12" s="532"/>
      <c r="AB12" s="532"/>
      <c r="AC12" s="532"/>
      <c r="AD12" s="532"/>
      <c r="AE12" s="532"/>
      <c r="AF12" s="532"/>
      <c r="AG12" s="532"/>
      <c r="AH12" s="532"/>
      <c r="AI12" s="532"/>
      <c r="AJ12" s="532"/>
      <c r="AK12" s="532"/>
      <c r="AL12" s="532"/>
      <c r="AM12" s="532"/>
      <c r="AN12" s="532"/>
      <c r="AO12" s="532"/>
      <c r="AP12" s="532"/>
      <c r="AQ12" s="532"/>
      <c r="AR12" s="532"/>
      <c r="AS12" s="532"/>
      <c r="AU12" s="130"/>
      <c r="AV12" s="130" t="str">
        <f t="shared" si="44"/>
        <v xml:space="preserve">Добавить централизованную систему для дифференциации</v>
      </c>
      <c r="AW12" s="130"/>
      <c r="AX12" s="130"/>
      <c r="AY12" s="57">
        <v>0</v>
      </c>
    </row>
    <row r="13" s="57" customFormat="1" ht="14.25" hidden="1" customHeight="1">
      <c r="A13" s="134"/>
      <c r="B13" s="134"/>
      <c r="C13" s="134"/>
      <c r="D13" s="134"/>
      <c r="E13" s="481"/>
      <c r="F13" s="134"/>
      <c r="G13" s="134"/>
      <c r="H13" s="134"/>
      <c r="I13" s="134"/>
      <c r="J13" s="134"/>
      <c r="K13" s="134"/>
      <c r="L13" s="213"/>
      <c r="M13" s="529"/>
      <c r="N13" s="529"/>
      <c r="O13" s="57"/>
      <c r="P13" s="168"/>
      <c r="Q13" s="525"/>
      <c r="R13" s="168"/>
      <c r="S13" s="530"/>
      <c r="T13" s="533" t="s">
        <v>410</v>
      </c>
      <c r="U13" s="532"/>
      <c r="V13" s="532"/>
      <c r="W13" s="532"/>
      <c r="X13" s="532"/>
      <c r="Y13" s="532"/>
      <c r="Z13" s="532"/>
      <c r="AA13" s="532"/>
      <c r="AB13" s="532"/>
      <c r="AC13" s="532"/>
      <c r="AD13" s="532"/>
      <c r="AE13" s="532"/>
      <c r="AF13" s="532"/>
      <c r="AG13" s="532"/>
      <c r="AH13" s="532"/>
      <c r="AI13" s="532"/>
      <c r="AJ13" s="532"/>
      <c r="AK13" s="532"/>
      <c r="AL13" s="532"/>
      <c r="AM13" s="532"/>
      <c r="AN13" s="532"/>
      <c r="AO13" s="532"/>
      <c r="AP13" s="532"/>
      <c r="AQ13" s="532"/>
      <c r="AR13" s="532"/>
      <c r="AS13" s="532"/>
      <c r="AU13" s="130"/>
      <c r="AV13" s="130" t="str">
        <f t="shared" si="44"/>
        <v xml:space="preserve">Добавить территорию для дифференциации</v>
      </c>
      <c r="AW13" s="130"/>
      <c r="AX13" s="130"/>
      <c r="AY13" s="57">
        <v>0</v>
      </c>
    </row>
    <row r="14" ht="14.25" hidden="1" customHeight="1">
      <c r="AF14" s="50"/>
      <c r="AQ14" s="50"/>
      <c r="AY14" s="50">
        <v>0</v>
      </c>
    </row>
    <row r="15" ht="14.25" hidden="1" customHeight="1">
      <c r="AG15" s="534"/>
      <c r="AH15" s="534"/>
      <c r="AI15" s="534"/>
      <c r="AJ15" s="534"/>
      <c r="AK15" s="534"/>
      <c r="AL15" s="534"/>
      <c r="AM15" s="535"/>
      <c r="AN15" s="536"/>
      <c r="AO15" s="537" t="s">
        <v>64</v>
      </c>
      <c r="AP15" s="536"/>
      <c r="AQ15" s="537" t="s">
        <v>64</v>
      </c>
      <c r="AY15" s="50">
        <v>0</v>
      </c>
    </row>
    <row r="16" ht="14.25" hidden="1" customHeight="1">
      <c r="AG16" s="534"/>
      <c r="AH16" s="534"/>
      <c r="AI16" s="534"/>
      <c r="AJ16" s="534"/>
      <c r="AK16" s="534"/>
      <c r="AL16" s="534"/>
      <c r="AM16" s="513" t="str">
        <f>AN15&amp;"-"&amp;AP15</f>
        <v>-</v>
      </c>
      <c r="AN16" s="537"/>
      <c r="AO16" s="537"/>
      <c r="AP16" s="537"/>
      <c r="AQ16" s="537"/>
      <c r="AY16" s="50">
        <v>0</v>
      </c>
    </row>
    <row r="17" ht="14.25" hidden="1" customHeight="1">
      <c r="AQ17" s="50"/>
      <c r="AY17" s="50">
        <v>0</v>
      </c>
    </row>
    <row r="18" s="53" customFormat="1" ht="22.5" hidden="1" customHeight="1">
      <c r="L18" s="114"/>
      <c r="M18" s="61"/>
      <c r="N18" s="61"/>
      <c r="O18" s="538" t="s">
        <v>411</v>
      </c>
      <c r="P18" s="61"/>
      <c r="Q18" s="539"/>
      <c r="R18" s="539"/>
      <c r="S18" s="483"/>
      <c r="W18" s="53"/>
      <c r="X18" s="53"/>
      <c r="Y18" s="53"/>
      <c r="Z18" s="53"/>
      <c r="AA18" s="53"/>
      <c r="AC18" s="538"/>
      <c r="AE18" s="538"/>
      <c r="AF18" s="53"/>
      <c r="AH18" s="53"/>
      <c r="AI18" s="53"/>
      <c r="AJ18" s="53"/>
      <c r="AK18" s="53"/>
      <c r="AL18" s="53"/>
      <c r="AN18" s="538"/>
      <c r="AP18" s="538"/>
      <c r="AQ18" s="53"/>
      <c r="AT18" s="57"/>
      <c r="AU18" s="57"/>
      <c r="AV18" s="57"/>
      <c r="AW18" s="57"/>
      <c r="AX18" s="57"/>
      <c r="AY18" s="53">
        <v>0</v>
      </c>
    </row>
    <row r="19" s="53" customFormat="1" ht="14.25" hidden="1" customHeight="1">
      <c r="L19" s="114"/>
      <c r="M19" s="61"/>
      <c r="N19" s="61"/>
      <c r="O19" s="61"/>
      <c r="P19" s="61"/>
      <c r="Q19" s="539"/>
      <c r="R19" s="539"/>
      <c r="S19" s="483"/>
      <c r="W19" s="53"/>
      <c r="X19" s="53"/>
      <c r="Y19" s="53"/>
      <c r="Z19" s="53"/>
      <c r="AA19" s="53"/>
      <c r="AF19" s="53"/>
      <c r="AH19" s="53"/>
      <c r="AI19" s="53"/>
      <c r="AJ19" s="53"/>
      <c r="AK19" s="53"/>
      <c r="AL19" s="53"/>
      <c r="AQ19" s="53"/>
      <c r="AT19" s="57"/>
      <c r="AU19" s="57"/>
      <c r="AV19" s="57"/>
      <c r="AW19" s="57"/>
      <c r="AX19" s="57"/>
      <c r="AY19" s="53">
        <v>0</v>
      </c>
    </row>
    <row r="20" s="53" customFormat="1" ht="12" hidden="1" customHeight="1">
      <c r="L20" s="114"/>
      <c r="M20" s="61"/>
      <c r="N20" s="61"/>
      <c r="O20" s="482" t="s">
        <v>412</v>
      </c>
      <c r="P20" s="61"/>
      <c r="Q20" s="689"/>
      <c r="R20" s="689"/>
      <c r="S20" s="483"/>
      <c r="T20" s="53" t="s">
        <v>413</v>
      </c>
      <c r="W20" s="53"/>
      <c r="X20" s="53"/>
      <c r="Y20" s="53"/>
      <c r="Z20" s="53"/>
      <c r="AA20" s="53"/>
      <c r="AD20" s="152" t="s">
        <v>414</v>
      </c>
      <c r="AF20" s="152" t="s">
        <v>415</v>
      </c>
      <c r="AG20" s="53" t="s">
        <v>413</v>
      </c>
      <c r="AH20" s="53"/>
      <c r="AI20" s="53"/>
      <c r="AJ20" s="53"/>
      <c r="AK20" s="53"/>
      <c r="AL20" s="53"/>
      <c r="AO20" s="152" t="s">
        <v>416</v>
      </c>
      <c r="AQ20" s="152" t="s">
        <v>415</v>
      </c>
      <c r="AY20" s="53">
        <v>0</v>
      </c>
    </row>
    <row r="21" ht="14.25" hidden="1" customHeight="1">
      <c r="O21" s="482"/>
      <c r="AY21" s="50">
        <v>0</v>
      </c>
    </row>
    <row r="22" ht="14.25" hidden="1" customHeight="1">
      <c r="O22" s="482"/>
      <c r="AY22" s="50">
        <v>0</v>
      </c>
    </row>
    <row r="23" ht="14.65" customHeight="1">
      <c r="Q23" s="540"/>
      <c r="R23" s="540"/>
      <c r="S23" s="541"/>
      <c r="T23" s="91"/>
      <c r="U23" s="91"/>
      <c r="V23" s="50"/>
      <c r="W23" s="50"/>
      <c r="X23" s="50"/>
      <c r="Y23" s="50"/>
      <c r="Z23" s="50"/>
      <c r="AA23" s="50"/>
      <c r="AB23" s="50"/>
      <c r="AC23" s="50"/>
      <c r="AD23" s="50"/>
      <c r="AE23" s="50"/>
      <c r="AF23" s="50"/>
      <c r="AG23" s="50"/>
      <c r="AH23" s="50"/>
      <c r="AI23" s="50"/>
      <c r="AJ23" s="50"/>
      <c r="AK23" s="50"/>
      <c r="AL23" s="50"/>
      <c r="AM23" s="50"/>
      <c r="AN23" s="50"/>
      <c r="AO23" s="50"/>
      <c r="AP23" s="50"/>
      <c r="AQ23" s="50"/>
      <c r="AY23" s="50">
        <v>14</v>
      </c>
    </row>
    <row r="24" ht="26.25" customHeight="1">
      <c r="Q24" s="540"/>
      <c r="R24" s="540"/>
      <c r="S24" s="453" t="str">
        <f>IF(TEMPLATE_GROUP="P",PT_P_FORM_HOTVSNA_4_NAME_FORM,PT_R_FORM_HOTVSNA_16_NAME_FORM)</f>
        <v xml:space="preserve">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453"/>
      <c r="U24" s="453"/>
      <c r="V24" s="453"/>
      <c r="W24" s="453"/>
      <c r="X24" s="453"/>
      <c r="Y24" s="453"/>
      <c r="Z24" s="453"/>
      <c r="AA24" s="453"/>
      <c r="AB24" s="453"/>
      <c r="AC24" s="453"/>
      <c r="AD24" s="453"/>
      <c r="AE24" s="453"/>
      <c r="AF24" s="453"/>
      <c r="AG24" s="453"/>
      <c r="AH24" s="453"/>
      <c r="AI24" s="453"/>
      <c r="AJ24" s="453"/>
      <c r="AK24" s="453"/>
      <c r="AL24" s="453"/>
      <c r="AM24" s="453"/>
      <c r="AN24" s="453"/>
      <c r="AO24" s="453"/>
      <c r="AP24" s="453"/>
      <c r="AQ24" s="241"/>
      <c r="AY24" s="50">
        <v>25</v>
      </c>
    </row>
    <row r="25" ht="14.65" customHeight="1">
      <c r="Q25" s="540"/>
      <c r="R25" s="540"/>
      <c r="S25" s="304" t="str">
        <f>IF(org=0,"Не определено",org)</f>
        <v xml:space="preserve">АО "ДГК" СП "Биробиджанская ТЭЦ"</v>
      </c>
      <c r="T25" s="304"/>
      <c r="U25" s="304"/>
      <c r="V25" s="304"/>
      <c r="W25" s="304"/>
      <c r="X25" s="304"/>
      <c r="Y25" s="304"/>
      <c r="Z25" s="304"/>
      <c r="AA25" s="304"/>
      <c r="AB25" s="304"/>
      <c r="AC25" s="304"/>
      <c r="AD25" s="304"/>
      <c r="AE25" s="304"/>
      <c r="AF25" s="304"/>
      <c r="AG25" s="304"/>
      <c r="AH25" s="304"/>
      <c r="AI25" s="304"/>
      <c r="AJ25" s="304"/>
      <c r="AK25" s="304"/>
      <c r="AL25" s="304"/>
      <c r="AM25" s="304"/>
      <c r="AN25" s="304"/>
      <c r="AO25" s="304"/>
      <c r="AP25" s="304"/>
      <c r="AQ25" s="241"/>
      <c r="AY25" s="50">
        <v>14</v>
      </c>
    </row>
    <row r="26" ht="14.25" hidden="1" customHeight="1">
      <c r="Q26" s="540"/>
      <c r="R26" s="540"/>
      <c r="S26" s="541"/>
      <c r="T26" s="91"/>
      <c r="U26" s="91"/>
      <c r="V26" s="542"/>
      <c r="W26" s="542"/>
      <c r="X26" s="542"/>
      <c r="Y26" s="542"/>
      <c r="Z26" s="542"/>
      <c r="AA26" s="542"/>
      <c r="AB26" s="542"/>
      <c r="AC26" s="542"/>
      <c r="AD26" s="542"/>
      <c r="AE26" s="542"/>
      <c r="AF26" s="542"/>
      <c r="AG26" s="542"/>
      <c r="AH26" s="542"/>
      <c r="AI26" s="542"/>
      <c r="AJ26" s="542"/>
      <c r="AK26" s="542"/>
      <c r="AL26" s="542"/>
      <c r="AM26" s="542"/>
      <c r="AN26" s="542"/>
      <c r="AO26" s="542"/>
      <c r="AP26" s="542"/>
      <c r="AQ26" s="542"/>
      <c r="AR26" s="50"/>
      <c r="AY26" s="50">
        <v>0</v>
      </c>
    </row>
    <row r="27" s="185" customFormat="1" ht="25.5" hidden="1" customHeight="1">
      <c r="A27" s="152"/>
      <c r="B27" s="152"/>
      <c r="C27" s="152"/>
      <c r="D27" s="152"/>
      <c r="E27" s="152"/>
      <c r="F27" s="152"/>
      <c r="G27" s="152"/>
      <c r="H27" s="152"/>
      <c r="I27" s="152"/>
      <c r="J27" s="152"/>
      <c r="K27" s="152"/>
      <c r="L27" s="482"/>
      <c r="M27" s="152"/>
      <c r="N27" s="152"/>
      <c r="O27" s="152"/>
      <c r="S27" s="543" t="s">
        <v>41</v>
      </c>
      <c r="T27" s="543"/>
      <c r="U27" s="544"/>
      <c r="V27" s="545" t="str">
        <f>IF(TITLE_NAME_OR_PR_CHANGE="",IF(TITLE_NAME_OR_PR="","",TITLE_NAME_OR_PR),TITLE_NAME_OR_PR_CHANGE)</f>
        <v/>
      </c>
      <c r="W27" s="545"/>
      <c r="X27" s="545"/>
      <c r="Y27" s="545"/>
      <c r="Z27" s="545"/>
      <c r="AA27" s="545"/>
      <c r="AB27" s="545"/>
      <c r="AC27" s="545"/>
      <c r="AD27" s="545"/>
      <c r="AE27" s="545"/>
      <c r="AF27" s="50"/>
      <c r="AG27" s="545" t="str">
        <f>IF(TITLE_NAME_OR_PR_CHANGE="",IF(TITLE_NAME_OR_PR="","",TITLE_NAME_OR_PR),TITLE_NAME_OR_PR_CHANGE)</f>
        <v/>
      </c>
      <c r="AH27" s="545"/>
      <c r="AI27" s="545"/>
      <c r="AJ27" s="545"/>
      <c r="AK27" s="545"/>
      <c r="AL27" s="545"/>
      <c r="AM27" s="545"/>
      <c r="AN27" s="545"/>
      <c r="AO27" s="545"/>
      <c r="AP27" s="545"/>
      <c r="AQ27" s="50"/>
      <c r="AR27" s="50"/>
      <c r="AS27" s="546"/>
      <c r="AT27" s="130"/>
      <c r="AU27" s="130"/>
      <c r="AV27" s="130"/>
      <c r="AW27" s="130"/>
      <c r="AX27" s="130"/>
      <c r="AY27" s="185">
        <v>0</v>
      </c>
    </row>
    <row r="28" s="185" customFormat="1" ht="18.75" hidden="1" customHeight="1">
      <c r="A28" s="152"/>
      <c r="B28" s="152"/>
      <c r="C28" s="152"/>
      <c r="D28" s="152"/>
      <c r="E28" s="152"/>
      <c r="F28" s="152"/>
      <c r="G28" s="152"/>
      <c r="H28" s="152"/>
      <c r="I28" s="152"/>
      <c r="J28" s="152"/>
      <c r="K28" s="152"/>
      <c r="L28" s="482"/>
      <c r="M28" s="152"/>
      <c r="N28" s="152"/>
      <c r="O28" s="152"/>
      <c r="S28" s="543" t="s">
        <v>417</v>
      </c>
      <c r="T28" s="543"/>
      <c r="U28" s="544"/>
      <c r="V28" s="547" t="str">
        <f>IF(TITLE_DATE_PR_CHANGE="",IF(TITLE_DATE_PR="","",TITLE_DATE_PR),TITLE_DATE_PR_CHANGE)</f>
        <v/>
      </c>
      <c r="W28" s="547"/>
      <c r="X28" s="547"/>
      <c r="Y28" s="547"/>
      <c r="Z28" s="547"/>
      <c r="AA28" s="547"/>
      <c r="AB28" s="547"/>
      <c r="AC28" s="547"/>
      <c r="AD28" s="547"/>
      <c r="AE28" s="547"/>
      <c r="AF28" s="50"/>
      <c r="AG28" s="547" t="str">
        <f>IF(TITLE_DATE_PR_CHANGE="",IF(TITLE_DATE_PR="","",TITLE_DATE_PR),TITLE_DATE_PR_CHANGE)</f>
        <v/>
      </c>
      <c r="AH28" s="547"/>
      <c r="AI28" s="547"/>
      <c r="AJ28" s="547"/>
      <c r="AK28" s="547"/>
      <c r="AL28" s="547"/>
      <c r="AM28" s="547"/>
      <c r="AN28" s="547"/>
      <c r="AO28" s="547"/>
      <c r="AP28" s="547"/>
      <c r="AQ28" s="50"/>
      <c r="AR28" s="50"/>
      <c r="AS28" s="546"/>
      <c r="AT28" s="130"/>
      <c r="AU28" s="130"/>
      <c r="AV28" s="130"/>
      <c r="AW28" s="130"/>
      <c r="AX28" s="130"/>
      <c r="AY28" s="185">
        <v>0</v>
      </c>
    </row>
    <row r="29" s="185" customFormat="1" ht="18.75" hidden="1" customHeight="1">
      <c r="A29" s="152"/>
      <c r="B29" s="152"/>
      <c r="C29" s="152"/>
      <c r="D29" s="152"/>
      <c r="E29" s="152"/>
      <c r="F29" s="152"/>
      <c r="G29" s="152"/>
      <c r="H29" s="152"/>
      <c r="I29" s="152"/>
      <c r="J29" s="152"/>
      <c r="K29" s="152"/>
      <c r="L29" s="482"/>
      <c r="M29" s="152"/>
      <c r="N29" s="152"/>
      <c r="O29" s="152"/>
      <c r="S29" s="543" t="s">
        <v>418</v>
      </c>
      <c r="T29" s="543"/>
      <c r="U29" s="544"/>
      <c r="V29" s="545" t="str">
        <f>IF(TITLE_NUMBER_PR_CHANGE="",IF(TITLE_NUMBER_PR="","",TITLE_NUMBER_PR),TITLE_NUMBER_PR_CHANGE)</f>
        <v/>
      </c>
      <c r="W29" s="545"/>
      <c r="X29" s="545"/>
      <c r="Y29" s="545"/>
      <c r="Z29" s="545"/>
      <c r="AA29" s="545"/>
      <c r="AB29" s="545"/>
      <c r="AC29" s="545"/>
      <c r="AD29" s="545"/>
      <c r="AE29" s="545"/>
      <c r="AF29" s="50"/>
      <c r="AG29" s="545" t="str">
        <f>IF(TITLE_NUMBER_PR_CHANGE="",IF(TITLE_NUMBER_PR="","",TITLE_NUMBER_PR),TITLE_NUMBER_PR_CHANGE)</f>
        <v/>
      </c>
      <c r="AH29" s="545"/>
      <c r="AI29" s="545"/>
      <c r="AJ29" s="545"/>
      <c r="AK29" s="545"/>
      <c r="AL29" s="545"/>
      <c r="AM29" s="545"/>
      <c r="AN29" s="545"/>
      <c r="AO29" s="545"/>
      <c r="AP29" s="545"/>
      <c r="AQ29" s="50"/>
      <c r="AR29" s="50"/>
      <c r="AS29" s="546"/>
      <c r="AT29" s="130"/>
      <c r="AU29" s="130"/>
      <c r="AV29" s="130"/>
      <c r="AW29" s="130"/>
      <c r="AX29" s="130"/>
      <c r="AY29" s="185">
        <v>0</v>
      </c>
    </row>
    <row r="30" s="185" customFormat="1" ht="18.75" hidden="1" customHeight="1">
      <c r="A30" s="152"/>
      <c r="B30" s="152"/>
      <c r="C30" s="152"/>
      <c r="D30" s="152"/>
      <c r="E30" s="152"/>
      <c r="F30" s="152"/>
      <c r="G30" s="152"/>
      <c r="H30" s="152"/>
      <c r="I30" s="152"/>
      <c r="J30" s="152"/>
      <c r="K30" s="152"/>
      <c r="L30" s="482"/>
      <c r="M30" s="152"/>
      <c r="N30" s="152"/>
      <c r="O30" s="152"/>
      <c r="S30" s="543" t="s">
        <v>42</v>
      </c>
      <c r="T30" s="543"/>
      <c r="U30" s="544"/>
      <c r="V30" s="545" t="str">
        <f>IF(TITLE_IST_PUB_CHANGE="",IF(TITLE_IST_PUB="","",TITLE_IST_PUB),TITLE_IST_PUB_CHANGE)</f>
        <v/>
      </c>
      <c r="W30" s="545"/>
      <c r="X30" s="545"/>
      <c r="Y30" s="545"/>
      <c r="Z30" s="545"/>
      <c r="AA30" s="545"/>
      <c r="AB30" s="545"/>
      <c r="AC30" s="545"/>
      <c r="AD30" s="545"/>
      <c r="AE30" s="545"/>
      <c r="AF30" s="50"/>
      <c r="AG30" s="545" t="str">
        <f>IF(TITLE_IST_PUB_CHANGE="",IF(TITLE_IST_PUB="","",TITLE_IST_PUB),TITLE_IST_PUB_CHANGE)</f>
        <v/>
      </c>
      <c r="AH30" s="545"/>
      <c r="AI30" s="545"/>
      <c r="AJ30" s="545"/>
      <c r="AK30" s="545"/>
      <c r="AL30" s="545"/>
      <c r="AM30" s="545"/>
      <c r="AN30" s="545"/>
      <c r="AO30" s="545"/>
      <c r="AP30" s="545"/>
      <c r="AQ30" s="50"/>
      <c r="AR30" s="50"/>
      <c r="AS30" s="546"/>
      <c r="AT30" s="130"/>
      <c r="AU30" s="130"/>
      <c r="AV30" s="130"/>
      <c r="AW30" s="130"/>
      <c r="AX30" s="130"/>
      <c r="AY30" s="185">
        <v>0</v>
      </c>
    </row>
    <row r="31" ht="14.25" hidden="1" customHeight="1">
      <c r="Q31" s="540"/>
      <c r="R31" s="540"/>
      <c r="S31" s="541"/>
      <c r="T31" s="91"/>
      <c r="U31" s="91"/>
      <c r="V31" s="542"/>
      <c r="W31" s="542"/>
      <c r="X31" s="542"/>
      <c r="Y31" s="542"/>
      <c r="Z31" s="542"/>
      <c r="AA31" s="542"/>
      <c r="AB31" s="542"/>
      <c r="AC31" s="542"/>
      <c r="AD31" s="542"/>
      <c r="AE31" s="542"/>
      <c r="AF31" s="542"/>
      <c r="AG31" s="542"/>
      <c r="AH31" s="542"/>
      <c r="AI31" s="542"/>
      <c r="AJ31" s="542"/>
      <c r="AK31" s="542"/>
      <c r="AL31" s="542"/>
      <c r="AM31" s="542"/>
      <c r="AN31" s="542"/>
      <c r="AO31" s="542"/>
      <c r="AP31" s="542"/>
      <c r="AQ31" s="542"/>
      <c r="AR31" s="50"/>
      <c r="AY31" s="50">
        <v>0</v>
      </c>
    </row>
    <row r="32" s="185" customFormat="1" ht="18.75" hidden="1" customHeight="1">
      <c r="A32" s="152"/>
      <c r="B32" s="152"/>
      <c r="C32" s="152"/>
      <c r="D32" s="152"/>
      <c r="E32" s="152"/>
      <c r="F32" s="152"/>
      <c r="G32" s="152"/>
      <c r="H32" s="152"/>
      <c r="I32" s="152"/>
      <c r="J32" s="152"/>
      <c r="K32" s="152"/>
      <c r="L32" s="482"/>
      <c r="M32" s="152"/>
      <c r="N32" s="152"/>
      <c r="O32" s="152"/>
      <c r="S32" s="543" t="s">
        <v>419</v>
      </c>
      <c r="T32" s="543"/>
      <c r="U32" s="544"/>
      <c r="V32" s="547" t="str">
        <f>IF(TITLE_DATE_PR_CHANGE="",IF(TITLE_DATE_PR="","",TITLE_DATE_PR),TITLE_DATE_PR_CHANGE)</f>
        <v/>
      </c>
      <c r="W32" s="547"/>
      <c r="X32" s="547"/>
      <c r="Y32" s="547"/>
      <c r="Z32" s="547"/>
      <c r="AA32" s="547"/>
      <c r="AB32" s="547"/>
      <c r="AC32" s="547"/>
      <c r="AD32" s="547"/>
      <c r="AE32" s="547"/>
      <c r="AF32" s="50"/>
      <c r="AG32" s="547" t="str">
        <f>IF(TITLE_DATE_PR_CHANGE="",IF(TITLE_DATE_PR="","",TITLE_DATE_PR),TITLE_DATE_PR_CHANGE)</f>
        <v/>
      </c>
      <c r="AH32" s="547"/>
      <c r="AI32" s="547"/>
      <c r="AJ32" s="547"/>
      <c r="AK32" s="547"/>
      <c r="AL32" s="547"/>
      <c r="AM32" s="547"/>
      <c r="AN32" s="547"/>
      <c r="AO32" s="547"/>
      <c r="AP32" s="547"/>
      <c r="AQ32" s="50"/>
      <c r="AR32" s="50"/>
      <c r="AS32" s="546"/>
      <c r="AT32" s="130"/>
      <c r="AU32" s="130"/>
      <c r="AV32" s="130"/>
      <c r="AW32" s="130"/>
      <c r="AX32" s="130"/>
      <c r="AY32" s="185">
        <v>0</v>
      </c>
    </row>
    <row r="33" s="185" customFormat="1" ht="18.75" hidden="1" customHeight="1">
      <c r="A33" s="152"/>
      <c r="B33" s="152"/>
      <c r="C33" s="152"/>
      <c r="D33" s="152"/>
      <c r="E33" s="152"/>
      <c r="F33" s="152"/>
      <c r="G33" s="152"/>
      <c r="H33" s="152"/>
      <c r="I33" s="152"/>
      <c r="J33" s="152"/>
      <c r="K33" s="152"/>
      <c r="L33" s="482"/>
      <c r="M33" s="152"/>
      <c r="N33" s="152"/>
      <c r="O33" s="152"/>
      <c r="S33" s="543" t="s">
        <v>420</v>
      </c>
      <c r="T33" s="543"/>
      <c r="U33" s="544"/>
      <c r="V33" s="545" t="str">
        <f>IF(TITLE_NUMBER_PR_CHANGE="",IF(TITLE_NUMBER_PR="","",TITLE_NUMBER_PR),TITLE_NUMBER_PR_CHANGE)</f>
        <v/>
      </c>
      <c r="W33" s="545"/>
      <c r="X33" s="545"/>
      <c r="Y33" s="545"/>
      <c r="Z33" s="545"/>
      <c r="AA33" s="545"/>
      <c r="AB33" s="545"/>
      <c r="AC33" s="545"/>
      <c r="AD33" s="545"/>
      <c r="AE33" s="545"/>
      <c r="AF33" s="50"/>
      <c r="AG33" s="545" t="str">
        <f>IF(TITLE_NUMBER_PR_CHANGE="",IF(TITLE_NUMBER_PR="","",TITLE_NUMBER_PR),TITLE_NUMBER_PR_CHANGE)</f>
        <v/>
      </c>
      <c r="AH33" s="545"/>
      <c r="AI33" s="545"/>
      <c r="AJ33" s="545"/>
      <c r="AK33" s="545"/>
      <c r="AL33" s="545"/>
      <c r="AM33" s="545"/>
      <c r="AN33" s="545"/>
      <c r="AO33" s="545"/>
      <c r="AP33" s="545"/>
      <c r="AQ33" s="50"/>
      <c r="AR33" s="50"/>
      <c r="AS33" s="546"/>
      <c r="AT33" s="130"/>
      <c r="AU33" s="130"/>
      <c r="AV33" s="130"/>
      <c r="AW33" s="130"/>
      <c r="AX33" s="130"/>
      <c r="AY33" s="185">
        <v>0</v>
      </c>
    </row>
    <row r="34" s="185" customFormat="1" ht="1.05" customHeight="1">
      <c r="A34" s="152"/>
      <c r="B34" s="152"/>
      <c r="C34" s="152"/>
      <c r="D34" s="152"/>
      <c r="E34" s="152"/>
      <c r="F34" s="152"/>
      <c r="G34" s="152"/>
      <c r="H34" s="152"/>
      <c r="I34" s="152"/>
      <c r="J34" s="152"/>
      <c r="K34" s="152"/>
      <c r="L34" s="482"/>
      <c r="M34" s="152"/>
      <c r="N34" s="152"/>
      <c r="O34" s="152"/>
      <c r="S34" s="50"/>
      <c r="T34" s="50"/>
      <c r="U34" s="141"/>
      <c r="V34" s="50"/>
      <c r="W34" s="50"/>
      <c r="X34" s="50"/>
      <c r="Y34" s="50"/>
      <c r="Z34" s="50"/>
      <c r="AA34" s="50"/>
      <c r="AB34" s="50"/>
      <c r="AC34" s="50"/>
      <c r="AD34" s="50"/>
      <c r="AE34" s="50"/>
      <c r="AF34" s="57" t="s">
        <v>421</v>
      </c>
      <c r="AG34" s="50"/>
      <c r="AH34" s="50"/>
      <c r="AI34" s="50"/>
      <c r="AJ34" s="50"/>
      <c r="AK34" s="50"/>
      <c r="AL34" s="50"/>
      <c r="AM34" s="50"/>
      <c r="AN34" s="50"/>
      <c r="AO34" s="50"/>
      <c r="AP34" s="50"/>
      <c r="AQ34" s="57" t="s">
        <v>421</v>
      </c>
      <c r="AT34" s="130"/>
      <c r="AU34" s="130"/>
      <c r="AV34" s="130"/>
      <c r="AW34" s="130"/>
      <c r="AX34" s="130"/>
      <c r="AY34" s="185">
        <v>1</v>
      </c>
    </row>
    <row r="35" ht="14.65" customHeight="1">
      <c r="Q35" s="540"/>
      <c r="R35" s="540"/>
      <c r="S35" s="541"/>
      <c r="T35" s="91"/>
      <c r="U35" s="548"/>
      <c r="V35" s="549"/>
      <c r="W35" s="549"/>
      <c r="X35" s="549"/>
      <c r="Y35" s="549"/>
      <c r="Z35" s="549"/>
      <c r="AA35" s="549"/>
      <c r="AB35" s="549"/>
      <c r="AC35" s="549"/>
      <c r="AD35" s="549"/>
      <c r="AE35" s="549"/>
      <c r="AF35" s="549"/>
      <c r="AG35" s="549"/>
      <c r="AH35" s="549"/>
      <c r="AI35" s="549"/>
      <c r="AJ35" s="549"/>
      <c r="AK35" s="549"/>
      <c r="AL35" s="549"/>
      <c r="AM35" s="549"/>
      <c r="AN35" s="549"/>
      <c r="AO35" s="549"/>
      <c r="AP35" s="549"/>
      <c r="AQ35" s="549"/>
      <c r="AY35" s="50">
        <v>14</v>
      </c>
    </row>
    <row r="36" ht="14.65" customHeight="1">
      <c r="Q36" s="540"/>
      <c r="R36" s="540"/>
      <c r="S36" s="158" t="s">
        <v>294</v>
      </c>
      <c r="T36" s="158"/>
      <c r="U36" s="158"/>
      <c r="V36" s="158"/>
      <c r="W36" s="158"/>
      <c r="X36" s="158"/>
      <c r="Y36" s="158"/>
      <c r="Z36" s="158"/>
      <c r="AA36" s="158"/>
      <c r="AB36" s="158"/>
      <c r="AC36" s="158"/>
      <c r="AD36" s="158"/>
      <c r="AE36" s="158"/>
      <c r="AF36" s="158"/>
      <c r="AG36" s="158"/>
      <c r="AH36" s="158"/>
      <c r="AI36" s="158"/>
      <c r="AJ36" s="158"/>
      <c r="AK36" s="158"/>
      <c r="AL36" s="158"/>
      <c r="AM36" s="158"/>
      <c r="AN36" s="158"/>
      <c r="AO36" s="158"/>
      <c r="AP36" s="158"/>
      <c r="AQ36" s="158"/>
      <c r="AR36" s="158"/>
      <c r="AS36" s="158" t="s">
        <v>295</v>
      </c>
      <c r="AY36" s="50">
        <v>14</v>
      </c>
    </row>
    <row r="37" ht="14.65" customHeight="1">
      <c r="Q37" s="540"/>
      <c r="R37" s="540"/>
      <c r="S37" s="485" t="s">
        <v>87</v>
      </c>
      <c r="T37" s="348" t="s">
        <v>422</v>
      </c>
      <c r="U37" s="550"/>
      <c r="V37" s="551" t="s">
        <v>423</v>
      </c>
      <c r="W37" s="552"/>
      <c r="X37" s="552"/>
      <c r="Y37" s="552"/>
      <c r="Z37" s="552"/>
      <c r="AA37" s="552"/>
      <c r="AB37" s="552"/>
      <c r="AC37" s="552"/>
      <c r="AD37" s="552"/>
      <c r="AE37" s="553"/>
      <c r="AF37" s="554" t="s">
        <v>424</v>
      </c>
      <c r="AG37" s="551" t="s">
        <v>423</v>
      </c>
      <c r="AH37" s="552"/>
      <c r="AI37" s="552"/>
      <c r="AJ37" s="552"/>
      <c r="AK37" s="552"/>
      <c r="AL37" s="552"/>
      <c r="AM37" s="552"/>
      <c r="AN37" s="552"/>
      <c r="AO37" s="552"/>
      <c r="AP37" s="553"/>
      <c r="AQ37" s="554" t="s">
        <v>425</v>
      </c>
      <c r="AR37" s="555" t="s">
        <v>426</v>
      </c>
      <c r="AS37" s="158"/>
      <c r="AY37" s="50">
        <v>14</v>
      </c>
    </row>
    <row r="38" s="50" customFormat="1" ht="19.949999999999999" customHeight="1">
      <c r="A38" s="53"/>
      <c r="B38" s="53"/>
      <c r="C38" s="53"/>
      <c r="D38" s="53"/>
      <c r="E38" s="53"/>
      <c r="F38" s="53"/>
      <c r="G38" s="53"/>
      <c r="H38" s="53"/>
      <c r="I38" s="53"/>
      <c r="J38" s="53"/>
      <c r="K38" s="53"/>
      <c r="L38" s="114"/>
      <c r="M38" s="61"/>
      <c r="N38" s="61"/>
      <c r="O38" s="61"/>
      <c r="P38" s="60"/>
      <c r="Q38" s="540"/>
      <c r="R38" s="540"/>
      <c r="S38" s="485"/>
      <c r="T38" s="348"/>
      <c r="U38" s="556"/>
      <c r="V38" s="158" t="s">
        <v>526</v>
      </c>
      <c r="W38" s="705" t="s">
        <v>527</v>
      </c>
      <c r="X38" s="705"/>
      <c r="Y38" s="705"/>
      <c r="Z38" s="705" t="s">
        <v>528</v>
      </c>
      <c r="AA38" s="705"/>
      <c r="AB38" s="705"/>
      <c r="AC38" s="305" t="s">
        <v>430</v>
      </c>
      <c r="AD38" s="627"/>
      <c r="AE38" s="306"/>
      <c r="AF38" s="558"/>
      <c r="AG38" s="158" t="s">
        <v>526</v>
      </c>
      <c r="AH38" s="705" t="s">
        <v>527</v>
      </c>
      <c r="AI38" s="705"/>
      <c r="AJ38" s="705"/>
      <c r="AK38" s="705" t="s">
        <v>528</v>
      </c>
      <c r="AL38" s="705"/>
      <c r="AM38" s="705"/>
      <c r="AN38" s="305" t="s">
        <v>430</v>
      </c>
      <c r="AO38" s="627"/>
      <c r="AP38" s="306"/>
      <c r="AQ38" s="558"/>
      <c r="AR38" s="559"/>
      <c r="AS38" s="158"/>
      <c r="AT38" s="57"/>
      <c r="AU38" s="57"/>
      <c r="AV38" s="57"/>
      <c r="AW38" s="57"/>
      <c r="AX38" s="57"/>
      <c r="AY38" s="50">
        <v>19</v>
      </c>
    </row>
    <row r="39" ht="19.949999999999999" customHeight="1">
      <c r="Q39" s="540"/>
      <c r="R39" s="540"/>
      <c r="S39" s="485"/>
      <c r="T39" s="348"/>
      <c r="U39" s="556"/>
      <c r="V39" s="158"/>
      <c r="W39" s="705" t="s">
        <v>529</v>
      </c>
      <c r="X39" s="705" t="s">
        <v>530</v>
      </c>
      <c r="Y39" s="705"/>
      <c r="Z39" s="705" t="s">
        <v>531</v>
      </c>
      <c r="AA39" s="705" t="s">
        <v>530</v>
      </c>
      <c r="AB39" s="705"/>
      <c r="AC39" s="311"/>
      <c r="AD39" s="628"/>
      <c r="AE39" s="312"/>
      <c r="AF39" s="558"/>
      <c r="AG39" s="158"/>
      <c r="AH39" s="705" t="s">
        <v>529</v>
      </c>
      <c r="AI39" s="705" t="s">
        <v>530</v>
      </c>
      <c r="AJ39" s="705"/>
      <c r="AK39" s="705" t="s">
        <v>531</v>
      </c>
      <c r="AL39" s="705" t="s">
        <v>530</v>
      </c>
      <c r="AM39" s="705"/>
      <c r="AN39" s="311"/>
      <c r="AO39" s="628"/>
      <c r="AP39" s="312"/>
      <c r="AQ39" s="558"/>
      <c r="AR39" s="559"/>
      <c r="AS39" s="158"/>
      <c r="AY39" s="50">
        <v>19</v>
      </c>
    </row>
    <row r="40" ht="61.950000000000003" customHeight="1">
      <c r="A40" s="152"/>
      <c r="B40" s="152" t="s">
        <v>131</v>
      </c>
      <c r="C40" s="152" t="s">
        <v>132</v>
      </c>
      <c r="D40" s="152" t="s">
        <v>133</v>
      </c>
      <c r="E40" s="482" t="s">
        <v>431</v>
      </c>
      <c r="F40" s="482" t="s">
        <v>432</v>
      </c>
      <c r="G40" s="482" t="s">
        <v>433</v>
      </c>
      <c r="H40" s="482"/>
      <c r="I40" s="482" t="s">
        <v>484</v>
      </c>
      <c r="J40" s="482" t="s">
        <v>436</v>
      </c>
      <c r="K40" s="482" t="s">
        <v>485</v>
      </c>
      <c r="L40" s="482" t="s">
        <v>412</v>
      </c>
      <c r="Q40" s="540"/>
      <c r="R40" s="540"/>
      <c r="S40" s="485"/>
      <c r="T40" s="348"/>
      <c r="U40" s="560"/>
      <c r="V40" s="158"/>
      <c r="W40" s="705"/>
      <c r="X40" s="705" t="s">
        <v>532</v>
      </c>
      <c r="Y40" s="705" t="s">
        <v>533</v>
      </c>
      <c r="Z40" s="705"/>
      <c r="AA40" s="705" t="s">
        <v>534</v>
      </c>
      <c r="AB40" s="705" t="s">
        <v>535</v>
      </c>
      <c r="AC40" s="247" t="s">
        <v>440</v>
      </c>
      <c r="AD40" s="416" t="s">
        <v>441</v>
      </c>
      <c r="AE40" s="418"/>
      <c r="AF40" s="562"/>
      <c r="AG40" s="158"/>
      <c r="AH40" s="705"/>
      <c r="AI40" s="705" t="s">
        <v>532</v>
      </c>
      <c r="AJ40" s="705" t="s">
        <v>533</v>
      </c>
      <c r="AK40" s="705"/>
      <c r="AL40" s="705" t="s">
        <v>534</v>
      </c>
      <c r="AM40" s="705" t="s">
        <v>535</v>
      </c>
      <c r="AN40" s="247" t="s">
        <v>440</v>
      </c>
      <c r="AO40" s="416" t="s">
        <v>441</v>
      </c>
      <c r="AP40" s="418"/>
      <c r="AQ40" s="562"/>
      <c r="AR40" s="563"/>
      <c r="AS40" s="158"/>
      <c r="AY40" s="50">
        <v>59</v>
      </c>
    </row>
    <row r="41" s="132" customFormat="1" ht="11.25" hidden="1" customHeight="1">
      <c r="A41" s="152"/>
      <c r="B41" s="152"/>
      <c r="C41" s="152"/>
      <c r="D41" s="152"/>
      <c r="E41" s="152"/>
      <c r="F41" s="152"/>
      <c r="G41" s="152"/>
      <c r="H41" s="152"/>
      <c r="I41" s="152"/>
      <c r="J41" s="152"/>
      <c r="K41" s="152"/>
      <c r="L41" s="482"/>
      <c r="M41" s="61"/>
      <c r="N41" s="61"/>
      <c r="O41" s="61"/>
      <c r="P41" s="564"/>
      <c r="Q41" s="565"/>
      <c r="R41" s="566">
        <v>1</v>
      </c>
      <c r="S41" s="567" t="s">
        <v>105</v>
      </c>
      <c r="T41" s="568" t="s">
        <v>106</v>
      </c>
      <c r="U41" s="569" t="str">
        <f ca="1">OFFSET(U41,0,-1)</f>
        <v>2</v>
      </c>
      <c r="V41" s="570">
        <f ca="1">OFFSET(V41,0,-1)+1</f>
        <v>3</v>
      </c>
      <c r="W41" s="570"/>
      <c r="X41" s="570"/>
      <c r="Y41" s="570"/>
      <c r="Z41" s="570"/>
      <c r="AA41" s="570"/>
      <c r="AB41" s="570">
        <f ca="1">OFFSET(AB41,0,-1)+1</f>
        <v>1</v>
      </c>
      <c r="AC41" s="570">
        <f ca="1">OFFSET(AC41,0,-1)+1</f>
        <v>2</v>
      </c>
      <c r="AD41" s="570">
        <f ca="1">OFFSET(AD41,0,-1)+1</f>
        <v>3</v>
      </c>
      <c r="AE41" s="570"/>
      <c r="AF41" s="570">
        <f ca="1">OFFSET(AF41,0,-2)+1</f>
        <v>4</v>
      </c>
      <c r="AG41" s="570">
        <f ca="1">OFFSET(AG41,0,-1)+1</f>
        <v>5</v>
      </c>
      <c r="AH41" s="570"/>
      <c r="AI41" s="570"/>
      <c r="AJ41" s="570"/>
      <c r="AK41" s="570"/>
      <c r="AL41" s="570"/>
      <c r="AM41" s="570">
        <f ca="1">OFFSET(AM41,0,-1)+1</f>
        <v>1</v>
      </c>
      <c r="AN41" s="570">
        <f ca="1">OFFSET(AN41,0,-1)+1</f>
        <v>2</v>
      </c>
      <c r="AO41" s="570">
        <f ca="1">OFFSET(AO41,0,-1)+1</f>
        <v>3</v>
      </c>
      <c r="AP41" s="570"/>
      <c r="AQ41" s="570">
        <f ca="1">OFFSET(AQ41,0,-2)+1</f>
        <v>4</v>
      </c>
      <c r="AR41" s="569">
        <f ca="1">OFFSET(AR41,0,-1)</f>
        <v>4</v>
      </c>
      <c r="AS41" s="570">
        <f ca="1">OFFSET(AS41,0,-1)+1</f>
        <v>5</v>
      </c>
      <c r="AT41" s="57"/>
      <c r="AU41" s="57"/>
      <c r="AV41" s="57"/>
      <c r="AW41" s="57"/>
      <c r="AX41" s="57"/>
      <c r="AY41" s="132">
        <v>0</v>
      </c>
    </row>
    <row r="42" ht="24" customHeight="1">
      <c r="A42" s="480" t="s">
        <v>250</v>
      </c>
      <c r="B42" s="480"/>
      <c r="C42" s="480"/>
      <c r="D42" s="480"/>
      <c r="E42" s="481">
        <v>1</v>
      </c>
      <c r="F42" s="480"/>
      <c r="G42" s="480"/>
      <c r="H42" s="480"/>
      <c r="I42" s="480"/>
      <c r="J42" s="480"/>
      <c r="K42" s="480"/>
      <c r="L42" s="482"/>
      <c r="M42" s="483"/>
      <c r="N42" s="483"/>
      <c r="O42" s="483"/>
      <c r="P42" s="60"/>
      <c r="Q42" s="144"/>
      <c r="R42" s="484"/>
      <c r="S42" s="485">
        <f>INDEX(PT_DIFFERENTIATION_NUM_NTAR,MATCH(A42,PT_DIFFERENTIATION_NTAR_ID,0))</f>
        <v>0</v>
      </c>
      <c r="T42" s="486" t="s">
        <v>119</v>
      </c>
      <c r="U42" s="487"/>
      <c r="V42" s="488"/>
      <c r="W42" s="489"/>
      <c r="X42" s="489"/>
      <c r="Y42" s="489"/>
      <c r="Z42" s="489"/>
      <c r="AA42" s="489"/>
      <c r="AB42" s="489"/>
      <c r="AC42" s="489"/>
      <c r="AD42" s="489"/>
      <c r="AE42" s="489"/>
      <c r="AF42" s="490"/>
      <c r="AG42" s="488" t="str">
        <f>INDEX(PT_DIFFERENTIATION_NTAR,MATCH(A42,PT_DIFFERENTIATION_NTAR_ID,0))</f>
        <v/>
      </c>
      <c r="AH42" s="489"/>
      <c r="AI42" s="489"/>
      <c r="AJ42" s="489"/>
      <c r="AK42" s="489"/>
      <c r="AL42" s="489"/>
      <c r="AM42" s="489"/>
      <c r="AN42" s="489"/>
      <c r="AO42" s="489"/>
      <c r="AP42" s="489"/>
      <c r="AQ42" s="489"/>
      <c r="AR42" s="490"/>
      <c r="AS42" s="49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130"/>
      <c r="AV42" s="130" t="str">
        <f t="shared" si="44"/>
        <v xml:space="preserve">Наименование тарифа</v>
      </c>
      <c r="AW42" s="130"/>
      <c r="AX42" s="130"/>
      <c r="AY42" s="50">
        <v>23</v>
      </c>
    </row>
    <row r="43" ht="24" customHeight="1">
      <c r="A43" s="480" t="s">
        <v>250</v>
      </c>
      <c r="B43" s="480" t="s">
        <v>251</v>
      </c>
      <c r="C43" s="480"/>
      <c r="D43" s="480"/>
      <c r="E43" s="492"/>
      <c r="F43" s="481">
        <v>1</v>
      </c>
      <c r="G43" s="480"/>
      <c r="H43" s="480"/>
      <c r="I43" s="480"/>
      <c r="J43" s="480"/>
      <c r="K43" s="480"/>
      <c r="L43" s="482"/>
      <c r="M43" s="483"/>
      <c r="N43" s="483"/>
      <c r="O43" s="483"/>
      <c r="P43" s="51"/>
      <c r="Q43" s="493"/>
      <c r="R43" s="494"/>
      <c r="S43" s="485" t="str">
        <f>INDEX(PT_DIFFERENTIATION_NUM_TER,MATCH(B43,PT_DIFFERENTIATION_TER_ID,0))</f>
        <v>.</v>
      </c>
      <c r="T43" s="495" t="s">
        <v>391</v>
      </c>
      <c r="U43" s="487"/>
      <c r="V43" s="488"/>
      <c r="W43" s="489"/>
      <c r="X43" s="489"/>
      <c r="Y43" s="489"/>
      <c r="Z43" s="489"/>
      <c r="AA43" s="489"/>
      <c r="AB43" s="489"/>
      <c r="AC43" s="489"/>
      <c r="AD43" s="489"/>
      <c r="AE43" s="489"/>
      <c r="AF43" s="490"/>
      <c r="AG43" s="488" t="str">
        <f>INDEX(PT_DIFFERENTIATION_TER,MATCH(B43,PT_DIFFERENTIATION_TER_ID,0))</f>
        <v/>
      </c>
      <c r="AH43" s="489"/>
      <c r="AI43" s="489"/>
      <c r="AJ43" s="489"/>
      <c r="AK43" s="489"/>
      <c r="AL43" s="489"/>
      <c r="AM43" s="489"/>
      <c r="AN43" s="489"/>
      <c r="AO43" s="489"/>
      <c r="AP43" s="489"/>
      <c r="AQ43" s="489"/>
      <c r="AR43" s="490"/>
      <c r="AS43" s="491" t="s">
        <v>392</v>
      </c>
      <c r="AU43" s="130"/>
      <c r="AV43" s="130" t="str">
        <f t="shared" si="44"/>
        <v xml:space="preserve">Территория действия тарифа</v>
      </c>
      <c r="AW43" s="130"/>
      <c r="AX43" s="130"/>
      <c r="AY43" s="50">
        <v>23</v>
      </c>
    </row>
    <row r="44" ht="24" customHeight="1">
      <c r="A44" s="480" t="s">
        <v>250</v>
      </c>
      <c r="B44" s="480" t="s">
        <v>251</v>
      </c>
      <c r="C44" s="480" t="s">
        <v>252</v>
      </c>
      <c r="D44" s="480"/>
      <c r="E44" s="492"/>
      <c r="F44" s="492"/>
      <c r="G44" s="481">
        <v>1</v>
      </c>
      <c r="H44" s="480"/>
      <c r="I44" s="480"/>
      <c r="J44" s="480"/>
      <c r="K44" s="480"/>
      <c r="L44" s="482"/>
      <c r="M44" s="483"/>
      <c r="N44" s="483"/>
      <c r="O44" s="483"/>
      <c r="P44" s="496"/>
      <c r="Q44" s="493"/>
      <c r="R44" s="494"/>
      <c r="S44" s="485" t="str">
        <f>INDEX(PT_DIFFERENTIATION_NUM_CS,MATCH(C44,PT_DIFFERENTIATION_CS_ID,0))</f>
        <v>..</v>
      </c>
      <c r="T44" s="497" t="s">
        <v>524</v>
      </c>
      <c r="U44" s="487"/>
      <c r="V44" s="488"/>
      <c r="W44" s="489"/>
      <c r="X44" s="489"/>
      <c r="Y44" s="489"/>
      <c r="Z44" s="489"/>
      <c r="AA44" s="489"/>
      <c r="AB44" s="489"/>
      <c r="AC44" s="489"/>
      <c r="AD44" s="489"/>
      <c r="AE44" s="489"/>
      <c r="AF44" s="490"/>
      <c r="AG44" s="488" t="str">
        <f>INDEX(PT_DIFFERENTIATION_CS,MATCH(C44,PT_DIFFERENTIATION_CS_ID,0))</f>
        <v/>
      </c>
      <c r="AH44" s="489"/>
      <c r="AI44" s="489"/>
      <c r="AJ44" s="489"/>
      <c r="AK44" s="489"/>
      <c r="AL44" s="489"/>
      <c r="AM44" s="489"/>
      <c r="AN44" s="489"/>
      <c r="AO44" s="489"/>
      <c r="AP44" s="489"/>
      <c r="AQ44" s="489"/>
      <c r="AR44" s="490"/>
      <c r="AS44" s="491" t="s">
        <v>525</v>
      </c>
      <c r="AU44" s="130"/>
      <c r="AV44" s="130" t="str">
        <f t="shared" si="44"/>
        <v xml:space="preserve">Наименование централизованной системы горячего водоснабжения</v>
      </c>
      <c r="AW44" s="130"/>
      <c r="AX44" s="130"/>
      <c r="AY44" s="50">
        <v>23</v>
      </c>
    </row>
    <row r="45" ht="24" customHeight="1">
      <c r="A45" s="480" t="s">
        <v>250</v>
      </c>
      <c r="B45" s="480" t="s">
        <v>251</v>
      </c>
      <c r="C45" s="480" t="s">
        <v>252</v>
      </c>
      <c r="D45" s="480" t="s">
        <v>537</v>
      </c>
      <c r="E45" s="492"/>
      <c r="F45" s="492"/>
      <c r="G45" s="492"/>
      <c r="H45" s="492"/>
      <c r="I45" s="499" t="str">
        <f>S44&amp;".1"</f>
        <v>...1</v>
      </c>
      <c r="J45" s="480"/>
      <c r="K45" s="480"/>
      <c r="L45" s="482"/>
      <c r="P45" s="133">
        <v>1</v>
      </c>
      <c r="Q45" s="133"/>
      <c r="R45" s="500"/>
      <c r="S45" s="485" t="str">
        <f>$I45</f>
        <v>...1</v>
      </c>
      <c r="T45" s="501" t="s">
        <v>477</v>
      </c>
      <c r="U45" s="487"/>
      <c r="V45" s="677"/>
      <c r="W45" s="678"/>
      <c r="X45" s="678"/>
      <c r="Y45" s="678"/>
      <c r="Z45" s="678"/>
      <c r="AA45" s="678"/>
      <c r="AB45" s="678"/>
      <c r="AC45" s="678"/>
      <c r="AD45" s="678"/>
      <c r="AE45" s="678"/>
      <c r="AF45" s="679"/>
      <c r="AG45" s="680"/>
      <c r="AH45" s="681"/>
      <c r="AI45" s="681"/>
      <c r="AJ45" s="681"/>
      <c r="AK45" s="681"/>
      <c r="AL45" s="681"/>
      <c r="AM45" s="681"/>
      <c r="AN45" s="681"/>
      <c r="AO45" s="681"/>
      <c r="AP45" s="681"/>
      <c r="AQ45" s="681"/>
      <c r="AR45" s="682"/>
      <c r="AS45" s="491" t="s">
        <v>478</v>
      </c>
      <c r="AU45" s="130"/>
      <c r="AV45" s="130" t="str">
        <f t="shared" si="44"/>
        <v xml:space="preserve">Наименование признака дифференциации</v>
      </c>
      <c r="AW45" s="130"/>
      <c r="AX45" s="130"/>
      <c r="AY45" s="50">
        <v>23</v>
      </c>
    </row>
    <row r="46" ht="24" customHeight="1">
      <c r="A46" s="480" t="s">
        <v>250</v>
      </c>
      <c r="B46" s="480" t="s">
        <v>251</v>
      </c>
      <c r="C46" s="480" t="s">
        <v>252</v>
      </c>
      <c r="D46" s="480" t="s">
        <v>537</v>
      </c>
      <c r="E46" s="492"/>
      <c r="F46" s="492"/>
      <c r="G46" s="492"/>
      <c r="H46" s="492"/>
      <c r="I46" s="504"/>
      <c r="J46" s="499" t="str">
        <f>I45&amp;".1"</f>
        <v>...1.1</v>
      </c>
      <c r="K46" s="480"/>
      <c r="L46" s="482" t="s">
        <v>400</v>
      </c>
      <c r="P46" s="133"/>
      <c r="Q46" s="133">
        <v>1</v>
      </c>
      <c r="R46" s="505"/>
      <c r="S46" s="485" t="str">
        <f>$J46</f>
        <v>...1.1</v>
      </c>
      <c r="T46" s="506" t="s">
        <v>401</v>
      </c>
      <c r="U46" s="487"/>
      <c r="V46" s="432"/>
      <c r="W46" s="502"/>
      <c r="X46" s="502"/>
      <c r="Y46" s="502"/>
      <c r="Z46" s="502"/>
      <c r="AA46" s="502"/>
      <c r="AB46" s="502"/>
      <c r="AC46" s="502"/>
      <c r="AD46" s="502"/>
      <c r="AE46" s="502"/>
      <c r="AF46" s="503"/>
      <c r="AG46" s="432"/>
      <c r="AH46" s="502"/>
      <c r="AI46" s="502"/>
      <c r="AJ46" s="502"/>
      <c r="AK46" s="502"/>
      <c r="AL46" s="502"/>
      <c r="AM46" s="502"/>
      <c r="AN46" s="502"/>
      <c r="AO46" s="502"/>
      <c r="AP46" s="502"/>
      <c r="AQ46" s="502"/>
      <c r="AR46" s="503"/>
      <c r="AS46" s="618" t="s">
        <v>479</v>
      </c>
      <c r="AU46" s="130"/>
      <c r="AV46" s="130" t="str">
        <f t="shared" si="44"/>
        <v xml:space="preserve">Группа потребителей</v>
      </c>
      <c r="AW46" s="130"/>
      <c r="AX46" s="130"/>
      <c r="AY46" s="50">
        <v>23</v>
      </c>
    </row>
    <row r="47" ht="24" customHeight="1">
      <c r="A47" s="480" t="s">
        <v>250</v>
      </c>
      <c r="B47" s="480" t="s">
        <v>251</v>
      </c>
      <c r="C47" s="480" t="s">
        <v>252</v>
      </c>
      <c r="D47" s="480" t="s">
        <v>537</v>
      </c>
      <c r="E47" s="492"/>
      <c r="F47" s="492"/>
      <c r="G47" s="492"/>
      <c r="H47" s="492"/>
      <c r="I47" s="504"/>
      <c r="J47" s="504"/>
      <c r="K47" s="499" t="str">
        <f>J46&amp;".1"</f>
        <v>...1.1.1</v>
      </c>
      <c r="L47" s="482"/>
      <c r="P47" s="133"/>
      <c r="Q47" s="133"/>
      <c r="R47" s="505">
        <v>1</v>
      </c>
      <c r="S47" s="485" t="str">
        <f>$K47</f>
        <v>...1.1.1</v>
      </c>
      <c r="T47" s="683"/>
      <c r="U47" s="487"/>
      <c r="V47" s="534"/>
      <c r="W47" s="534"/>
      <c r="X47" s="534"/>
      <c r="Y47" s="534"/>
      <c r="Z47" s="534"/>
      <c r="AA47" s="534"/>
      <c r="AB47" s="535"/>
      <c r="AC47" s="536"/>
      <c r="AD47" s="537" t="s">
        <v>64</v>
      </c>
      <c r="AE47" s="536"/>
      <c r="AF47" s="537" t="s">
        <v>64</v>
      </c>
      <c r="AG47" s="508"/>
      <c r="AH47" s="508"/>
      <c r="AI47" s="508"/>
      <c r="AJ47" s="508"/>
      <c r="AK47" s="508"/>
      <c r="AL47" s="508"/>
      <c r="AM47" s="510"/>
      <c r="AN47" s="511"/>
      <c r="AO47" s="225" t="s">
        <v>64</v>
      </c>
      <c r="AP47" s="571"/>
      <c r="AQ47" s="225" t="s">
        <v>19</v>
      </c>
      <c r="AR47" s="684"/>
      <c r="AS47" s="68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 xml:space="preserve">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 t="e">
        <f>STRCHECKDATE(V48:AR48)</f>
        <v>#NAME?</v>
      </c>
      <c r="AU47" s="130"/>
      <c r="AV47" s="130" t="str">
        <f t="shared" si="44"/>
        <v/>
      </c>
      <c r="AW47" s="130"/>
      <c r="AX47" s="130"/>
      <c r="AY47" s="50">
        <v>23</v>
      </c>
    </row>
    <row r="48" ht="0" customHeight="1">
      <c r="A48" s="480" t="s">
        <v>250</v>
      </c>
      <c r="B48" s="480" t="s">
        <v>251</v>
      </c>
      <c r="C48" s="480" t="s">
        <v>252</v>
      </c>
      <c r="D48" s="480" t="s">
        <v>537</v>
      </c>
      <c r="E48" s="492"/>
      <c r="F48" s="492"/>
      <c r="G48" s="492"/>
      <c r="H48" s="492"/>
      <c r="I48" s="504"/>
      <c r="J48" s="504"/>
      <c r="K48" s="499"/>
      <c r="L48" s="482"/>
      <c r="P48" s="133"/>
      <c r="Q48" s="133"/>
      <c r="R48" s="505"/>
      <c r="S48" s="459"/>
      <c r="T48" s="487"/>
      <c r="U48" s="487"/>
      <c r="V48" s="534"/>
      <c r="W48" s="534"/>
      <c r="X48" s="534"/>
      <c r="Y48" s="534"/>
      <c r="Z48" s="534"/>
      <c r="AA48" s="534"/>
      <c r="AB48" s="513" t="str">
        <f>AC47&amp;"-"&amp;AE47</f>
        <v>-</v>
      </c>
      <c r="AC48" s="537"/>
      <c r="AD48" s="537"/>
      <c r="AE48" s="537"/>
      <c r="AF48" s="537"/>
      <c r="AG48" s="509"/>
      <c r="AH48" s="509"/>
      <c r="AI48" s="509"/>
      <c r="AJ48" s="509"/>
      <c r="AK48" s="509"/>
      <c r="AL48" s="509"/>
      <c r="AM48" s="513" t="str">
        <f>AN47&amp;"-"&amp;AP47</f>
        <v>-</v>
      </c>
      <c r="AN48" s="514"/>
      <c r="AO48" s="225"/>
      <c r="AP48" s="573"/>
      <c r="AQ48" s="225"/>
      <c r="AR48" s="686"/>
      <c r="AS48" s="685"/>
      <c r="AU48" s="130"/>
      <c r="AV48" s="130" t="str">
        <f t="shared" si="44"/>
        <v/>
      </c>
      <c r="AW48" s="130"/>
      <c r="AX48" s="130"/>
      <c r="AY48" s="50">
        <v>0</v>
      </c>
    </row>
    <row r="49" ht="21" customHeight="1">
      <c r="A49" s="480" t="s">
        <v>250</v>
      </c>
      <c r="B49" s="480" t="s">
        <v>251</v>
      </c>
      <c r="C49" s="480" t="s">
        <v>252</v>
      </c>
      <c r="D49" s="480" t="s">
        <v>537</v>
      </c>
      <c r="E49" s="492"/>
      <c r="F49" s="492"/>
      <c r="G49" s="492"/>
      <c r="H49" s="492"/>
      <c r="I49" s="504"/>
      <c r="J49" s="499"/>
      <c r="K49" s="480"/>
      <c r="L49" s="482"/>
      <c r="P49" s="133"/>
      <c r="Q49" s="133"/>
      <c r="R49" s="500"/>
      <c r="S49" s="516"/>
      <c r="T49" s="520" t="s">
        <v>480</v>
      </c>
      <c r="U49" s="215"/>
      <c r="V49" s="215"/>
      <c r="W49" s="215"/>
      <c r="X49" s="215"/>
      <c r="Y49" s="215"/>
      <c r="Z49" s="215"/>
      <c r="AA49" s="215"/>
      <c r="AB49" s="215"/>
      <c r="AC49" s="215"/>
      <c r="AD49" s="215"/>
      <c r="AE49" s="215"/>
      <c r="AF49" s="215"/>
      <c r="AG49" s="215"/>
      <c r="AH49" s="215"/>
      <c r="AI49" s="215"/>
      <c r="AJ49" s="215"/>
      <c r="AK49" s="215"/>
      <c r="AL49" s="215"/>
      <c r="AM49" s="215"/>
      <c r="AN49" s="215"/>
      <c r="AO49" s="215"/>
      <c r="AP49" s="215"/>
      <c r="AQ49" s="215"/>
      <c r="AR49" s="215"/>
      <c r="AS49" s="491" t="s">
        <v>481</v>
      </c>
      <c r="AU49" s="130"/>
      <c r="AV49" s="130" t="str">
        <f t="shared" si="44"/>
        <v xml:space="preserve">Добавить значение признака дифференциации</v>
      </c>
      <c r="AW49" s="130"/>
      <c r="AX49" s="130"/>
      <c r="AY49" s="50">
        <v>20</v>
      </c>
    </row>
    <row r="50" ht="22" customHeight="1">
      <c r="A50" s="480" t="s">
        <v>250</v>
      </c>
      <c r="B50" s="480" t="s">
        <v>251</v>
      </c>
      <c r="C50" s="480" t="s">
        <v>252</v>
      </c>
      <c r="D50" s="480" t="s">
        <v>537</v>
      </c>
      <c r="E50" s="492"/>
      <c r="F50" s="492"/>
      <c r="G50" s="492"/>
      <c r="H50" s="492"/>
      <c r="I50" s="499"/>
      <c r="J50" s="480"/>
      <c r="K50" s="480"/>
      <c r="L50" s="482"/>
      <c r="P50" s="133"/>
      <c r="Q50" s="133"/>
      <c r="R50" s="500"/>
      <c r="S50" s="516"/>
      <c r="T50" s="524" t="s">
        <v>406</v>
      </c>
      <c r="U50" s="215"/>
      <c r="V50" s="215"/>
      <c r="W50" s="215"/>
      <c r="X50" s="215"/>
      <c r="Y50" s="215"/>
      <c r="Z50" s="215"/>
      <c r="AA50" s="215"/>
      <c r="AB50" s="215"/>
      <c r="AC50" s="215"/>
      <c r="AD50" s="215"/>
      <c r="AE50" s="215"/>
      <c r="AF50" s="521"/>
      <c r="AG50" s="215"/>
      <c r="AH50" s="215"/>
      <c r="AI50" s="215"/>
      <c r="AJ50" s="215"/>
      <c r="AK50" s="215"/>
      <c r="AL50" s="215"/>
      <c r="AM50" s="215"/>
      <c r="AN50" s="215"/>
      <c r="AO50" s="215"/>
      <c r="AP50" s="215"/>
      <c r="AQ50" s="521"/>
      <c r="AR50" s="215"/>
      <c r="AS50" s="687"/>
      <c r="AU50" s="130"/>
      <c r="AV50" s="130" t="str">
        <f t="shared" si="44"/>
        <v xml:space="preserve">Добавить группу потребителей</v>
      </c>
      <c r="AW50" s="130"/>
      <c r="AX50" s="130"/>
      <c r="AY50" s="50">
        <v>21</v>
      </c>
    </row>
    <row r="51" ht="22" customHeight="1">
      <c r="A51" s="480" t="s">
        <v>250</v>
      </c>
      <c r="B51" s="480" t="s">
        <v>251</v>
      </c>
      <c r="C51" s="480" t="s">
        <v>252</v>
      </c>
      <c r="D51" s="480" t="s">
        <v>537</v>
      </c>
      <c r="E51" s="492"/>
      <c r="F51" s="492"/>
      <c r="G51" s="492"/>
      <c r="H51" s="481"/>
      <c r="I51" s="480"/>
      <c r="J51" s="480"/>
      <c r="K51" s="480"/>
      <c r="L51" s="482"/>
      <c r="M51" s="483"/>
      <c r="N51" s="483"/>
      <c r="O51" s="53"/>
      <c r="P51" s="144"/>
      <c r="Q51" s="523"/>
      <c r="R51" s="484"/>
      <c r="S51" s="516"/>
      <c r="T51" s="688" t="s">
        <v>482</v>
      </c>
      <c r="U51" s="215"/>
      <c r="V51" s="215"/>
      <c r="W51" s="215"/>
      <c r="X51" s="215"/>
      <c r="Y51" s="215"/>
      <c r="Z51" s="215"/>
      <c r="AA51" s="215"/>
      <c r="AB51" s="215"/>
      <c r="AC51" s="215"/>
      <c r="AD51" s="215"/>
      <c r="AE51" s="215"/>
      <c r="AF51" s="521"/>
      <c r="AG51" s="215"/>
      <c r="AH51" s="215"/>
      <c r="AI51" s="215"/>
      <c r="AJ51" s="215"/>
      <c r="AK51" s="215"/>
      <c r="AL51" s="215"/>
      <c r="AM51" s="215"/>
      <c r="AN51" s="215"/>
      <c r="AO51" s="215"/>
      <c r="AP51" s="215"/>
      <c r="AQ51" s="521"/>
      <c r="AR51" s="215"/>
      <c r="AS51" s="522"/>
      <c r="AU51" s="130"/>
      <c r="AV51" s="130" t="str">
        <f t="shared" si="44"/>
        <v xml:space="preserve">Добавить наименование признака дифференциации</v>
      </c>
      <c r="AW51" s="130"/>
      <c r="AX51" s="130"/>
      <c r="AY51" s="50">
        <v>21</v>
      </c>
    </row>
    <row r="52" s="57" customFormat="1" ht="0" customHeight="1">
      <c r="A52" s="134" t="s">
        <v>250</v>
      </c>
      <c r="B52" s="134" t="s">
        <v>251</v>
      </c>
      <c r="C52" s="134"/>
      <c r="D52" s="134"/>
      <c r="E52" s="492"/>
      <c r="F52" s="481"/>
      <c r="G52" s="134"/>
      <c r="H52" s="134"/>
      <c r="I52" s="134"/>
      <c r="J52" s="134"/>
      <c r="K52" s="134"/>
      <c r="L52" s="213"/>
      <c r="M52" s="529"/>
      <c r="N52" s="529"/>
      <c r="P52" s="168"/>
      <c r="Q52" s="525"/>
      <c r="R52" s="168"/>
      <c r="S52" s="530"/>
      <c r="T52" s="533" t="s">
        <v>409</v>
      </c>
      <c r="U52" s="532"/>
      <c r="V52" s="532"/>
      <c r="W52" s="532"/>
      <c r="X52" s="532"/>
      <c r="Y52" s="532"/>
      <c r="Z52" s="532"/>
      <c r="AA52" s="532"/>
      <c r="AB52" s="532"/>
      <c r="AC52" s="532"/>
      <c r="AD52" s="532"/>
      <c r="AE52" s="532"/>
      <c r="AF52" s="532"/>
      <c r="AG52" s="532"/>
      <c r="AH52" s="532"/>
      <c r="AI52" s="532"/>
      <c r="AJ52" s="532"/>
      <c r="AK52" s="532"/>
      <c r="AL52" s="532"/>
      <c r="AM52" s="532"/>
      <c r="AN52" s="532"/>
      <c r="AO52" s="532"/>
      <c r="AP52" s="532"/>
      <c r="AQ52" s="532"/>
      <c r="AR52" s="532"/>
      <c r="AS52" s="532"/>
      <c r="AU52" s="130"/>
      <c r="AV52" s="130" t="str">
        <f t="shared" si="44"/>
        <v xml:space="preserve">Добавить централизованную систему для дифференциации</v>
      </c>
      <c r="AW52" s="130"/>
      <c r="AX52" s="130"/>
      <c r="AY52" s="57">
        <v>0</v>
      </c>
    </row>
    <row r="53" s="57" customFormat="1" ht="0" customHeight="1">
      <c r="A53" s="134" t="s">
        <v>250</v>
      </c>
      <c r="B53" s="134"/>
      <c r="C53" s="134"/>
      <c r="D53" s="134"/>
      <c r="E53" s="481"/>
      <c r="F53" s="134"/>
      <c r="G53" s="134"/>
      <c r="H53" s="134"/>
      <c r="I53" s="134"/>
      <c r="J53" s="134"/>
      <c r="K53" s="134"/>
      <c r="L53" s="213"/>
      <c r="M53" s="529"/>
      <c r="N53" s="529"/>
      <c r="O53" s="57"/>
      <c r="P53" s="168"/>
      <c r="Q53" s="525"/>
      <c r="R53" s="168"/>
      <c r="S53" s="530"/>
      <c r="T53" s="533" t="s">
        <v>410</v>
      </c>
      <c r="U53" s="532"/>
      <c r="V53" s="532"/>
      <c r="W53" s="532"/>
      <c r="X53" s="532"/>
      <c r="Y53" s="532"/>
      <c r="Z53" s="532"/>
      <c r="AA53" s="532"/>
      <c r="AB53" s="532"/>
      <c r="AC53" s="532"/>
      <c r="AD53" s="532"/>
      <c r="AE53" s="532"/>
      <c r="AF53" s="532"/>
      <c r="AG53" s="532"/>
      <c r="AH53" s="532"/>
      <c r="AI53" s="532"/>
      <c r="AJ53" s="532"/>
      <c r="AK53" s="532"/>
      <c r="AL53" s="532"/>
      <c r="AM53" s="532"/>
      <c r="AN53" s="532"/>
      <c r="AO53" s="532"/>
      <c r="AP53" s="532"/>
      <c r="AQ53" s="532"/>
      <c r="AR53" s="532"/>
      <c r="AS53" s="532"/>
      <c r="AU53" s="130"/>
      <c r="AV53" s="130" t="str">
        <f t="shared" si="44"/>
        <v xml:space="preserve">Добавить территорию для дифференциации</v>
      </c>
      <c r="AW53" s="130"/>
      <c r="AX53" s="130"/>
      <c r="AY53" s="57">
        <v>0</v>
      </c>
    </row>
    <row r="54" s="57" customFormat="1" ht="0" customHeight="1">
      <c r="A54" s="134"/>
      <c r="B54" s="134"/>
      <c r="C54" s="134"/>
      <c r="D54" s="134"/>
      <c r="E54" s="134"/>
      <c r="F54" s="134"/>
      <c r="G54" s="134"/>
      <c r="H54" s="134"/>
      <c r="I54" s="134"/>
      <c r="J54" s="134"/>
      <c r="K54" s="134"/>
      <c r="L54" s="213"/>
      <c r="M54" s="529"/>
      <c r="N54" s="529"/>
      <c r="P54" s="168"/>
      <c r="Q54" s="525"/>
      <c r="R54" s="168"/>
      <c r="S54" s="530"/>
      <c r="T54" s="533" t="s">
        <v>442</v>
      </c>
      <c r="U54" s="532"/>
      <c r="V54" s="532"/>
      <c r="W54" s="532"/>
      <c r="X54" s="532"/>
      <c r="Y54" s="532"/>
      <c r="Z54" s="532"/>
      <c r="AA54" s="532"/>
      <c r="AB54" s="532"/>
      <c r="AC54" s="532"/>
      <c r="AD54" s="532"/>
      <c r="AE54" s="532"/>
      <c r="AF54" s="532"/>
      <c r="AG54" s="532"/>
      <c r="AH54" s="532"/>
      <c r="AI54" s="532"/>
      <c r="AJ54" s="532"/>
      <c r="AK54" s="532"/>
      <c r="AL54" s="532"/>
      <c r="AM54" s="532"/>
      <c r="AN54" s="532"/>
      <c r="AO54" s="532"/>
      <c r="AP54" s="532"/>
      <c r="AQ54" s="532"/>
      <c r="AR54" s="532"/>
      <c r="AS54" s="532"/>
      <c r="AU54" s="130"/>
      <c r="AV54" s="130" t="str">
        <f t="shared" si="44"/>
        <v xml:space="preserve">Добавить наименование тарифа</v>
      </c>
      <c r="AW54" s="130"/>
      <c r="AX54" s="130"/>
      <c r="AY54" s="57">
        <v>0</v>
      </c>
    </row>
    <row r="55" ht="11.5" customHeight="1">
      <c r="M55" s="53"/>
      <c r="N55" s="53"/>
      <c r="O55" s="53"/>
      <c r="P55" s="50"/>
      <c r="Q55" s="50"/>
      <c r="R55" s="50"/>
      <c r="S55" s="50"/>
      <c r="AT55" s="50"/>
      <c r="AU55" s="50"/>
      <c r="AV55" s="50"/>
      <c r="AW55" s="50"/>
      <c r="AX55" s="50"/>
      <c r="AY55" s="50">
        <v>11</v>
      </c>
    </row>
    <row r="56" ht="14.65" customHeight="1">
      <c r="O56" s="53"/>
      <c r="S56" s="477"/>
      <c r="T56" s="575"/>
      <c r="U56" s="575"/>
      <c r="V56" s="575"/>
      <c r="W56" s="575"/>
      <c r="X56" s="575"/>
      <c r="Y56" s="575"/>
      <c r="Z56" s="575"/>
      <c r="AA56" s="575"/>
      <c r="AB56" s="575"/>
      <c r="AC56" s="575"/>
      <c r="AD56" s="575"/>
      <c r="AE56" s="575"/>
      <c r="AF56" s="575"/>
      <c r="AG56" s="575"/>
      <c r="AH56" s="575"/>
      <c r="AI56" s="575"/>
      <c r="AJ56" s="575"/>
      <c r="AK56" s="575"/>
      <c r="AL56" s="575"/>
      <c r="AM56" s="575"/>
      <c r="AN56" s="575"/>
      <c r="AO56" s="575"/>
      <c r="AP56" s="575"/>
      <c r="AQ56" s="575"/>
      <c r="AR56" s="575"/>
      <c r="AS56" s="575"/>
      <c r="AY56" s="50">
        <v>14</v>
      </c>
    </row>
    <row r="57" ht="14.65" customHeight="1">
      <c r="O57" s="53"/>
      <c r="AY57" s="50">
        <v>14</v>
      </c>
    </row>
    <row r="58" ht="14.65" customHeight="1">
      <c r="O58" s="53"/>
      <c r="S58" s="477"/>
      <c r="T58" s="575"/>
      <c r="U58" s="575"/>
      <c r="V58" s="575"/>
      <c r="W58" s="575"/>
      <c r="X58" s="575"/>
      <c r="Y58" s="575"/>
      <c r="Z58" s="575"/>
      <c r="AA58" s="575"/>
      <c r="AB58" s="575"/>
      <c r="AC58" s="575"/>
      <c r="AD58" s="575"/>
      <c r="AE58" s="575"/>
      <c r="AF58" s="575"/>
      <c r="AG58" s="575"/>
      <c r="AH58" s="575"/>
      <c r="AI58" s="575"/>
      <c r="AJ58" s="575"/>
      <c r="AK58" s="575"/>
      <c r="AL58" s="575"/>
      <c r="AM58" s="575"/>
      <c r="AN58" s="575"/>
      <c r="AO58" s="575"/>
      <c r="AP58" s="575"/>
      <c r="AQ58" s="575"/>
      <c r="AR58" s="575"/>
      <c r="AS58" s="575"/>
      <c r="AY58" s="50">
        <v>14</v>
      </c>
    </row>
    <row r="59" ht="22.5" hidden="1" customHeight="1">
      <c r="A59" s="53" t="s">
        <v>81</v>
      </c>
      <c r="B59" s="53">
        <v>0</v>
      </c>
      <c r="C59" s="53">
        <v>0</v>
      </c>
      <c r="D59" s="53">
        <v>0</v>
      </c>
      <c r="E59" s="53">
        <v>0</v>
      </c>
      <c r="F59" s="53">
        <v>0</v>
      </c>
      <c r="G59" s="53">
        <v>0</v>
      </c>
      <c r="H59" s="53">
        <v>0</v>
      </c>
      <c r="I59" s="53">
        <v>0</v>
      </c>
      <c r="J59" s="53">
        <v>0</v>
      </c>
      <c r="K59" s="53">
        <v>0</v>
      </c>
      <c r="L59" s="114">
        <v>0</v>
      </c>
      <c r="M59" s="61">
        <v>0</v>
      </c>
      <c r="N59" s="61">
        <v>0</v>
      </c>
      <c r="O59" s="61">
        <v>0</v>
      </c>
      <c r="P59" s="60">
        <v>3</v>
      </c>
      <c r="Q59" s="479">
        <v>3</v>
      </c>
      <c r="R59" s="479">
        <v>3</v>
      </c>
      <c r="S59" s="86">
        <v>12</v>
      </c>
      <c r="T59" s="50">
        <v>35</v>
      </c>
      <c r="U59" s="50">
        <v>0</v>
      </c>
      <c r="V59" s="50">
        <v>0</v>
      </c>
      <c r="W59" s="50">
        <v>0</v>
      </c>
      <c r="X59" s="50">
        <v>0</v>
      </c>
      <c r="Y59" s="50">
        <v>0</v>
      </c>
      <c r="Z59" s="50">
        <v>0</v>
      </c>
      <c r="AA59" s="50">
        <v>0</v>
      </c>
      <c r="AB59" s="50">
        <v>0</v>
      </c>
      <c r="AC59" s="50">
        <v>0</v>
      </c>
      <c r="AD59" s="50">
        <v>0</v>
      </c>
      <c r="AE59" s="50">
        <v>0</v>
      </c>
      <c r="AF59" s="50">
        <v>0</v>
      </c>
      <c r="AG59" s="50">
        <v>19</v>
      </c>
      <c r="AH59" s="50">
        <v>19</v>
      </c>
      <c r="AI59" s="50">
        <v>19</v>
      </c>
      <c r="AJ59" s="50">
        <v>19</v>
      </c>
      <c r="AK59" s="50">
        <v>19</v>
      </c>
      <c r="AL59" s="50">
        <v>19</v>
      </c>
      <c r="AM59" s="50">
        <v>19</v>
      </c>
      <c r="AN59" s="50">
        <v>11</v>
      </c>
      <c r="AO59" s="50">
        <v>3</v>
      </c>
      <c r="AP59" s="50">
        <v>11</v>
      </c>
      <c r="AQ59" s="50">
        <v>0</v>
      </c>
      <c r="AR59" s="50">
        <v>4</v>
      </c>
      <c r="AS59" s="50">
        <v>115</v>
      </c>
      <c r="AT59" s="57">
        <v>10</v>
      </c>
      <c r="AU59" s="57">
        <v>10</v>
      </c>
      <c r="AV59" s="57">
        <v>10</v>
      </c>
      <c r="AW59" s="57">
        <v>10</v>
      </c>
      <c r="AX59" s="57">
        <v>10</v>
      </c>
      <c r="AY59" s="50">
        <v>23</v>
      </c>
    </row>
  </sheetData>
  <sheetProtection autoFilter="0" deleteColumns="1" deleteRows="1" formatCells="1" formatColumns="0" formatRows="0" insertColumns="1" insertHyperlinks="1" insertRows="1" objects="0" pivotTables="1" scenarios="0" selectLockedCells="0" selectUnlockedCells="0" sheet="1" sort="1"/>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D7:AD8"/>
    <mergeCell ref="AE7:AE8"/>
    <mergeCell ref="AF7:AF8"/>
    <mergeCell ref="AN7:AN8"/>
    <mergeCell ref="AO7:AO8"/>
    <mergeCell ref="AP7:AP8"/>
    <mergeCell ref="AQ7:AQ8"/>
    <mergeCell ref="AS7:AS8"/>
    <mergeCell ref="AN15:AN16"/>
    <mergeCell ref="AO15:AO16"/>
    <mergeCell ref="AP15:AP16"/>
    <mergeCell ref="AQ15:AQ16"/>
    <mergeCell ref="S24:AP24"/>
    <mergeCell ref="S25:AP25"/>
    <mergeCell ref="S27:T27"/>
    <mergeCell ref="V27:AE27"/>
    <mergeCell ref="AG27:AP27"/>
    <mergeCell ref="S28:T28"/>
    <mergeCell ref="V28:AE28"/>
    <mergeCell ref="AG28:AP28"/>
    <mergeCell ref="S29:T29"/>
    <mergeCell ref="V29:AE29"/>
    <mergeCell ref="AG29:AP29"/>
    <mergeCell ref="S30:T30"/>
    <mergeCell ref="V30:AE30"/>
    <mergeCell ref="AG30:AP30"/>
    <mergeCell ref="S32:T32"/>
    <mergeCell ref="V32:AE32"/>
    <mergeCell ref="AG32:AP32"/>
    <mergeCell ref="S33:T33"/>
    <mergeCell ref="V33:AE33"/>
    <mergeCell ref="AG33:AP33"/>
    <mergeCell ref="V35:AF35"/>
    <mergeCell ref="AG35:AQ35"/>
    <mergeCell ref="S36:AR36"/>
    <mergeCell ref="AS36:AS40"/>
    <mergeCell ref="S37:S40"/>
    <mergeCell ref="T37:T40"/>
    <mergeCell ref="V37:AE37"/>
    <mergeCell ref="AF37:AF40"/>
    <mergeCell ref="AG37:AP37"/>
    <mergeCell ref="AQ37:AQ40"/>
    <mergeCell ref="AR37:AR40"/>
    <mergeCell ref="V38:V40"/>
    <mergeCell ref="W38:Y38"/>
    <mergeCell ref="Z38:AB38"/>
    <mergeCell ref="AC38:AE39"/>
    <mergeCell ref="AG38:AG40"/>
    <mergeCell ref="AH38:AJ38"/>
    <mergeCell ref="AK38:AM38"/>
    <mergeCell ref="AN38:AP39"/>
    <mergeCell ref="W39:W40"/>
    <mergeCell ref="X39:Y39"/>
    <mergeCell ref="Z39:Z40"/>
    <mergeCell ref="AA39:AB39"/>
    <mergeCell ref="AH39:AH40"/>
    <mergeCell ref="AI39:AJ39"/>
    <mergeCell ref="AK39:AK40"/>
    <mergeCell ref="AL39:AM39"/>
    <mergeCell ref="AD40:AE40"/>
    <mergeCell ref="AO40:AP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K47:K48"/>
    <mergeCell ref="AC47:AC48"/>
    <mergeCell ref="AD47:AD48"/>
    <mergeCell ref="AE47:AE48"/>
    <mergeCell ref="AF47:AF48"/>
    <mergeCell ref="AN47:AN48"/>
    <mergeCell ref="AO47:AO48"/>
    <mergeCell ref="AP47:AP48"/>
    <mergeCell ref="AQ47:AQ48"/>
    <mergeCell ref="AS47:AS48"/>
    <mergeCell ref="T56:AS56"/>
    <mergeCell ref="T58:AS58"/>
  </mergeCells>
  <dataValidations count="4" disablePrompts="0">
    <dataValidation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type="none" allowBlank="1" errorStyle="stop" imeMode="noControl" operator="between" promptTitle="checkPeriodRange" showDropDown="0" showErrorMessage="0" showInputMessage="0"/>
    <dataValidation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S131117:AS131123 S196653:AS196659 S262189:AS262195 S327725:AS327731 S393261:AS393267 S458797:AS458803 S524333:AS524339 S589869:AS589875 S655405:AS655411 S720941:AS720947 S786477:AS786483 S852013:AS852019 S917549:AS917555 S983085:AS983091 S65581:AS65587"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EC0053-00D1-4213-B078-0097009900DB}" type="list" allowBlank="1" error="Выберите значение из списка" errorStyle="stop" errorTitle="Ошибка" imeMode="noControl" operator="between" showDropDown="0" showErrorMessage="1" showInputMessage="1">
          <x14:formula1>
            <xm:f>kind_of_scheme_in</xm:f>
          </x14:formula1>
          <xm: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xm:sqref>
        </x14:dataValidation>
        <x14:dataValidation xr:uid="{000E0057-00AF-4251-8E88-006C006900A5}" type="textLength" allowBlank="1" error="Допускается ввод не более 900 символов!" errorStyle="stop" errorTitle="Ошибка" imeMode="noControl" operator="lessThanOrEqual" showDropDown="0" showErrorMessage="1" showInputMessage="1">
          <x14:formula1>
            <xm:f>900</xm:f>
          </x14:formula1>
          <xm: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xm:sqref>
        </x14:dataValidation>
        <x14:dataValidation xr:uid="{004D00DF-00BB-4A05-B687-00FA00E40070}" type="list" allowBlank="1" error="Выберите значение из списка" errorStyle="stop" errorTitle="Ошибка" imeMode="noControl" operator="between" showDropDown="0" showErrorMessage="1" showInputMessage="1">
          <x14:formula1>
            <xm:f>kind_of_heat_transfer</xm:f>
          </x14:formula1>
          <xm:sqref>T65579 T131115 T196651 T262187 T327723 T393259 T458795 T524331 T589867 T655403 T720939 T786475 T852011 T917547 T983083</xm:sqref>
        </x14:dataValidation>
        <x14:dataValidation xr:uid="{00810045-0017-41A6-8938-00F300DA004C}"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V983082:AR983082 V65578:AR65578 V131114:AR131114 V196650:AR196650 V262186:AR262186 V327722:AR327722 V393258:AR393258 V458794:AR458794 V524330:AR524330 V589866:AR589866 V655402:AR655402 V720938:AR720938 V786474:AR786474 V852010:AR852010 V917546:AR917546</xm:sqref>
        </x14:dataValidation>
      </x14:dataValidations>
    </ext>
  </extLst>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29" ySplit="45" topLeftCell="AD46" activePane="bottomRight" state="frozen"/>
      <selection activeCell="A1" activeCellId="0" sqref="A1"/>
    </sheetView>
  </sheetViews>
  <sheetFormatPr defaultColWidth="10.57421875" defaultRowHeight="14.25" customHeight="1"/>
  <cols>
    <col customWidth="1" hidden="1" min="1" max="1" style="53" width="11.57421875"/>
    <col customWidth="1" hidden="1" min="2" max="2" style="53" width="11.00390625"/>
    <col hidden="1" min="3" max="3" style="53" width="10.57421875"/>
    <col customWidth="1" hidden="1" min="4" max="4" style="53" width="12.8515625"/>
    <col customWidth="1" hidden="1" min="5" max="5" style="53" width="10.00390625"/>
    <col customWidth="1" hidden="1" min="6" max="6" style="53" width="8.7109375"/>
    <col customWidth="1" hidden="1" min="7" max="7" style="53" width="7.57421875"/>
    <col customWidth="1" hidden="1" min="8" max="8" style="53" width="11.421875"/>
    <col customWidth="1" hidden="1" min="9" max="9" style="53" width="12.00390625"/>
    <col customWidth="1" hidden="1" min="10" max="10" style="53" width="9.8515625"/>
    <col customWidth="1" hidden="1" min="11" max="11" style="53" width="11.421875"/>
    <col customWidth="1" hidden="1" min="12" max="12" style="114" width="19.140625"/>
    <col customWidth="1" hidden="1" min="13" max="14" style="61" width="12.28125"/>
    <col customWidth="1" hidden="1" min="15" max="15" style="61" width="23.421875"/>
    <col customWidth="1" hidden="1" min="16" max="16" style="61" width="3.7109375"/>
    <col customWidth="1" hidden="1" min="17" max="17" style="539" width="3.7109375"/>
    <col customWidth="1" min="18" max="18" style="479" width="3.00390625"/>
    <col customWidth="1" min="19" max="19" style="86" width="12.00390625"/>
    <col customWidth="1" min="20" max="20" style="50" width="31.00390625"/>
    <col customWidth="1" min="21" max="21" style="50" width="0.140625"/>
    <col customWidth="1" hidden="1" min="22" max="25" style="50" width="21.7109375"/>
    <col customWidth="1" hidden="1" min="26" max="26" style="50" width="11.7109375"/>
    <col customWidth="1" hidden="1" min="27" max="27" style="50" width="3.7109375"/>
    <col customWidth="1" hidden="1" min="28" max="28" style="50" width="11.7109375"/>
    <col customWidth="1" hidden="1" min="29" max="29" style="50" width="8.57421875"/>
    <col customWidth="1" min="30" max="30" style="50" width="3.7109375"/>
    <col customWidth="1" min="31" max="32" style="50" width="3.00390625"/>
    <col customWidth="1" min="33" max="33" style="50" width="24.00390625"/>
    <col customWidth="1" min="34" max="34" style="50" width="3.7109375"/>
    <col customWidth="1" min="35" max="36" style="50" width="3.00390625"/>
    <col customWidth="1" min="37" max="37" style="50" width="24.00390625"/>
    <col customWidth="1" min="38" max="38" style="50" width="3.7109375"/>
    <col customWidth="1" min="39" max="40" style="50" width="3.00390625"/>
    <col customWidth="1" min="41" max="41" style="50" width="18.00390625"/>
    <col customWidth="1" min="42" max="42" style="50" width="3.7109375"/>
    <col customWidth="1" min="43" max="44" style="50" width="3.00390625"/>
    <col customWidth="1" min="45" max="45" style="50" width="18.00390625"/>
    <col customWidth="1" min="46" max="49" style="50" width="21.00390625"/>
    <col customWidth="1" min="50" max="50" style="50" width="11.00390625"/>
    <col customWidth="1" min="51" max="51" style="50" width="3.7109375"/>
    <col customWidth="1" min="52" max="52" style="50" width="11.00390625"/>
    <col customWidth="1" hidden="1" min="53" max="53" style="50" width="8.57421875"/>
    <col customWidth="1" min="54" max="54" style="50" width="4.00390625"/>
    <col customWidth="1" min="55" max="55" style="50" width="115.00390625"/>
    <col customWidth="1" min="56" max="60" style="57" width="10.00390625"/>
    <col hidden="1" min="61" max="61" style="50" width="10.57421875"/>
  </cols>
  <sheetData>
    <row r="1" ht="22.5" hidden="1" customHeight="1">
      <c r="W1" s="50"/>
      <c r="Y1" s="50"/>
      <c r="Z1" s="50"/>
      <c r="AW1" s="50"/>
      <c r="AX1" s="50"/>
      <c r="BI1" s="50" t="s">
        <v>14</v>
      </c>
    </row>
    <row r="2" ht="21" hidden="1" customHeight="1">
      <c r="A2" s="480"/>
      <c r="B2" s="480"/>
      <c r="C2" s="480"/>
      <c r="D2" s="480"/>
      <c r="E2" s="481">
        <v>1</v>
      </c>
      <c r="F2" s="480"/>
      <c r="G2" s="480"/>
      <c r="H2" s="480"/>
      <c r="I2" s="480"/>
      <c r="J2" s="480"/>
      <c r="K2" s="480"/>
      <c r="L2" s="482"/>
      <c r="M2" s="483"/>
      <c r="N2" s="483"/>
      <c r="O2" s="483"/>
      <c r="P2" s="61"/>
      <c r="Q2" s="64"/>
      <c r="R2" s="484"/>
      <c r="S2" s="485" t="e">
        <f>INDEX(PT_DIFFERENTIATION_NUM_NTAR,MATCH(A2,PT_DIFFERENTIATION_NTAR_ID,0))</f>
        <v>#VALUE!</v>
      </c>
      <c r="T2" s="486" t="s">
        <v>119</v>
      </c>
      <c r="U2" s="487"/>
      <c r="V2" s="489"/>
      <c r="W2" s="489"/>
      <c r="X2" s="489"/>
      <c r="Y2" s="489"/>
      <c r="Z2" s="489"/>
      <c r="AA2" s="489"/>
      <c r="AB2" s="489"/>
      <c r="AC2" s="490"/>
      <c r="AD2" s="488" t="e">
        <f>INDEX(PT_DIFFERENTIATION_NTAR,MATCH(A2,PT_DIFFERENTIATION_NTAR_ID,0))</f>
        <v>#VALUE!</v>
      </c>
      <c r="AE2" s="489"/>
      <c r="AF2" s="489"/>
      <c r="AG2" s="489"/>
      <c r="AH2" s="489"/>
      <c r="AI2" s="489"/>
      <c r="AJ2" s="489"/>
      <c r="AK2" s="489"/>
      <c r="AL2" s="489"/>
      <c r="AM2" s="489"/>
      <c r="AN2" s="489"/>
      <c r="AO2" s="489"/>
      <c r="AP2" s="489"/>
      <c r="AQ2" s="489"/>
      <c r="AR2" s="489"/>
      <c r="AS2" s="489"/>
      <c r="AT2" s="489"/>
      <c r="AU2" s="489"/>
      <c r="AV2" s="489"/>
      <c r="AW2" s="489"/>
      <c r="AX2" s="489"/>
      <c r="AY2" s="489"/>
      <c r="AZ2" s="489"/>
      <c r="BA2" s="489"/>
      <c r="BB2" s="490"/>
      <c r="BC2" s="49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130"/>
      <c r="BF2" s="130" t="str">
        <f t="shared" ref="BF2:BF8" si="45">IF(T2="","",T2)</f>
        <v xml:space="preserve">Наименование тарифа</v>
      </c>
      <c r="BG2" s="130"/>
      <c r="BH2" s="130"/>
      <c r="BI2" s="50">
        <v>0</v>
      </c>
    </row>
    <row r="3" ht="21" hidden="1" customHeight="1">
      <c r="A3" s="480"/>
      <c r="B3" s="480"/>
      <c r="C3" s="480"/>
      <c r="D3" s="480"/>
      <c r="E3" s="492"/>
      <c r="F3" s="481">
        <v>1</v>
      </c>
      <c r="G3" s="480"/>
      <c r="H3" s="480"/>
      <c r="I3" s="480"/>
      <c r="J3" s="480"/>
      <c r="K3" s="480"/>
      <c r="L3" s="482"/>
      <c r="M3" s="483"/>
      <c r="N3" s="483"/>
      <c r="O3" s="483"/>
      <c r="P3" s="114"/>
      <c r="Q3" s="630"/>
      <c r="R3" s="494"/>
      <c r="S3" s="485" t="e">
        <f>INDEX(PT_DIFFERENTIATION_NUM_TER,MATCH(B3,PT_DIFFERENTIATION_TER_ID,0))</f>
        <v>#VALUE!</v>
      </c>
      <c r="T3" s="495" t="s">
        <v>391</v>
      </c>
      <c r="U3" s="487"/>
      <c r="V3" s="489"/>
      <c r="W3" s="489"/>
      <c r="X3" s="489"/>
      <c r="Y3" s="489"/>
      <c r="Z3" s="489"/>
      <c r="AA3" s="489"/>
      <c r="AB3" s="489"/>
      <c r="AC3" s="490"/>
      <c r="AD3" s="488" t="e">
        <f>INDEX(PT_DIFFERENTIATION_TER,MATCH(B3,PT_DIFFERENTIATION_TER_ID,0))</f>
        <v>#VALUE!</v>
      </c>
      <c r="AE3" s="489"/>
      <c r="AF3" s="489"/>
      <c r="AG3" s="489"/>
      <c r="AH3" s="489"/>
      <c r="AI3" s="489"/>
      <c r="AJ3" s="489"/>
      <c r="AK3" s="489"/>
      <c r="AL3" s="489"/>
      <c r="AM3" s="489"/>
      <c r="AN3" s="489"/>
      <c r="AO3" s="489"/>
      <c r="AP3" s="489"/>
      <c r="AQ3" s="489"/>
      <c r="AR3" s="489"/>
      <c r="AS3" s="489"/>
      <c r="AT3" s="489"/>
      <c r="AU3" s="489"/>
      <c r="AV3" s="489"/>
      <c r="AW3" s="489"/>
      <c r="AX3" s="489"/>
      <c r="AY3" s="489"/>
      <c r="AZ3" s="489"/>
      <c r="BA3" s="489"/>
      <c r="BB3" s="490"/>
      <c r="BC3" s="491" t="s">
        <v>392</v>
      </c>
      <c r="BE3" s="130"/>
      <c r="BF3" s="130" t="str">
        <f t="shared" si="45"/>
        <v xml:space="preserve">Территория действия тарифа</v>
      </c>
      <c r="BG3" s="130"/>
      <c r="BH3" s="130"/>
      <c r="BI3" s="50">
        <v>0</v>
      </c>
    </row>
    <row r="4" ht="33.75" hidden="1" customHeight="1">
      <c r="A4" s="480"/>
      <c r="B4" s="480"/>
      <c r="C4" s="480"/>
      <c r="D4" s="480"/>
      <c r="E4" s="492"/>
      <c r="F4" s="492"/>
      <c r="G4" s="481">
        <v>1</v>
      </c>
      <c r="H4" s="480"/>
      <c r="I4" s="480"/>
      <c r="J4" s="480"/>
      <c r="K4" s="480"/>
      <c r="L4" s="482"/>
      <c r="M4" s="483"/>
      <c r="N4" s="483"/>
      <c r="O4" s="483"/>
      <c r="P4" s="136"/>
      <c r="Q4" s="630"/>
      <c r="R4" s="494"/>
      <c r="S4" s="485" t="e">
        <f>INDEX(PT_DIFFERENTIATION_NUM_CS,MATCH(C4,PT_DIFFERENTIATION_CS_ID,0))</f>
        <v>#VALUE!</v>
      </c>
      <c r="T4" s="497" t="s">
        <v>524</v>
      </c>
      <c r="U4" s="487"/>
      <c r="V4" s="489"/>
      <c r="W4" s="489"/>
      <c r="X4" s="489"/>
      <c r="Y4" s="489"/>
      <c r="Z4" s="489"/>
      <c r="AA4" s="489"/>
      <c r="AB4" s="489"/>
      <c r="AC4" s="490"/>
      <c r="AD4" s="488" t="e">
        <f>INDEX(PT_DIFFERENTIATION_CS,MATCH(C4,PT_DIFFERENTIATION_CS_ID,0))</f>
        <v>#VALUE!</v>
      </c>
      <c r="AE4" s="489"/>
      <c r="AF4" s="489"/>
      <c r="AG4" s="489"/>
      <c r="AH4" s="489"/>
      <c r="AI4" s="489"/>
      <c r="AJ4" s="489"/>
      <c r="AK4" s="489"/>
      <c r="AL4" s="489"/>
      <c r="AM4" s="489"/>
      <c r="AN4" s="489"/>
      <c r="AO4" s="489"/>
      <c r="AP4" s="489"/>
      <c r="AQ4" s="489"/>
      <c r="AR4" s="489"/>
      <c r="AS4" s="489"/>
      <c r="AT4" s="489"/>
      <c r="AU4" s="489"/>
      <c r="AV4" s="489"/>
      <c r="AW4" s="489"/>
      <c r="AX4" s="489"/>
      <c r="AY4" s="489"/>
      <c r="AZ4" s="489"/>
      <c r="BA4" s="489"/>
      <c r="BB4" s="490"/>
      <c r="BC4" s="491" t="s">
        <v>525</v>
      </c>
      <c r="BE4" s="130"/>
      <c r="BF4" s="130" t="str">
        <f t="shared" si="45"/>
        <v xml:space="preserve">Наименование централизованной системы горячего водоснабжения</v>
      </c>
      <c r="BG4" s="130"/>
      <c r="BH4" s="130"/>
      <c r="BI4" s="50">
        <v>0</v>
      </c>
    </row>
    <row r="5" s="57" customFormat="1" ht="14.25" hidden="1" customHeight="1">
      <c r="A5" s="134"/>
      <c r="B5" s="134"/>
      <c r="C5" s="134"/>
      <c r="D5" s="134"/>
      <c r="E5" s="492"/>
      <c r="F5" s="492"/>
      <c r="G5" s="492"/>
      <c r="H5" s="481">
        <v>1</v>
      </c>
      <c r="I5" s="134"/>
      <c r="J5" s="134"/>
      <c r="K5" s="134"/>
      <c r="L5" s="213"/>
      <c r="M5" s="465"/>
      <c r="N5" s="465"/>
      <c r="O5" s="465"/>
      <c r="P5" s="695"/>
      <c r="Q5" s="696"/>
      <c r="R5" s="505"/>
      <c r="S5" s="352"/>
      <c r="T5" s="697"/>
      <c r="U5" s="588"/>
      <c r="V5" s="590"/>
      <c r="W5" s="590"/>
      <c r="X5" s="590"/>
      <c r="Y5" s="590"/>
      <c r="Z5" s="590"/>
      <c r="AA5" s="590"/>
      <c r="AB5" s="590"/>
      <c r="AC5" s="591"/>
      <c r="AD5" s="589"/>
      <c r="AE5" s="590"/>
      <c r="AF5" s="590"/>
      <c r="AG5" s="590"/>
      <c r="AH5" s="590"/>
      <c r="AI5" s="590"/>
      <c r="AJ5" s="590"/>
      <c r="AK5" s="590"/>
      <c r="AL5" s="590"/>
      <c r="AM5" s="590"/>
      <c r="AN5" s="590"/>
      <c r="AO5" s="590"/>
      <c r="AP5" s="590"/>
      <c r="AQ5" s="590"/>
      <c r="AR5" s="590"/>
      <c r="AS5" s="590"/>
      <c r="AT5" s="590"/>
      <c r="AU5" s="590"/>
      <c r="AV5" s="590"/>
      <c r="AW5" s="590"/>
      <c r="AX5" s="590"/>
      <c r="AY5" s="590"/>
      <c r="AZ5" s="590"/>
      <c r="BA5" s="590"/>
      <c r="BB5" s="591"/>
      <c r="BC5" s="592" t="s">
        <v>396</v>
      </c>
      <c r="BE5" s="130"/>
      <c r="BF5" s="130" t="str">
        <f t="shared" si="45"/>
        <v/>
      </c>
      <c r="BG5" s="130"/>
      <c r="BH5" s="130"/>
      <c r="BI5" s="57">
        <v>0</v>
      </c>
    </row>
    <row r="6" s="57" customFormat="1" ht="14.25" hidden="1" customHeight="1">
      <c r="A6" s="134"/>
      <c r="B6" s="134"/>
      <c r="C6" s="134"/>
      <c r="D6" s="134"/>
      <c r="E6" s="492"/>
      <c r="F6" s="492"/>
      <c r="G6" s="492"/>
      <c r="H6" s="492"/>
      <c r="I6" s="499" t="str">
        <f>S5&amp;".1"</f>
        <v>.1</v>
      </c>
      <c r="J6" s="134"/>
      <c r="K6" s="134"/>
      <c r="L6" s="213" t="s">
        <v>397</v>
      </c>
      <c r="M6" s="597"/>
      <c r="N6" s="597"/>
      <c r="O6" s="597"/>
      <c r="P6" s="133">
        <v>1</v>
      </c>
      <c r="Q6" s="133"/>
      <c r="R6" s="500"/>
      <c r="S6" s="352"/>
      <c r="T6" s="587"/>
      <c r="U6" s="588"/>
      <c r="V6" s="590"/>
      <c r="W6" s="590"/>
      <c r="X6" s="590"/>
      <c r="Y6" s="590"/>
      <c r="Z6" s="590"/>
      <c r="AA6" s="590"/>
      <c r="AB6" s="590"/>
      <c r="AC6" s="591"/>
      <c r="AD6" s="589"/>
      <c r="AE6" s="590"/>
      <c r="AF6" s="590"/>
      <c r="AG6" s="590"/>
      <c r="AH6" s="590"/>
      <c r="AI6" s="590"/>
      <c r="AJ6" s="590"/>
      <c r="AK6" s="590"/>
      <c r="AL6" s="590"/>
      <c r="AM6" s="590"/>
      <c r="AN6" s="590"/>
      <c r="AO6" s="590"/>
      <c r="AP6" s="590"/>
      <c r="AQ6" s="590"/>
      <c r="AR6" s="590"/>
      <c r="AS6" s="590"/>
      <c r="AT6" s="590"/>
      <c r="AU6" s="590"/>
      <c r="AV6" s="590"/>
      <c r="AW6" s="590"/>
      <c r="AX6" s="590"/>
      <c r="AY6" s="590"/>
      <c r="AZ6" s="590"/>
      <c r="BA6" s="590"/>
      <c r="BB6" s="591"/>
      <c r="BC6" s="592"/>
      <c r="BE6" s="130"/>
      <c r="BF6" s="130" t="str">
        <f t="shared" si="45"/>
        <v/>
      </c>
      <c r="BG6" s="130"/>
      <c r="BH6" s="130"/>
      <c r="BI6" s="57">
        <v>0</v>
      </c>
    </row>
    <row r="7" s="57" customFormat="1" ht="14.25" hidden="1" customHeight="1">
      <c r="A7" s="134"/>
      <c r="B7" s="134"/>
      <c r="C7" s="134"/>
      <c r="D7" s="134"/>
      <c r="E7" s="492"/>
      <c r="F7" s="492"/>
      <c r="G7" s="492"/>
      <c r="H7" s="492"/>
      <c r="I7" s="504"/>
      <c r="J7" s="499" t="str">
        <f>S5&amp;".1"</f>
        <v>.1</v>
      </c>
      <c r="K7" s="134"/>
      <c r="L7" s="213"/>
      <c r="M7" s="597"/>
      <c r="N7" s="597"/>
      <c r="O7" s="597"/>
      <c r="P7" s="133"/>
      <c r="Q7" s="133">
        <v>1</v>
      </c>
      <c r="R7" s="505"/>
      <c r="S7" s="352"/>
      <c r="T7" s="631"/>
      <c r="U7" s="588"/>
      <c r="V7" s="590"/>
      <c r="W7" s="590"/>
      <c r="X7" s="590"/>
      <c r="Y7" s="590"/>
      <c r="Z7" s="590"/>
      <c r="AA7" s="590"/>
      <c r="AB7" s="590"/>
      <c r="AC7" s="591"/>
      <c r="AD7" s="589"/>
      <c r="AE7" s="590"/>
      <c r="AF7" s="590"/>
      <c r="AG7" s="590"/>
      <c r="AH7" s="590"/>
      <c r="AI7" s="590"/>
      <c r="AJ7" s="590"/>
      <c r="AK7" s="590"/>
      <c r="AL7" s="590"/>
      <c r="AM7" s="590"/>
      <c r="AN7" s="590"/>
      <c r="AO7" s="590"/>
      <c r="AP7" s="590"/>
      <c r="AQ7" s="590"/>
      <c r="AR7" s="590"/>
      <c r="AS7" s="590"/>
      <c r="AT7" s="590"/>
      <c r="AU7" s="590"/>
      <c r="AV7" s="590"/>
      <c r="AW7" s="590"/>
      <c r="AX7" s="590"/>
      <c r="AY7" s="590"/>
      <c r="AZ7" s="590"/>
      <c r="BA7" s="590"/>
      <c r="BB7" s="591"/>
      <c r="BC7" s="592"/>
      <c r="BE7" s="130"/>
      <c r="BF7" s="130" t="str">
        <f t="shared" si="45"/>
        <v/>
      </c>
      <c r="BG7" s="130"/>
      <c r="BH7" s="130"/>
      <c r="BI7" s="57">
        <v>0</v>
      </c>
    </row>
    <row r="8" ht="11.25" hidden="1" customHeight="1">
      <c r="A8" s="480"/>
      <c r="B8" s="480"/>
      <c r="C8" s="480"/>
      <c r="D8" s="480"/>
      <c r="E8" s="492"/>
      <c r="F8" s="492"/>
      <c r="G8" s="492"/>
      <c r="H8" s="492"/>
      <c r="I8" s="504"/>
      <c r="J8" s="504"/>
      <c r="K8" s="499" t="e">
        <f>S4&amp;".1"</f>
        <v>#VALUE!</v>
      </c>
      <c r="L8" s="482"/>
      <c r="P8" s="133"/>
      <c r="Q8" s="133"/>
      <c r="R8" s="632">
        <v>1</v>
      </c>
      <c r="S8" s="599" t="e">
        <f>$K8</f>
        <v>#VALUE!</v>
      </c>
      <c r="T8" s="690"/>
      <c r="U8" s="487"/>
      <c r="V8" s="508"/>
      <c r="W8" s="510"/>
      <c r="X8" s="508"/>
      <c r="Y8" s="510"/>
      <c r="Z8" s="511"/>
      <c r="AA8" s="225" t="s">
        <v>64</v>
      </c>
      <c r="AB8" s="511"/>
      <c r="AC8" s="225" t="s">
        <v>64</v>
      </c>
      <c r="AD8" s="315" t="s">
        <v>64</v>
      </c>
      <c r="AE8" s="634"/>
      <c r="AF8" s="346">
        <v>1</v>
      </c>
      <c r="AG8" s="691"/>
      <c r="AH8" s="225" t="s">
        <v>64</v>
      </c>
      <c r="AI8" s="634"/>
      <c r="AJ8" s="346">
        <v>1</v>
      </c>
      <c r="AK8" s="87" t="s">
        <v>22</v>
      </c>
      <c r="AL8" s="225" t="s">
        <v>64</v>
      </c>
      <c r="AM8" s="305"/>
      <c r="AN8" s="346">
        <v>1</v>
      </c>
      <c r="AO8" s="698"/>
      <c r="AP8" s="699" t="s">
        <v>64</v>
      </c>
      <c r="AQ8" s="635"/>
      <c r="AR8" s="346">
        <v>1</v>
      </c>
      <c r="AS8" s="95" t="s">
        <v>22</v>
      </c>
      <c r="AT8" s="508"/>
      <c r="AU8" s="510"/>
      <c r="AV8" s="508"/>
      <c r="AW8" s="510"/>
      <c r="AX8" s="511"/>
      <c r="AY8" s="225" t="s">
        <v>64</v>
      </c>
      <c r="AZ8" s="511"/>
      <c r="BA8" s="225" t="s">
        <v>64</v>
      </c>
      <c r="BB8" s="572"/>
      <c r="BC8" s="512" t="s">
        <v>495</v>
      </c>
      <c r="BE8" s="130"/>
      <c r="BF8" s="130" t="str">
        <f t="shared" si="45"/>
        <v/>
      </c>
      <c r="BG8" s="130"/>
      <c r="BH8" s="130"/>
      <c r="BI8" s="50">
        <v>0</v>
      </c>
    </row>
    <row r="9" ht="11.25" hidden="1" customHeight="1">
      <c r="A9" s="480"/>
      <c r="B9" s="480"/>
      <c r="C9" s="480"/>
      <c r="D9" s="480"/>
      <c r="E9" s="492"/>
      <c r="F9" s="492"/>
      <c r="G9" s="492"/>
      <c r="H9" s="492"/>
      <c r="I9" s="504"/>
      <c r="J9" s="504"/>
      <c r="K9" s="499"/>
      <c r="L9" s="482"/>
      <c r="P9" s="133"/>
      <c r="Q9" s="133"/>
      <c r="R9" s="632"/>
      <c r="S9" s="636"/>
      <c r="T9" s="700"/>
      <c r="U9" s="487"/>
      <c r="V9" s="623"/>
      <c r="W9" s="640"/>
      <c r="X9" s="623"/>
      <c r="Y9" s="640"/>
      <c r="Z9" s="623"/>
      <c r="AA9" s="623"/>
      <c r="AB9" s="623"/>
      <c r="AC9" s="623"/>
      <c r="AD9" s="321"/>
      <c r="AE9" s="634"/>
      <c r="AF9" s="346"/>
      <c r="AG9" s="691"/>
      <c r="AH9" s="225"/>
      <c r="AI9" s="634"/>
      <c r="AJ9" s="346"/>
      <c r="AK9" s="87"/>
      <c r="AL9" s="225"/>
      <c r="AM9" s="311"/>
      <c r="AN9" s="346"/>
      <c r="AO9" s="698"/>
      <c r="AP9" s="701"/>
      <c r="AQ9" s="639"/>
      <c r="AR9" s="178"/>
      <c r="AS9" s="178" t="s">
        <v>496</v>
      </c>
      <c r="AT9" s="623"/>
      <c r="AU9" s="640"/>
      <c r="AV9" s="623"/>
      <c r="AW9" s="640"/>
      <c r="AX9" s="623"/>
      <c r="AY9" s="623"/>
      <c r="AZ9" s="623"/>
      <c r="BA9" s="623"/>
      <c r="BB9" s="638"/>
      <c r="BC9" s="515"/>
      <c r="BE9" s="130"/>
      <c r="BF9" s="130"/>
      <c r="BG9" s="130"/>
      <c r="BH9" s="130"/>
      <c r="BI9" s="50">
        <v>0</v>
      </c>
    </row>
    <row r="10" ht="11.25" hidden="1" customHeight="1">
      <c r="A10" s="480"/>
      <c r="B10" s="480"/>
      <c r="C10" s="480"/>
      <c r="D10" s="480"/>
      <c r="E10" s="492"/>
      <c r="F10" s="492"/>
      <c r="G10" s="492"/>
      <c r="H10" s="492"/>
      <c r="I10" s="504"/>
      <c r="J10" s="504"/>
      <c r="K10" s="499"/>
      <c r="L10" s="482"/>
      <c r="P10" s="133"/>
      <c r="Q10" s="133"/>
      <c r="R10" s="632"/>
      <c r="S10" s="636"/>
      <c r="T10" s="700"/>
      <c r="U10" s="487"/>
      <c r="V10" s="623"/>
      <c r="W10" s="640"/>
      <c r="X10" s="623"/>
      <c r="Y10" s="640"/>
      <c r="Z10" s="623"/>
      <c r="AA10" s="623"/>
      <c r="AB10" s="623"/>
      <c r="AC10" s="623"/>
      <c r="AD10" s="321"/>
      <c r="AE10" s="634"/>
      <c r="AF10" s="346"/>
      <c r="AG10" s="691"/>
      <c r="AH10" s="225"/>
      <c r="AI10" s="634"/>
      <c r="AJ10" s="346"/>
      <c r="AK10" s="87"/>
      <c r="AL10" s="225"/>
      <c r="AM10" s="639"/>
      <c r="AN10" s="702"/>
      <c r="AO10" s="702" t="s">
        <v>497</v>
      </c>
      <c r="AP10" s="178"/>
      <c r="AQ10" s="178"/>
      <c r="AR10" s="178"/>
      <c r="AS10" s="623"/>
      <c r="AT10" s="623"/>
      <c r="AU10" s="640"/>
      <c r="AV10" s="623"/>
      <c r="AW10" s="640"/>
      <c r="AX10" s="623"/>
      <c r="AY10" s="623"/>
      <c r="AZ10" s="623"/>
      <c r="BA10" s="623"/>
      <c r="BB10" s="638"/>
      <c r="BC10" s="515"/>
      <c r="BE10" s="130"/>
      <c r="BF10" s="130"/>
      <c r="BG10" s="130"/>
      <c r="BH10" s="130"/>
      <c r="BI10" s="50">
        <v>0</v>
      </c>
    </row>
    <row r="11" ht="11.25" hidden="1" customHeight="1">
      <c r="A11" s="480"/>
      <c r="B11" s="480"/>
      <c r="C11" s="480"/>
      <c r="D11" s="480"/>
      <c r="E11" s="492"/>
      <c r="F11" s="492"/>
      <c r="G11" s="492"/>
      <c r="H11" s="492"/>
      <c r="I11" s="504"/>
      <c r="J11" s="504"/>
      <c r="K11" s="499"/>
      <c r="L11" s="482"/>
      <c r="P11" s="133"/>
      <c r="Q11" s="133"/>
      <c r="R11" s="632"/>
      <c r="S11" s="636"/>
      <c r="T11" s="700"/>
      <c r="U11" s="487"/>
      <c r="V11" s="623"/>
      <c r="W11" s="640"/>
      <c r="X11" s="623"/>
      <c r="Y11" s="640"/>
      <c r="Z11" s="623"/>
      <c r="AA11" s="623"/>
      <c r="AB11" s="623"/>
      <c r="AC11" s="623"/>
      <c r="AD11" s="321"/>
      <c r="AE11" s="634"/>
      <c r="AF11" s="346"/>
      <c r="AG11" s="691"/>
      <c r="AH11" s="225"/>
      <c r="AI11" s="642"/>
      <c r="AJ11" s="173"/>
      <c r="AK11" s="442" t="s">
        <v>498</v>
      </c>
      <c r="AL11" s="623"/>
      <c r="AM11" s="623"/>
      <c r="AN11" s="623"/>
      <c r="AO11" s="623"/>
      <c r="AP11" s="623"/>
      <c r="AQ11" s="623"/>
      <c r="AR11" s="623"/>
      <c r="AS11" s="623"/>
      <c r="AT11" s="623"/>
      <c r="AU11" s="640"/>
      <c r="AV11" s="623"/>
      <c r="AW11" s="640"/>
      <c r="AX11" s="623"/>
      <c r="AY11" s="623"/>
      <c r="AZ11" s="623"/>
      <c r="BA11" s="623"/>
      <c r="BB11" s="638"/>
      <c r="BC11" s="515"/>
      <c r="BE11" s="130"/>
      <c r="BF11" s="130"/>
      <c r="BG11" s="130"/>
      <c r="BH11" s="130"/>
      <c r="BI11" s="50">
        <v>0</v>
      </c>
    </row>
    <row r="12" ht="11.25" hidden="1" customHeight="1">
      <c r="A12" s="480"/>
      <c r="B12" s="480"/>
      <c r="C12" s="480"/>
      <c r="D12" s="480"/>
      <c r="E12" s="492"/>
      <c r="F12" s="492"/>
      <c r="G12" s="492"/>
      <c r="H12" s="492"/>
      <c r="I12" s="504"/>
      <c r="J12" s="504"/>
      <c r="K12" s="499"/>
      <c r="L12" s="482"/>
      <c r="P12" s="133"/>
      <c r="Q12" s="133"/>
      <c r="R12" s="632"/>
      <c r="S12" s="609"/>
      <c r="T12" s="703"/>
      <c r="U12" s="487"/>
      <c r="V12" s="623"/>
      <c r="W12" s="624" t="str">
        <f>Z8&amp;"-"&amp;AB8</f>
        <v>-</v>
      </c>
      <c r="X12" s="623"/>
      <c r="Y12" s="624" t="str">
        <f>AB8&amp;"-"&amp;AD8</f>
        <v>-да</v>
      </c>
      <c r="Z12" s="623"/>
      <c r="AA12" s="623"/>
      <c r="AB12" s="623"/>
      <c r="AC12" s="623"/>
      <c r="AD12" s="221"/>
      <c r="AE12" s="645"/>
      <c r="AF12" s="646"/>
      <c r="AG12" s="178" t="s">
        <v>499</v>
      </c>
      <c r="AH12" s="623"/>
      <c r="AI12" s="623"/>
      <c r="AJ12" s="623"/>
      <c r="AK12" s="623"/>
      <c r="AL12" s="623"/>
      <c r="AM12" s="623"/>
      <c r="AN12" s="623"/>
      <c r="AO12" s="623"/>
      <c r="AP12" s="623"/>
      <c r="AQ12" s="623"/>
      <c r="AR12" s="623"/>
      <c r="AS12" s="623"/>
      <c r="AT12" s="623"/>
      <c r="AU12" s="624" t="str">
        <f>AX8&amp;"-"&amp;AZ8</f>
        <v>-</v>
      </c>
      <c r="AV12" s="623"/>
      <c r="AW12" s="624" t="str">
        <f>AZ8&amp;"-"&amp;BB8</f>
        <v>-</v>
      </c>
      <c r="AX12" s="623"/>
      <c r="AY12" s="623"/>
      <c r="AZ12" s="623"/>
      <c r="BA12" s="623"/>
      <c r="BB12" s="644" t="str">
        <f>BE8&amp;"-"&amp;BG8</f>
        <v>-</v>
      </c>
      <c r="BC12" s="515"/>
      <c r="BE12" s="130"/>
      <c r="BF12" s="130" t="str">
        <f t="shared" ref="BF12:BF63" si="46">IF(T12="","",T12)</f>
        <v/>
      </c>
      <c r="BG12" s="130"/>
      <c r="BH12" s="130"/>
      <c r="BI12" s="50">
        <v>0</v>
      </c>
    </row>
    <row r="13" ht="11.25" hidden="1" customHeight="1">
      <c r="A13" s="480"/>
      <c r="B13" s="480"/>
      <c r="C13" s="480"/>
      <c r="D13" s="480"/>
      <c r="E13" s="492"/>
      <c r="F13" s="492"/>
      <c r="G13" s="492"/>
      <c r="H13" s="492"/>
      <c r="I13" s="504"/>
      <c r="J13" s="499"/>
      <c r="K13" s="480"/>
      <c r="L13" s="482"/>
      <c r="P13" s="133"/>
      <c r="Q13" s="133"/>
      <c r="R13" s="500"/>
      <c r="S13" s="516"/>
      <c r="T13" s="520" t="s">
        <v>462</v>
      </c>
      <c r="U13" s="215"/>
      <c r="V13" s="215"/>
      <c r="W13" s="215"/>
      <c r="X13" s="215"/>
      <c r="Y13" s="215"/>
      <c r="Z13" s="215"/>
      <c r="AA13" s="215"/>
      <c r="AB13" s="215"/>
      <c r="AC13" s="215"/>
      <c r="AD13" s="675"/>
      <c r="AE13" s="215"/>
      <c r="AF13" s="215"/>
      <c r="AG13" s="215"/>
      <c r="AH13" s="215"/>
      <c r="AI13" s="215"/>
      <c r="AJ13" s="215"/>
      <c r="AK13" s="215"/>
      <c r="AL13" s="215"/>
      <c r="AM13" s="215"/>
      <c r="AN13" s="215"/>
      <c r="AO13" s="215"/>
      <c r="AP13" s="215"/>
      <c r="AQ13" s="215"/>
      <c r="AR13" s="215"/>
      <c r="AS13" s="215"/>
      <c r="AT13" s="215"/>
      <c r="AU13" s="215"/>
      <c r="AV13" s="215"/>
      <c r="AW13" s="215"/>
      <c r="AX13" s="215"/>
      <c r="AY13" s="215"/>
      <c r="AZ13" s="215"/>
      <c r="BA13" s="215"/>
      <c r="BB13" s="518"/>
      <c r="BC13" s="519"/>
      <c r="BE13" s="130"/>
      <c r="BF13" s="130" t="str">
        <f t="shared" si="46"/>
        <v xml:space="preserve">Добавить строку</v>
      </c>
      <c r="BG13" s="130"/>
      <c r="BH13" s="130"/>
      <c r="BI13" s="50">
        <v>0</v>
      </c>
    </row>
    <row r="14" s="57" customFormat="1" ht="14.25" hidden="1" customHeight="1">
      <c r="A14" s="134"/>
      <c r="B14" s="134"/>
      <c r="C14" s="134"/>
      <c r="D14" s="134"/>
      <c r="E14" s="492"/>
      <c r="F14" s="492"/>
      <c r="G14" s="492"/>
      <c r="H14" s="492"/>
      <c r="I14" s="499"/>
      <c r="J14" s="134"/>
      <c r="K14" s="134"/>
      <c r="L14" s="213"/>
      <c r="M14" s="597"/>
      <c r="N14" s="597"/>
      <c r="O14" s="597"/>
      <c r="P14" s="133"/>
      <c r="Q14" s="133"/>
      <c r="R14" s="500"/>
      <c r="S14" s="593"/>
      <c r="T14" s="594"/>
      <c r="U14" s="595"/>
      <c r="V14" s="595"/>
      <c r="W14" s="595"/>
      <c r="X14" s="595"/>
      <c r="Y14" s="595"/>
      <c r="Z14" s="595"/>
      <c r="AA14" s="595"/>
      <c r="AB14" s="595"/>
      <c r="AC14" s="595"/>
      <c r="AD14" s="595"/>
      <c r="AE14" s="595"/>
      <c r="AF14" s="595"/>
      <c r="AG14" s="595"/>
      <c r="AH14" s="595"/>
      <c r="AI14" s="595"/>
      <c r="AJ14" s="595"/>
      <c r="AK14" s="595"/>
      <c r="AL14" s="595"/>
      <c r="AM14" s="595"/>
      <c r="AN14" s="595"/>
      <c r="AO14" s="595"/>
      <c r="AP14" s="595"/>
      <c r="AQ14" s="595"/>
      <c r="AR14" s="595"/>
      <c r="AS14" s="595"/>
      <c r="AT14" s="595"/>
      <c r="AU14" s="595"/>
      <c r="AV14" s="595"/>
      <c r="AW14" s="595"/>
      <c r="AX14" s="595"/>
      <c r="AY14" s="595"/>
      <c r="AZ14" s="595"/>
      <c r="BA14" s="595"/>
      <c r="BB14" s="595"/>
      <c r="BC14" s="596"/>
      <c r="BE14" s="130"/>
      <c r="BF14" s="130" t="str">
        <f t="shared" si="46"/>
        <v/>
      </c>
      <c r="BG14" s="130"/>
      <c r="BH14" s="130"/>
      <c r="BI14" s="57">
        <v>0</v>
      </c>
    </row>
    <row r="15" s="57" customFormat="1" ht="14.25" hidden="1" customHeight="1">
      <c r="A15" s="134"/>
      <c r="B15" s="134"/>
      <c r="C15" s="134"/>
      <c r="D15" s="134"/>
      <c r="E15" s="492"/>
      <c r="F15" s="492"/>
      <c r="G15" s="492"/>
      <c r="H15" s="481"/>
      <c r="I15" s="134"/>
      <c r="J15" s="134"/>
      <c r="K15" s="134"/>
      <c r="L15" s="213"/>
      <c r="M15" s="465"/>
      <c r="N15" s="465"/>
      <c r="O15" s="57"/>
      <c r="P15" s="168"/>
      <c r="Q15" s="525"/>
      <c r="R15" s="647"/>
      <c r="S15" s="593"/>
      <c r="T15" s="594"/>
      <c r="U15" s="595"/>
      <c r="V15" s="595"/>
      <c r="W15" s="595"/>
      <c r="X15" s="595"/>
      <c r="Y15" s="595"/>
      <c r="Z15" s="595"/>
      <c r="AA15" s="595"/>
      <c r="AB15" s="595"/>
      <c r="AC15" s="595"/>
      <c r="AD15" s="595"/>
      <c r="AE15" s="595"/>
      <c r="AF15" s="595"/>
      <c r="AG15" s="595"/>
      <c r="AH15" s="595"/>
      <c r="AI15" s="595"/>
      <c r="AJ15" s="595"/>
      <c r="AK15" s="595"/>
      <c r="AL15" s="595"/>
      <c r="AM15" s="595"/>
      <c r="AN15" s="595"/>
      <c r="AO15" s="595"/>
      <c r="AP15" s="595"/>
      <c r="AQ15" s="595"/>
      <c r="AR15" s="595"/>
      <c r="AS15" s="595"/>
      <c r="AT15" s="595"/>
      <c r="AU15" s="595"/>
      <c r="AV15" s="595"/>
      <c r="AW15" s="595"/>
      <c r="AX15" s="595"/>
      <c r="AY15" s="595"/>
      <c r="AZ15" s="595"/>
      <c r="BA15" s="595"/>
      <c r="BB15" s="595"/>
      <c r="BC15" s="596"/>
      <c r="BE15" s="130"/>
      <c r="BF15" s="130" t="str">
        <f t="shared" si="46"/>
        <v/>
      </c>
      <c r="BG15" s="130"/>
      <c r="BH15" s="130"/>
      <c r="BI15" s="57">
        <v>0</v>
      </c>
    </row>
    <row r="16" s="57" customFormat="1" ht="14.25" hidden="1" customHeight="1">
      <c r="A16" s="134"/>
      <c r="B16" s="134"/>
      <c r="C16" s="134"/>
      <c r="D16" s="134"/>
      <c r="E16" s="492"/>
      <c r="F16" s="492"/>
      <c r="G16" s="481"/>
      <c r="H16" s="134"/>
      <c r="I16" s="134"/>
      <c r="J16" s="134"/>
      <c r="K16" s="134"/>
      <c r="L16" s="213"/>
      <c r="M16" s="465"/>
      <c r="N16" s="465"/>
      <c r="P16" s="168"/>
      <c r="Q16" s="525"/>
      <c r="R16" s="168"/>
      <c r="S16" s="530"/>
      <c r="T16" s="533"/>
      <c r="U16" s="532"/>
      <c r="V16" s="532"/>
      <c r="W16" s="532"/>
      <c r="X16" s="532"/>
      <c r="Y16" s="532"/>
      <c r="Z16" s="532"/>
      <c r="AA16" s="532"/>
      <c r="AB16" s="532"/>
      <c r="AC16" s="532"/>
      <c r="AD16" s="532"/>
      <c r="AE16" s="532"/>
      <c r="AF16" s="532"/>
      <c r="AG16" s="532"/>
      <c r="AH16" s="532"/>
      <c r="AI16" s="532"/>
      <c r="AJ16" s="532"/>
      <c r="AK16" s="532"/>
      <c r="AL16" s="532"/>
      <c r="AM16" s="532"/>
      <c r="AN16" s="532"/>
      <c r="AO16" s="532"/>
      <c r="AP16" s="532"/>
      <c r="AQ16" s="532"/>
      <c r="AR16" s="532"/>
      <c r="AS16" s="532"/>
      <c r="AT16" s="532"/>
      <c r="AU16" s="532"/>
      <c r="AV16" s="532"/>
      <c r="AW16" s="532"/>
      <c r="AX16" s="532"/>
      <c r="AY16" s="532"/>
      <c r="AZ16" s="532"/>
      <c r="BA16" s="532"/>
      <c r="BB16" s="532"/>
      <c r="BC16" s="532"/>
      <c r="BE16" s="130"/>
      <c r="BF16" s="130" t="str">
        <f t="shared" si="46"/>
        <v/>
      </c>
      <c r="BG16" s="130"/>
      <c r="BH16" s="130"/>
      <c r="BI16" s="57">
        <v>0</v>
      </c>
    </row>
    <row r="17" s="57" customFormat="1" ht="14.25" hidden="1" customHeight="1">
      <c r="A17" s="134"/>
      <c r="B17" s="134"/>
      <c r="C17" s="134"/>
      <c r="D17" s="134"/>
      <c r="E17" s="492"/>
      <c r="F17" s="481"/>
      <c r="G17" s="134"/>
      <c r="H17" s="134"/>
      <c r="I17" s="134"/>
      <c r="J17" s="134"/>
      <c r="K17" s="134"/>
      <c r="L17" s="213"/>
      <c r="M17" s="529"/>
      <c r="N17" s="529"/>
      <c r="P17" s="168"/>
      <c r="Q17" s="525"/>
      <c r="R17" s="168"/>
      <c r="S17" s="530"/>
      <c r="T17" s="533" t="s">
        <v>409</v>
      </c>
      <c r="U17" s="532"/>
      <c r="V17" s="532"/>
      <c r="W17" s="532"/>
      <c r="X17" s="532"/>
      <c r="Y17" s="532"/>
      <c r="Z17" s="532"/>
      <c r="AA17" s="532"/>
      <c r="AB17" s="532"/>
      <c r="AC17" s="532"/>
      <c r="AD17" s="532"/>
      <c r="AE17" s="532"/>
      <c r="AF17" s="532"/>
      <c r="AG17" s="532"/>
      <c r="AH17" s="532"/>
      <c r="AI17" s="532"/>
      <c r="AJ17" s="532"/>
      <c r="AK17" s="532"/>
      <c r="AL17" s="532"/>
      <c r="AM17" s="532"/>
      <c r="AN17" s="532"/>
      <c r="AO17" s="532"/>
      <c r="AP17" s="532"/>
      <c r="AQ17" s="532"/>
      <c r="AR17" s="532"/>
      <c r="AS17" s="532"/>
      <c r="AT17" s="532"/>
      <c r="AU17" s="532"/>
      <c r="AV17" s="532"/>
      <c r="AW17" s="532"/>
      <c r="AX17" s="532"/>
      <c r="AY17" s="532"/>
      <c r="AZ17" s="532"/>
      <c r="BA17" s="532"/>
      <c r="BB17" s="532"/>
      <c r="BC17" s="532"/>
      <c r="BE17" s="130"/>
      <c r="BF17" s="130" t="str">
        <f t="shared" si="46"/>
        <v xml:space="preserve">Добавить централизованную систему для дифференциации</v>
      </c>
      <c r="BG17" s="130"/>
      <c r="BH17" s="130"/>
      <c r="BI17" s="57">
        <v>0</v>
      </c>
    </row>
    <row r="18" s="57" customFormat="1" ht="14.25" hidden="1" customHeight="1">
      <c r="A18" s="134"/>
      <c r="B18" s="134"/>
      <c r="C18" s="134"/>
      <c r="D18" s="134"/>
      <c r="E18" s="481"/>
      <c r="F18" s="134"/>
      <c r="G18" s="134"/>
      <c r="H18" s="134"/>
      <c r="I18" s="134"/>
      <c r="J18" s="134"/>
      <c r="K18" s="134"/>
      <c r="L18" s="213"/>
      <c r="M18" s="529"/>
      <c r="N18" s="529"/>
      <c r="O18" s="57"/>
      <c r="P18" s="168"/>
      <c r="Q18" s="525"/>
      <c r="R18" s="168"/>
      <c r="S18" s="530"/>
      <c r="T18" s="533" t="s">
        <v>410</v>
      </c>
      <c r="U18" s="532"/>
      <c r="V18" s="532"/>
      <c r="W18" s="532"/>
      <c r="X18" s="532"/>
      <c r="Y18" s="532"/>
      <c r="Z18" s="532"/>
      <c r="AA18" s="532"/>
      <c r="AB18" s="532"/>
      <c r="AC18" s="532"/>
      <c r="AD18" s="532"/>
      <c r="AE18" s="532"/>
      <c r="AF18" s="532"/>
      <c r="AG18" s="532"/>
      <c r="AH18" s="532"/>
      <c r="AI18" s="532"/>
      <c r="AJ18" s="532"/>
      <c r="AK18" s="532"/>
      <c r="AL18" s="532"/>
      <c r="AM18" s="532"/>
      <c r="AN18" s="532"/>
      <c r="AO18" s="532"/>
      <c r="AP18" s="532"/>
      <c r="AQ18" s="532"/>
      <c r="AR18" s="532"/>
      <c r="AS18" s="532"/>
      <c r="AT18" s="532"/>
      <c r="AU18" s="532"/>
      <c r="AV18" s="532"/>
      <c r="AW18" s="532"/>
      <c r="AX18" s="532"/>
      <c r="AY18" s="532"/>
      <c r="AZ18" s="532"/>
      <c r="BA18" s="532"/>
      <c r="BB18" s="532"/>
      <c r="BC18" s="532"/>
      <c r="BE18" s="130"/>
      <c r="BF18" s="130" t="str">
        <f t="shared" si="46"/>
        <v xml:space="preserve">Добавить территорию для дифференциации</v>
      </c>
      <c r="BG18" s="130"/>
      <c r="BH18" s="130"/>
      <c r="BI18" s="57">
        <v>0</v>
      </c>
    </row>
    <row r="19" ht="14.25" hidden="1" customHeight="1">
      <c r="AC19" s="50"/>
      <c r="BA19" s="50"/>
      <c r="BI19" s="50">
        <v>0</v>
      </c>
    </row>
    <row r="20" ht="14.25" hidden="1" customHeight="1">
      <c r="AD20" s="532" t="s">
        <v>19</v>
      </c>
      <c r="AE20" s="648"/>
      <c r="AF20" s="532">
        <v>1</v>
      </c>
      <c r="AG20" s="649"/>
      <c r="AH20" s="532" t="s">
        <v>19</v>
      </c>
      <c r="AI20" s="648"/>
      <c r="AJ20" s="532">
        <v>1</v>
      </c>
      <c r="AK20" s="649"/>
      <c r="AL20" s="532" t="s">
        <v>19</v>
      </c>
      <c r="AM20" s="650"/>
      <c r="AN20" s="532">
        <v>1</v>
      </c>
      <c r="AO20" s="135"/>
      <c r="AP20" s="532" t="s">
        <v>19</v>
      </c>
      <c r="AQ20" s="650"/>
      <c r="AR20" s="532">
        <v>1</v>
      </c>
      <c r="AS20" s="135"/>
      <c r="AT20" s="509"/>
      <c r="AU20" s="584"/>
      <c r="AV20" s="509"/>
      <c r="AW20" s="584"/>
      <c r="AX20" s="654"/>
      <c r="AY20" s="655" t="s">
        <v>64</v>
      </c>
      <c r="AZ20" s="654"/>
      <c r="BA20" s="655" t="s">
        <v>64</v>
      </c>
      <c r="BI20" s="50">
        <v>0</v>
      </c>
    </row>
    <row r="21" ht="14.25" hidden="1" customHeight="1">
      <c r="BD21" s="132"/>
      <c r="BE21" s="132"/>
      <c r="BF21" s="132"/>
      <c r="BG21" s="132"/>
      <c r="BH21" s="132"/>
      <c r="BI21" s="50">
        <v>0</v>
      </c>
    </row>
    <row r="22" ht="14.25" hidden="1" customHeight="1">
      <c r="O22" s="538" t="s">
        <v>411</v>
      </c>
      <c r="Z22" s="582"/>
      <c r="AB22" s="582"/>
      <c r="AC22" s="50"/>
      <c r="AX22" s="582"/>
      <c r="AZ22" s="582"/>
      <c r="BA22" s="50"/>
      <c r="BD22" s="132"/>
      <c r="BE22" s="132"/>
      <c r="BF22" s="132"/>
      <c r="BG22" s="132"/>
      <c r="BH22" s="132"/>
      <c r="BI22" s="50">
        <v>0</v>
      </c>
    </row>
    <row r="23" ht="14.25" hidden="1" customHeight="1">
      <c r="AC23" s="50"/>
      <c r="BA23" s="50"/>
      <c r="BD23" s="132"/>
      <c r="BE23" s="132"/>
      <c r="BF23" s="132"/>
      <c r="BG23" s="132"/>
      <c r="BH23" s="132"/>
      <c r="BI23" s="50">
        <v>0</v>
      </c>
    </row>
    <row r="24" s="656" customFormat="1" ht="14.25" hidden="1" customHeight="1">
      <c r="M24" s="657"/>
      <c r="N24" s="657"/>
      <c r="O24" s="656" t="s">
        <v>412</v>
      </c>
      <c r="P24" s="657"/>
      <c r="Q24" s="658"/>
      <c r="R24" s="658"/>
      <c r="AA24" s="656" t="s">
        <v>414</v>
      </c>
      <c r="AC24" s="656" t="s">
        <v>415</v>
      </c>
      <c r="AD24" s="656" t="s">
        <v>463</v>
      </c>
      <c r="AH24" s="656" t="s">
        <v>463</v>
      </c>
      <c r="AK24" s="656" t="s">
        <v>500</v>
      </c>
      <c r="AL24" s="656" t="s">
        <v>463</v>
      </c>
      <c r="AP24" s="656" t="s">
        <v>463</v>
      </c>
      <c r="AY24" s="656" t="s">
        <v>414</v>
      </c>
      <c r="BA24" s="656" t="s">
        <v>415</v>
      </c>
      <c r="BD24" s="659"/>
      <c r="BE24" s="659"/>
      <c r="BF24" s="659"/>
      <c r="BG24" s="659"/>
      <c r="BH24" s="659"/>
      <c r="BI24" s="656">
        <v>0</v>
      </c>
    </row>
    <row r="25" ht="14.25" hidden="1" customHeight="1">
      <c r="O25" s="482"/>
      <c r="BD25" s="132"/>
      <c r="BE25" s="132"/>
      <c r="BF25" s="132"/>
      <c r="BG25" s="132"/>
      <c r="BH25" s="132"/>
      <c r="BI25" s="50">
        <v>0</v>
      </c>
    </row>
    <row r="26" ht="14.25" hidden="1" customHeight="1">
      <c r="O26" s="482"/>
      <c r="BD26" s="132"/>
      <c r="BE26" s="132"/>
      <c r="BF26" s="132"/>
      <c r="BG26" s="132"/>
      <c r="BH26" s="132"/>
      <c r="BI26" s="50">
        <v>0</v>
      </c>
    </row>
    <row r="27" ht="14.65" customHeight="1">
      <c r="Q27" s="660"/>
      <c r="R27" s="540"/>
      <c r="S27" s="541"/>
      <c r="T27" s="91"/>
      <c r="U27" s="91"/>
      <c r="V27" s="50"/>
      <c r="W27" s="50"/>
      <c r="X27" s="50"/>
      <c r="Y27" s="50"/>
      <c r="Z27" s="50"/>
      <c r="AA27" s="50"/>
      <c r="AB27" s="50"/>
      <c r="AC27" s="50"/>
      <c r="AD27" s="50"/>
      <c r="AE27" s="50"/>
      <c r="AF27" s="50"/>
      <c r="AG27" s="50"/>
      <c r="AH27" s="50"/>
      <c r="AI27" s="50"/>
      <c r="AJ27" s="50"/>
      <c r="AK27" s="50"/>
      <c r="AL27" s="50"/>
      <c r="AM27" s="50"/>
      <c r="AN27" s="50"/>
      <c r="AO27" s="50"/>
      <c r="AP27" s="50"/>
      <c r="AQ27" s="50"/>
      <c r="AR27" s="50"/>
      <c r="AS27" s="50"/>
      <c r="AT27" s="50"/>
      <c r="AU27" s="50"/>
      <c r="AV27" s="50"/>
      <c r="AW27" s="50"/>
      <c r="AX27" s="50"/>
      <c r="AY27" s="50"/>
      <c r="AZ27" s="50"/>
      <c r="BA27" s="50"/>
      <c r="BI27" s="50">
        <v>14</v>
      </c>
    </row>
    <row r="28" ht="14.65" customHeight="1">
      <c r="Q28" s="660"/>
      <c r="R28" s="540"/>
      <c r="S28" s="453" t="str">
        <f>IF(TEMPLATE_GROUP="P",PT_P_FORM_HOTVSNA_5_NAME_FORM,PT_R_FORM_HOTVSNA_17_NAME_FORM)</f>
        <v xml:space="preserve">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453"/>
      <c r="U28" s="453"/>
      <c r="V28" s="453"/>
      <c r="W28" s="453"/>
      <c r="X28" s="453"/>
      <c r="Y28" s="453"/>
      <c r="Z28" s="453"/>
      <c r="AA28" s="453"/>
      <c r="AB28" s="453"/>
      <c r="AC28" s="453"/>
      <c r="AD28" s="453"/>
      <c r="AE28" s="453"/>
      <c r="AF28" s="453"/>
      <c r="AG28" s="453"/>
      <c r="AH28" s="453"/>
      <c r="AI28" s="453"/>
      <c r="AJ28" s="453"/>
      <c r="AK28" s="453"/>
      <c r="AL28" s="453"/>
      <c r="AM28" s="453"/>
      <c r="AN28" s="453"/>
      <c r="AO28" s="453"/>
      <c r="AP28" s="453"/>
      <c r="AQ28" s="453"/>
      <c r="AR28" s="453"/>
      <c r="AS28" s="453"/>
      <c r="AT28" s="453"/>
      <c r="AU28" s="453"/>
      <c r="AV28" s="453"/>
      <c r="AW28" s="453"/>
      <c r="AX28" s="453"/>
      <c r="AY28" s="453"/>
      <c r="AZ28" s="453"/>
      <c r="BA28" s="241"/>
      <c r="BI28" s="50">
        <v>14</v>
      </c>
    </row>
    <row r="29" ht="14.65" customHeight="1">
      <c r="Q29" s="660"/>
      <c r="R29" s="540"/>
      <c r="S29" s="304" t="str">
        <f>IF(org=0,"Не определено",org)</f>
        <v xml:space="preserve">АО "ДГК" СП "Биробиджанская ТЭЦ"</v>
      </c>
      <c r="T29" s="304"/>
      <c r="U29" s="304"/>
      <c r="V29" s="304"/>
      <c r="W29" s="304"/>
      <c r="X29" s="304"/>
      <c r="Y29" s="304"/>
      <c r="Z29" s="304"/>
      <c r="AA29" s="304"/>
      <c r="AB29" s="304"/>
      <c r="AC29" s="304"/>
      <c r="AD29" s="304"/>
      <c r="AE29" s="304"/>
      <c r="AF29" s="304"/>
      <c r="AG29" s="304"/>
      <c r="AH29" s="304"/>
      <c r="AI29" s="304"/>
      <c r="AJ29" s="304"/>
      <c r="AK29" s="304"/>
      <c r="AL29" s="304"/>
      <c r="AM29" s="304"/>
      <c r="AN29" s="304"/>
      <c r="AO29" s="304"/>
      <c r="AP29" s="304"/>
      <c r="AQ29" s="304"/>
      <c r="AR29" s="304"/>
      <c r="AS29" s="304"/>
      <c r="AT29" s="304"/>
      <c r="AU29" s="304"/>
      <c r="AV29" s="304"/>
      <c r="AW29" s="304"/>
      <c r="AX29" s="304"/>
      <c r="AY29" s="304"/>
      <c r="AZ29" s="304"/>
      <c r="BA29" s="241"/>
      <c r="BI29" s="50">
        <v>14</v>
      </c>
    </row>
    <row r="30" ht="14.25" hidden="1" customHeight="1">
      <c r="Q30" s="660"/>
      <c r="R30" s="540"/>
      <c r="S30" s="541"/>
      <c r="T30" s="91"/>
      <c r="U30" s="91"/>
      <c r="V30" s="542"/>
      <c r="W30" s="542"/>
      <c r="X30" s="542"/>
      <c r="Y30" s="542"/>
      <c r="Z30" s="542"/>
      <c r="AA30" s="542"/>
      <c r="AB30" s="542"/>
      <c r="AC30" s="542"/>
      <c r="AD30" s="542"/>
      <c r="AE30" s="542"/>
      <c r="AF30" s="542"/>
      <c r="AG30" s="542"/>
      <c r="AH30" s="542"/>
      <c r="AI30" s="542"/>
      <c r="AJ30" s="542"/>
      <c r="AK30" s="542"/>
      <c r="AL30" s="542"/>
      <c r="AM30" s="542"/>
      <c r="AN30" s="542"/>
      <c r="AO30" s="542"/>
      <c r="AP30" s="542"/>
      <c r="AQ30" s="542"/>
      <c r="AR30" s="542"/>
      <c r="AS30" s="542"/>
      <c r="AT30" s="542"/>
      <c r="AU30" s="542"/>
      <c r="AV30" s="542"/>
      <c r="AW30" s="542"/>
      <c r="AX30" s="542"/>
      <c r="AY30" s="542"/>
      <c r="AZ30" s="542"/>
      <c r="BA30" s="542"/>
      <c r="BB30" s="50"/>
      <c r="BI30" s="50">
        <v>0</v>
      </c>
    </row>
    <row r="31" s="185" customFormat="1" ht="25.5" hidden="1" customHeight="1">
      <c r="A31" s="152"/>
      <c r="B31" s="152"/>
      <c r="C31" s="152"/>
      <c r="D31" s="152"/>
      <c r="E31" s="152"/>
      <c r="F31" s="152"/>
      <c r="G31" s="152"/>
      <c r="H31" s="152"/>
      <c r="I31" s="152"/>
      <c r="J31" s="152"/>
      <c r="K31" s="152"/>
      <c r="L31" s="482"/>
      <c r="M31" s="152"/>
      <c r="N31" s="152"/>
      <c r="O31" s="152"/>
      <c r="P31" s="152"/>
      <c r="Q31" s="152"/>
      <c r="S31" s="543" t="s">
        <v>41</v>
      </c>
      <c r="T31" s="543"/>
      <c r="U31" s="544"/>
      <c r="V31" s="545" t="str">
        <f>IF(TITLE_NAME_OR_PR_CHANGE="",IF(TITLE_NAME_OR_PR="","",TITLE_NAME_OR_PR),TITLE_NAME_OR_PR_CHANGE)</f>
        <v/>
      </c>
      <c r="W31" s="545"/>
      <c r="X31" s="545"/>
      <c r="Y31" s="545"/>
      <c r="Z31" s="545"/>
      <c r="AA31" s="545"/>
      <c r="AB31" s="545"/>
      <c r="AC31" s="50"/>
      <c r="AD31" s="545" t="str">
        <f>IF(TITLE_NAME_OR_PR_CHANGE="",IF(TITLE_NAME_OR_PR="","",TITLE_NAME_OR_PR),TITLE_NAME_OR_PR_CHANGE)</f>
        <v/>
      </c>
      <c r="AE31" s="545"/>
      <c r="AF31" s="545"/>
      <c r="AG31" s="545"/>
      <c r="AH31" s="545"/>
      <c r="AI31" s="545"/>
      <c r="AJ31" s="545"/>
      <c r="AK31" s="545"/>
      <c r="AL31" s="545"/>
      <c r="AM31" s="545"/>
      <c r="AN31" s="545"/>
      <c r="AO31" s="545"/>
      <c r="AP31" s="545"/>
      <c r="AQ31" s="545"/>
      <c r="AR31" s="545"/>
      <c r="AS31" s="545"/>
      <c r="AT31" s="545"/>
      <c r="AU31" s="545"/>
      <c r="AV31" s="545"/>
      <c r="AW31" s="545"/>
      <c r="AX31" s="545"/>
      <c r="AY31" s="545"/>
      <c r="AZ31" s="545"/>
      <c r="BA31" s="50"/>
      <c r="BB31" s="50"/>
      <c r="BC31" s="546"/>
      <c r="BD31" s="130"/>
      <c r="BE31" s="130"/>
      <c r="BF31" s="130"/>
      <c r="BG31" s="130"/>
      <c r="BH31" s="130"/>
      <c r="BI31" s="185">
        <v>0</v>
      </c>
    </row>
    <row r="32" s="185" customFormat="1" ht="18.75" hidden="1" customHeight="1">
      <c r="A32" s="152"/>
      <c r="B32" s="152"/>
      <c r="C32" s="152"/>
      <c r="D32" s="152"/>
      <c r="E32" s="152"/>
      <c r="F32" s="152"/>
      <c r="G32" s="152"/>
      <c r="H32" s="152"/>
      <c r="I32" s="152"/>
      <c r="J32" s="152"/>
      <c r="K32" s="152"/>
      <c r="L32" s="482"/>
      <c r="M32" s="152"/>
      <c r="N32" s="152"/>
      <c r="O32" s="152"/>
      <c r="P32" s="152"/>
      <c r="Q32" s="152"/>
      <c r="S32" s="543" t="s">
        <v>417</v>
      </c>
      <c r="T32" s="543"/>
      <c r="U32" s="544"/>
      <c r="V32" s="547" t="str">
        <f>IF(TITLE_DATE_PR_CHANGE="",IF(TITLE_DATE_PR="","",TITLE_DATE_PR),TITLE_DATE_PR_CHANGE)</f>
        <v/>
      </c>
      <c r="W32" s="547"/>
      <c r="X32" s="547"/>
      <c r="Y32" s="547"/>
      <c r="Z32" s="547"/>
      <c r="AA32" s="547"/>
      <c r="AB32" s="547"/>
      <c r="AC32" s="50"/>
      <c r="AD32" s="547" t="str">
        <f>IF(TITLE_DATE_PR_CHANGE="",IF(TITLE_DATE_PR="","",TITLE_DATE_PR),TITLE_DATE_PR_CHANGE)</f>
        <v/>
      </c>
      <c r="AE32" s="547"/>
      <c r="AF32" s="547"/>
      <c r="AG32" s="547"/>
      <c r="AH32" s="547"/>
      <c r="AI32" s="547"/>
      <c r="AJ32" s="547"/>
      <c r="AK32" s="547"/>
      <c r="AL32" s="547"/>
      <c r="AM32" s="547"/>
      <c r="AN32" s="547"/>
      <c r="AO32" s="547"/>
      <c r="AP32" s="547"/>
      <c r="AQ32" s="547"/>
      <c r="AR32" s="547"/>
      <c r="AS32" s="547"/>
      <c r="AT32" s="547"/>
      <c r="AU32" s="547"/>
      <c r="AV32" s="547"/>
      <c r="AW32" s="547"/>
      <c r="AX32" s="547"/>
      <c r="AY32" s="547"/>
      <c r="AZ32" s="547"/>
      <c r="BA32" s="50"/>
      <c r="BB32" s="50"/>
      <c r="BC32" s="546"/>
      <c r="BD32" s="130"/>
      <c r="BE32" s="130"/>
      <c r="BF32" s="130"/>
      <c r="BG32" s="130"/>
      <c r="BH32" s="130"/>
      <c r="BI32" s="185">
        <v>0</v>
      </c>
    </row>
    <row r="33" s="185" customFormat="1" ht="18.75" hidden="1" customHeight="1">
      <c r="A33" s="152"/>
      <c r="B33" s="152"/>
      <c r="C33" s="152"/>
      <c r="D33" s="152"/>
      <c r="E33" s="152"/>
      <c r="F33" s="152"/>
      <c r="G33" s="152"/>
      <c r="H33" s="152"/>
      <c r="I33" s="152"/>
      <c r="J33" s="152"/>
      <c r="K33" s="152"/>
      <c r="L33" s="482"/>
      <c r="M33" s="152"/>
      <c r="N33" s="152"/>
      <c r="O33" s="152"/>
      <c r="P33" s="152"/>
      <c r="Q33" s="152"/>
      <c r="S33" s="543" t="s">
        <v>418</v>
      </c>
      <c r="T33" s="543"/>
      <c r="U33" s="544"/>
      <c r="V33" s="545" t="str">
        <f>IF(TITLE_NUMBER_PR_CHANGE="",IF(TITLE_NUMBER_PR="","",TITLE_NUMBER_PR),TITLE_NUMBER_PR_CHANGE)</f>
        <v/>
      </c>
      <c r="W33" s="545"/>
      <c r="X33" s="545"/>
      <c r="Y33" s="545"/>
      <c r="Z33" s="545"/>
      <c r="AA33" s="545"/>
      <c r="AB33" s="545"/>
      <c r="AC33" s="50"/>
      <c r="AD33" s="545" t="str">
        <f>IF(TITLE_NUMBER_PR_CHANGE="",IF(TITLE_NUMBER_PR="","",TITLE_NUMBER_PR),TITLE_NUMBER_PR_CHANGE)</f>
        <v/>
      </c>
      <c r="AE33" s="545"/>
      <c r="AF33" s="545"/>
      <c r="AG33" s="545"/>
      <c r="AH33" s="545"/>
      <c r="AI33" s="545"/>
      <c r="AJ33" s="545"/>
      <c r="AK33" s="545"/>
      <c r="AL33" s="545"/>
      <c r="AM33" s="545"/>
      <c r="AN33" s="545"/>
      <c r="AO33" s="545"/>
      <c r="AP33" s="545"/>
      <c r="AQ33" s="545"/>
      <c r="AR33" s="545"/>
      <c r="AS33" s="545"/>
      <c r="AT33" s="545"/>
      <c r="AU33" s="545"/>
      <c r="AV33" s="545"/>
      <c r="AW33" s="545"/>
      <c r="AX33" s="545"/>
      <c r="AY33" s="545"/>
      <c r="AZ33" s="545"/>
      <c r="BA33" s="50"/>
      <c r="BB33" s="50"/>
      <c r="BC33" s="546"/>
      <c r="BD33" s="130"/>
      <c r="BE33" s="130"/>
      <c r="BF33" s="130"/>
      <c r="BG33" s="130"/>
      <c r="BH33" s="130"/>
      <c r="BI33" s="185">
        <v>0</v>
      </c>
    </row>
    <row r="34" s="185" customFormat="1" ht="18.75" hidden="1" customHeight="1">
      <c r="A34" s="152"/>
      <c r="B34" s="152"/>
      <c r="C34" s="152"/>
      <c r="D34" s="152"/>
      <c r="E34" s="152"/>
      <c r="F34" s="152"/>
      <c r="G34" s="152"/>
      <c r="H34" s="152"/>
      <c r="I34" s="152"/>
      <c r="J34" s="152"/>
      <c r="K34" s="152"/>
      <c r="L34" s="482"/>
      <c r="M34" s="152"/>
      <c r="N34" s="152"/>
      <c r="O34" s="152"/>
      <c r="P34" s="152"/>
      <c r="Q34" s="152"/>
      <c r="S34" s="543" t="s">
        <v>42</v>
      </c>
      <c r="T34" s="543"/>
      <c r="U34" s="544"/>
      <c r="V34" s="545" t="str">
        <f>IF(TITLE_IST_PUB_CHANGE="",IF(TITLE_IST_PUB="","",TITLE_IST_PUB),TITLE_IST_PUB_CHANGE)</f>
        <v/>
      </c>
      <c r="W34" s="545"/>
      <c r="X34" s="545"/>
      <c r="Y34" s="545"/>
      <c r="Z34" s="545"/>
      <c r="AA34" s="545"/>
      <c r="AB34" s="545"/>
      <c r="AC34" s="50"/>
      <c r="AD34" s="545" t="str">
        <f>IF(TITLE_IST_PUB_CHANGE="",IF(TITLE_IST_PUB="","",TITLE_IST_PUB),TITLE_IST_PUB_CHANGE)</f>
        <v/>
      </c>
      <c r="AE34" s="545"/>
      <c r="AF34" s="545"/>
      <c r="AG34" s="545"/>
      <c r="AH34" s="545"/>
      <c r="AI34" s="545"/>
      <c r="AJ34" s="545"/>
      <c r="AK34" s="545"/>
      <c r="AL34" s="545"/>
      <c r="AM34" s="545"/>
      <c r="AN34" s="545"/>
      <c r="AO34" s="545"/>
      <c r="AP34" s="545"/>
      <c r="AQ34" s="545"/>
      <c r="AR34" s="545"/>
      <c r="AS34" s="545"/>
      <c r="AT34" s="545"/>
      <c r="AU34" s="545"/>
      <c r="AV34" s="545"/>
      <c r="AW34" s="545"/>
      <c r="AX34" s="545"/>
      <c r="AY34" s="545"/>
      <c r="AZ34" s="545"/>
      <c r="BA34" s="50"/>
      <c r="BB34" s="50"/>
      <c r="BC34" s="546"/>
      <c r="BD34" s="130"/>
      <c r="BE34" s="130"/>
      <c r="BF34" s="130"/>
      <c r="BG34" s="130"/>
      <c r="BH34" s="130"/>
      <c r="BI34" s="185">
        <v>0</v>
      </c>
    </row>
    <row r="35" ht="14.25" hidden="1" customHeight="1">
      <c r="Q35" s="660"/>
      <c r="R35" s="540"/>
      <c r="S35" s="541"/>
      <c r="T35" s="91"/>
      <c r="U35" s="91"/>
      <c r="V35" s="542"/>
      <c r="W35" s="542"/>
      <c r="X35" s="542"/>
      <c r="Y35" s="542"/>
      <c r="Z35" s="542"/>
      <c r="AA35" s="542"/>
      <c r="AB35" s="542"/>
      <c r="AC35" s="542"/>
      <c r="AD35" s="542"/>
      <c r="AE35" s="542"/>
      <c r="AF35" s="542"/>
      <c r="AG35" s="542"/>
      <c r="AH35" s="542"/>
      <c r="AI35" s="542"/>
      <c r="AJ35" s="542"/>
      <c r="AK35" s="542"/>
      <c r="AL35" s="542"/>
      <c r="AM35" s="542"/>
      <c r="AN35" s="542"/>
      <c r="AO35" s="542"/>
      <c r="AP35" s="542"/>
      <c r="AQ35" s="542"/>
      <c r="AR35" s="542"/>
      <c r="AS35" s="542"/>
      <c r="AT35" s="542"/>
      <c r="AU35" s="542"/>
      <c r="AV35" s="542"/>
      <c r="AW35" s="542"/>
      <c r="AX35" s="542"/>
      <c r="AY35" s="542"/>
      <c r="AZ35" s="542"/>
      <c r="BA35" s="542"/>
      <c r="BB35" s="50"/>
      <c r="BI35" s="50">
        <v>0</v>
      </c>
    </row>
    <row r="36" s="185" customFormat="1" ht="18.75" hidden="1" customHeight="1">
      <c r="A36" s="152"/>
      <c r="B36" s="152"/>
      <c r="C36" s="152"/>
      <c r="D36" s="152"/>
      <c r="E36" s="152"/>
      <c r="F36" s="152"/>
      <c r="G36" s="152"/>
      <c r="H36" s="152"/>
      <c r="I36" s="152"/>
      <c r="J36" s="152"/>
      <c r="K36" s="152"/>
      <c r="L36" s="482"/>
      <c r="M36" s="152"/>
      <c r="N36" s="152"/>
      <c r="O36" s="152"/>
      <c r="P36" s="152"/>
      <c r="Q36" s="152"/>
      <c r="S36" s="543" t="s">
        <v>417</v>
      </c>
      <c r="T36" s="543"/>
      <c r="U36" s="544"/>
      <c r="V36" s="547" t="str">
        <f>IF(TITLE_DATE_PR_CHANGE="",IF(TITLE_DATE_PR="","",TITLE_DATE_PR),TITLE_DATE_PR_CHANGE)</f>
        <v/>
      </c>
      <c r="W36" s="547"/>
      <c r="X36" s="547"/>
      <c r="Y36" s="547"/>
      <c r="Z36" s="547"/>
      <c r="AA36" s="547"/>
      <c r="AB36" s="547"/>
      <c r="AC36" s="50"/>
      <c r="AD36" s="547" t="str">
        <f>IF(TITLE_DATE_PR_CHANGE="",IF(TITLE_DATE_PR="","",TITLE_DATE_PR),TITLE_DATE_PR_CHANGE)</f>
        <v/>
      </c>
      <c r="AE36" s="547"/>
      <c r="AF36" s="547"/>
      <c r="AG36" s="547"/>
      <c r="AH36" s="547"/>
      <c r="AI36" s="547"/>
      <c r="AJ36" s="547"/>
      <c r="AK36" s="547"/>
      <c r="AL36" s="547"/>
      <c r="AM36" s="547"/>
      <c r="AN36" s="547"/>
      <c r="AO36" s="547"/>
      <c r="AP36" s="547"/>
      <c r="AQ36" s="547"/>
      <c r="AR36" s="547"/>
      <c r="AS36" s="547"/>
      <c r="AT36" s="547"/>
      <c r="AU36" s="547"/>
      <c r="AV36" s="547"/>
      <c r="AW36" s="547"/>
      <c r="AX36" s="547"/>
      <c r="AY36" s="547"/>
      <c r="AZ36" s="547"/>
      <c r="BA36" s="50"/>
      <c r="BB36" s="50"/>
      <c r="BC36" s="546"/>
      <c r="BD36" s="130"/>
      <c r="BE36" s="130"/>
      <c r="BF36" s="130"/>
      <c r="BG36" s="130"/>
      <c r="BH36" s="130"/>
      <c r="BI36" s="185">
        <v>0</v>
      </c>
    </row>
    <row r="37" s="185" customFormat="1" ht="18.75" hidden="1" customHeight="1">
      <c r="A37" s="152"/>
      <c r="B37" s="152"/>
      <c r="C37" s="152"/>
      <c r="D37" s="152"/>
      <c r="E37" s="152"/>
      <c r="F37" s="152"/>
      <c r="G37" s="152"/>
      <c r="H37" s="152"/>
      <c r="I37" s="152"/>
      <c r="J37" s="152"/>
      <c r="K37" s="152"/>
      <c r="L37" s="482"/>
      <c r="M37" s="152"/>
      <c r="N37" s="152"/>
      <c r="O37" s="152"/>
      <c r="P37" s="152"/>
      <c r="Q37" s="152"/>
      <c r="S37" s="543" t="s">
        <v>418</v>
      </c>
      <c r="T37" s="543"/>
      <c r="U37" s="544"/>
      <c r="V37" s="545" t="str">
        <f>IF(TITLE_NUMBER_PR_CHANGE="",IF(TITLE_NUMBER_PR="","",TITLE_NUMBER_PR),TITLE_NUMBER_PR_CHANGE)</f>
        <v/>
      </c>
      <c r="W37" s="545"/>
      <c r="X37" s="545"/>
      <c r="Y37" s="545"/>
      <c r="Z37" s="545"/>
      <c r="AA37" s="545"/>
      <c r="AB37" s="545"/>
      <c r="AC37" s="50"/>
      <c r="AD37" s="545" t="str">
        <f>IF(TITLE_NUMBER_PR_CHANGE="",IF(TITLE_NUMBER_PR="","",TITLE_NUMBER_PR),TITLE_NUMBER_PR_CHANGE)</f>
        <v/>
      </c>
      <c r="AE37" s="545"/>
      <c r="AF37" s="545"/>
      <c r="AG37" s="545"/>
      <c r="AH37" s="545"/>
      <c r="AI37" s="545"/>
      <c r="AJ37" s="545"/>
      <c r="AK37" s="545"/>
      <c r="AL37" s="545"/>
      <c r="AM37" s="545"/>
      <c r="AN37" s="545"/>
      <c r="AO37" s="545"/>
      <c r="AP37" s="545"/>
      <c r="AQ37" s="545"/>
      <c r="AR37" s="545"/>
      <c r="AS37" s="545"/>
      <c r="AT37" s="545"/>
      <c r="AU37" s="545"/>
      <c r="AV37" s="545"/>
      <c r="AW37" s="545"/>
      <c r="AX37" s="545"/>
      <c r="AY37" s="545"/>
      <c r="AZ37" s="545"/>
      <c r="BA37" s="50"/>
      <c r="BB37" s="50"/>
      <c r="BC37" s="546"/>
      <c r="BD37" s="130"/>
      <c r="BE37" s="130"/>
      <c r="BF37" s="130"/>
      <c r="BG37" s="130"/>
      <c r="BH37" s="130"/>
      <c r="BI37" s="185">
        <v>0</v>
      </c>
    </row>
    <row r="38" s="185" customFormat="1" ht="0" customHeight="1">
      <c r="A38" s="152"/>
      <c r="B38" s="152"/>
      <c r="C38" s="152"/>
      <c r="D38" s="152"/>
      <c r="E38" s="152"/>
      <c r="F38" s="152"/>
      <c r="G38" s="152"/>
      <c r="H38" s="152"/>
      <c r="I38" s="152"/>
      <c r="J38" s="152"/>
      <c r="K38" s="152"/>
      <c r="L38" s="482"/>
      <c r="M38" s="152"/>
      <c r="N38" s="152"/>
      <c r="O38" s="152"/>
      <c r="P38" s="152"/>
      <c r="Q38" s="152"/>
      <c r="S38" s="50"/>
      <c r="T38" s="50"/>
      <c r="U38" s="141"/>
      <c r="V38" s="50"/>
      <c r="W38" s="50"/>
      <c r="X38" s="50"/>
      <c r="Y38" s="50"/>
      <c r="Z38" s="50"/>
      <c r="AA38" s="50"/>
      <c r="AB38" s="50"/>
      <c r="AC38" s="57" t="s">
        <v>421</v>
      </c>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7" t="s">
        <v>421</v>
      </c>
      <c r="BD38" s="130"/>
      <c r="BE38" s="130"/>
      <c r="BF38" s="130"/>
      <c r="BG38" s="130"/>
      <c r="BH38" s="130"/>
      <c r="BI38" s="185">
        <v>0</v>
      </c>
    </row>
    <row r="39" ht="14.65" customHeight="1">
      <c r="Q39" s="660"/>
      <c r="R39" s="540"/>
      <c r="S39" s="541"/>
      <c r="T39" s="91"/>
      <c r="U39" s="548"/>
      <c r="V39" s="549"/>
      <c r="W39" s="549"/>
      <c r="X39" s="549"/>
      <c r="Y39" s="549"/>
      <c r="Z39" s="549"/>
      <c r="AA39" s="549"/>
      <c r="AB39" s="549"/>
      <c r="AC39" s="549"/>
      <c r="AD39" s="549"/>
      <c r="AE39" s="549"/>
      <c r="AF39" s="549"/>
      <c r="AG39" s="549"/>
      <c r="AH39" s="549"/>
      <c r="AI39" s="549"/>
      <c r="AJ39" s="549"/>
      <c r="AK39" s="549"/>
      <c r="AL39" s="549"/>
      <c r="AM39" s="549"/>
      <c r="AN39" s="549"/>
      <c r="AO39" s="549"/>
      <c r="AP39" s="549"/>
      <c r="AQ39" s="549"/>
      <c r="AR39" s="549"/>
      <c r="AS39" s="549"/>
      <c r="AT39" s="549"/>
      <c r="AU39" s="549"/>
      <c r="AV39" s="549"/>
      <c r="AW39" s="549"/>
      <c r="AX39" s="549"/>
      <c r="AY39" s="549"/>
      <c r="AZ39" s="549"/>
      <c r="BA39" s="549"/>
      <c r="BI39" s="50">
        <v>14</v>
      </c>
    </row>
    <row r="40" ht="14.65" customHeight="1">
      <c r="Q40" s="660"/>
      <c r="R40" s="540"/>
      <c r="S40" s="158" t="s">
        <v>294</v>
      </c>
      <c r="T40" s="158"/>
      <c r="U40" s="158"/>
      <c r="V40" s="158"/>
      <c r="W40" s="158"/>
      <c r="X40" s="158"/>
      <c r="Y40" s="158"/>
      <c r="Z40" s="158"/>
      <c r="AA40" s="158"/>
      <c r="AB40" s="158"/>
      <c r="AC40" s="158"/>
      <c r="AD40" s="158"/>
      <c r="AE40" s="158"/>
      <c r="AF40" s="158"/>
      <c r="AG40" s="158"/>
      <c r="AH40" s="158"/>
      <c r="AI40" s="158"/>
      <c r="AJ40" s="158"/>
      <c r="AK40" s="158"/>
      <c r="AL40" s="158"/>
      <c r="AM40" s="158"/>
      <c r="AN40" s="158"/>
      <c r="AO40" s="158"/>
      <c r="AP40" s="158"/>
      <c r="AQ40" s="158"/>
      <c r="AR40" s="158"/>
      <c r="AS40" s="158"/>
      <c r="AT40" s="158"/>
      <c r="AU40" s="158"/>
      <c r="AV40" s="158"/>
      <c r="AW40" s="158"/>
      <c r="AX40" s="158"/>
      <c r="AY40" s="158"/>
      <c r="AZ40" s="158"/>
      <c r="BA40" s="158"/>
      <c r="BB40" s="158"/>
      <c r="BC40" s="158" t="s">
        <v>295</v>
      </c>
      <c r="BI40" s="50">
        <v>14</v>
      </c>
    </row>
    <row r="41" ht="14.65" customHeight="1">
      <c r="Q41" s="660"/>
      <c r="R41" s="540"/>
      <c r="S41" s="485" t="s">
        <v>87</v>
      </c>
      <c r="T41" s="348" t="s">
        <v>501</v>
      </c>
      <c r="U41" s="550"/>
      <c r="V41" s="551" t="s">
        <v>423</v>
      </c>
      <c r="W41" s="552"/>
      <c r="X41" s="552"/>
      <c r="Y41" s="552"/>
      <c r="Z41" s="552"/>
      <c r="AA41" s="552"/>
      <c r="AB41" s="553"/>
      <c r="AC41" s="554" t="s">
        <v>424</v>
      </c>
      <c r="AD41" s="662" t="s">
        <v>502</v>
      </c>
      <c r="AE41" s="585"/>
      <c r="AF41" s="585"/>
      <c r="AG41" s="663"/>
      <c r="AH41" s="662" t="s">
        <v>503</v>
      </c>
      <c r="AI41" s="585"/>
      <c r="AJ41" s="585"/>
      <c r="AK41" s="663"/>
      <c r="AL41" s="662" t="s">
        <v>504</v>
      </c>
      <c r="AM41" s="585"/>
      <c r="AN41" s="585"/>
      <c r="AO41" s="663"/>
      <c r="AP41" s="662" t="s">
        <v>505</v>
      </c>
      <c r="AQ41" s="585"/>
      <c r="AR41" s="585"/>
      <c r="AS41" s="663"/>
      <c r="AT41" s="551" t="s">
        <v>423</v>
      </c>
      <c r="AU41" s="552"/>
      <c r="AV41" s="552"/>
      <c r="AW41" s="552"/>
      <c r="AX41" s="552"/>
      <c r="AY41" s="552"/>
      <c r="AZ41" s="553"/>
      <c r="BA41" s="554" t="s">
        <v>424</v>
      </c>
      <c r="BB41" s="555" t="s">
        <v>426</v>
      </c>
      <c r="BC41" s="158"/>
      <c r="BI41" s="50">
        <v>14</v>
      </c>
    </row>
    <row r="42" ht="35.649999999999999" customHeight="1">
      <c r="Q42" s="660"/>
      <c r="R42" s="540"/>
      <c r="S42" s="485"/>
      <c r="T42" s="348"/>
      <c r="U42" s="556"/>
      <c r="V42" s="305" t="s">
        <v>506</v>
      </c>
      <c r="W42" s="306"/>
      <c r="X42" s="305" t="s">
        <v>507</v>
      </c>
      <c r="Y42" s="306"/>
      <c r="Z42" s="305" t="s">
        <v>508</v>
      </c>
      <c r="AA42" s="627"/>
      <c r="AB42" s="306"/>
      <c r="AC42" s="558"/>
      <c r="AD42" s="665"/>
      <c r="AE42" s="666"/>
      <c r="AF42" s="666"/>
      <c r="AG42" s="667"/>
      <c r="AH42" s="665"/>
      <c r="AI42" s="666"/>
      <c r="AJ42" s="666"/>
      <c r="AK42" s="667"/>
      <c r="AL42" s="665"/>
      <c r="AM42" s="666"/>
      <c r="AN42" s="666"/>
      <c r="AO42" s="667"/>
      <c r="AP42" s="665"/>
      <c r="AQ42" s="666"/>
      <c r="AR42" s="666"/>
      <c r="AS42" s="667"/>
      <c r="AT42" s="305" t="s">
        <v>506</v>
      </c>
      <c r="AU42" s="306"/>
      <c r="AV42" s="305" t="s">
        <v>507</v>
      </c>
      <c r="AW42" s="306"/>
      <c r="AX42" s="305" t="s">
        <v>508</v>
      </c>
      <c r="AY42" s="627"/>
      <c r="AZ42" s="306"/>
      <c r="BA42" s="558"/>
      <c r="BB42" s="559"/>
      <c r="BC42" s="158"/>
      <c r="BI42" s="50">
        <v>34</v>
      </c>
    </row>
    <row r="43" ht="14.65" customHeight="1">
      <c r="Q43" s="660"/>
      <c r="R43" s="540"/>
      <c r="S43" s="485"/>
      <c r="T43" s="348"/>
      <c r="U43" s="556"/>
      <c r="V43" s="311"/>
      <c r="W43" s="312"/>
      <c r="X43" s="311"/>
      <c r="Y43" s="312"/>
      <c r="Z43" s="311"/>
      <c r="AA43" s="628"/>
      <c r="AB43" s="312"/>
      <c r="AC43" s="558"/>
      <c r="AD43" s="665"/>
      <c r="AE43" s="666"/>
      <c r="AF43" s="666"/>
      <c r="AG43" s="667"/>
      <c r="AH43" s="665"/>
      <c r="AI43" s="666"/>
      <c r="AJ43" s="666"/>
      <c r="AK43" s="667"/>
      <c r="AL43" s="665"/>
      <c r="AM43" s="666"/>
      <c r="AN43" s="666"/>
      <c r="AO43" s="667"/>
      <c r="AP43" s="665"/>
      <c r="AQ43" s="666"/>
      <c r="AR43" s="666"/>
      <c r="AS43" s="667"/>
      <c r="AT43" s="311"/>
      <c r="AU43" s="312"/>
      <c r="AV43" s="311"/>
      <c r="AW43" s="312"/>
      <c r="AX43" s="311"/>
      <c r="AY43" s="628"/>
      <c r="AZ43" s="312"/>
      <c r="BA43" s="558"/>
      <c r="BB43" s="559"/>
      <c r="BC43" s="158"/>
      <c r="BI43" s="50">
        <v>14</v>
      </c>
    </row>
    <row r="44" ht="14.65" customHeight="1">
      <c r="A44" s="152"/>
      <c r="B44" s="152" t="s">
        <v>131</v>
      </c>
      <c r="C44" s="152" t="s">
        <v>132</v>
      </c>
      <c r="D44" s="152" t="s">
        <v>133</v>
      </c>
      <c r="E44" s="482" t="s">
        <v>431</v>
      </c>
      <c r="F44" s="482" t="s">
        <v>432</v>
      </c>
      <c r="G44" s="482" t="s">
        <v>433</v>
      </c>
      <c r="H44" s="482" t="s">
        <v>434</v>
      </c>
      <c r="I44" s="482" t="s">
        <v>435</v>
      </c>
      <c r="J44" s="482" t="s">
        <v>436</v>
      </c>
      <c r="K44" s="482" t="s">
        <v>437</v>
      </c>
      <c r="L44" s="482" t="s">
        <v>412</v>
      </c>
      <c r="Q44" s="660"/>
      <c r="R44" s="540"/>
      <c r="S44" s="485"/>
      <c r="T44" s="348"/>
      <c r="U44" s="560"/>
      <c r="V44" s="348" t="s">
        <v>472</v>
      </c>
      <c r="W44" s="348" t="s">
        <v>473</v>
      </c>
      <c r="X44" s="348" t="s">
        <v>472</v>
      </c>
      <c r="Y44" s="348" t="s">
        <v>473</v>
      </c>
      <c r="Z44" s="247" t="s">
        <v>440</v>
      </c>
      <c r="AA44" s="416" t="s">
        <v>441</v>
      </c>
      <c r="AB44" s="418"/>
      <c r="AC44" s="562"/>
      <c r="AD44" s="671"/>
      <c r="AE44" s="672"/>
      <c r="AF44" s="672"/>
      <c r="AG44" s="673"/>
      <c r="AH44" s="671"/>
      <c r="AI44" s="672"/>
      <c r="AJ44" s="672"/>
      <c r="AK44" s="673"/>
      <c r="AL44" s="671"/>
      <c r="AM44" s="672"/>
      <c r="AN44" s="672"/>
      <c r="AO44" s="673"/>
      <c r="AP44" s="671"/>
      <c r="AQ44" s="672"/>
      <c r="AR44" s="672"/>
      <c r="AS44" s="673"/>
      <c r="AT44" s="348" t="s">
        <v>472</v>
      </c>
      <c r="AU44" s="348" t="s">
        <v>473</v>
      </c>
      <c r="AV44" s="348" t="s">
        <v>472</v>
      </c>
      <c r="AW44" s="348" t="s">
        <v>473</v>
      </c>
      <c r="AX44" s="247" t="s">
        <v>440</v>
      </c>
      <c r="AY44" s="416" t="s">
        <v>441</v>
      </c>
      <c r="AZ44" s="418"/>
      <c r="BA44" s="562"/>
      <c r="BB44" s="563"/>
      <c r="BC44" s="158"/>
      <c r="BI44" s="50">
        <v>14</v>
      </c>
    </row>
    <row r="45" s="132" customFormat="1" ht="0" customHeight="1">
      <c r="A45" s="152"/>
      <c r="B45" s="152"/>
      <c r="C45" s="152"/>
      <c r="D45" s="152"/>
      <c r="E45" s="152"/>
      <c r="F45" s="152"/>
      <c r="G45" s="152"/>
      <c r="H45" s="152"/>
      <c r="I45" s="152"/>
      <c r="J45" s="152"/>
      <c r="K45" s="152"/>
      <c r="L45" s="482"/>
      <c r="M45" s="61"/>
      <c r="N45" s="61"/>
      <c r="O45" s="61"/>
      <c r="P45" s="597"/>
      <c r="Q45" s="566"/>
      <c r="R45" s="566">
        <v>1</v>
      </c>
      <c r="S45" s="567" t="s">
        <v>105</v>
      </c>
      <c r="T45" s="568" t="s">
        <v>106</v>
      </c>
      <c r="U45" s="569" t="str">
        <f ca="1">OFFSET(U45,0,-1)</f>
        <v>2</v>
      </c>
      <c r="V45" s="570">
        <f ca="1">OFFSET(V45,0,-1)+1</f>
        <v>3</v>
      </c>
      <c r="W45" s="570">
        <f ca="1">OFFSET(W45,0,-1)+1</f>
        <v>4</v>
      </c>
      <c r="X45" s="570">
        <f ca="1">OFFSET(X45,0,-1)+1</f>
        <v>5</v>
      </c>
      <c r="Y45" s="570">
        <f ca="1">OFFSET(Y45,0,-1)+1</f>
        <v>6</v>
      </c>
      <c r="Z45" s="570">
        <f ca="1">OFFSET(Z45,0,-1)+1</f>
        <v>7</v>
      </c>
      <c r="AA45" s="570">
        <f ca="1">OFFSET(AA45,0,-1)+1</f>
        <v>8</v>
      </c>
      <c r="AB45" s="570"/>
      <c r="AC45" s="570">
        <f ca="1">OFFSET(AC45,0,-2)+1</f>
        <v>9</v>
      </c>
      <c r="AD45" s="570">
        <f ca="1">OFFSET(AD45,0,-1)+1</f>
        <v>10</v>
      </c>
      <c r="AE45" s="570"/>
      <c r="AF45" s="570"/>
      <c r="AG45" s="570"/>
      <c r="AH45" s="570"/>
      <c r="AI45" s="570"/>
      <c r="AJ45" s="570"/>
      <c r="AK45" s="570"/>
      <c r="AL45" s="570"/>
      <c r="AM45" s="570"/>
      <c r="AN45" s="570"/>
      <c r="AO45" s="570"/>
      <c r="AP45" s="570"/>
      <c r="AQ45" s="570"/>
      <c r="AR45" s="570"/>
      <c r="AS45" s="570"/>
      <c r="AT45" s="570"/>
      <c r="AU45" s="570"/>
      <c r="AV45" s="570"/>
      <c r="AW45" s="570">
        <f ca="1">OFFSET(AW45,0,-1)+1</f>
        <v>1</v>
      </c>
      <c r="AX45" s="570">
        <f ca="1">OFFSET(AX45,0,-1)+1</f>
        <v>2</v>
      </c>
      <c r="AY45" s="570">
        <f ca="1">OFFSET(AY45,0,-1)+1</f>
        <v>3</v>
      </c>
      <c r="AZ45" s="570"/>
      <c r="BA45" s="570">
        <f ca="1">OFFSET(BA45,0,-2)+1</f>
        <v>4</v>
      </c>
      <c r="BB45" s="569">
        <f ca="1">OFFSET(BB45,0,-1)</f>
        <v>4</v>
      </c>
      <c r="BC45" s="570">
        <f ca="1">OFFSET(BC45,0,-1)+1</f>
        <v>5</v>
      </c>
      <c r="BD45" s="57"/>
      <c r="BE45" s="57"/>
      <c r="BF45" s="57"/>
      <c r="BG45" s="57"/>
      <c r="BH45" s="57"/>
      <c r="BI45" s="132">
        <v>0</v>
      </c>
    </row>
    <row r="46" ht="22" customHeight="1">
      <c r="A46" s="480" t="s">
        <v>255</v>
      </c>
      <c r="B46" s="480"/>
      <c r="C46" s="480"/>
      <c r="D46" s="480"/>
      <c r="E46" s="481">
        <v>1</v>
      </c>
      <c r="F46" s="480"/>
      <c r="G46" s="480"/>
      <c r="H46" s="480"/>
      <c r="I46" s="480"/>
      <c r="J46" s="480"/>
      <c r="K46" s="480"/>
      <c r="L46" s="482"/>
      <c r="M46" s="483"/>
      <c r="N46" s="483"/>
      <c r="O46" s="483"/>
      <c r="P46" s="61"/>
      <c r="Q46" s="64"/>
      <c r="R46" s="484"/>
      <c r="S46" s="485">
        <f>INDEX(PT_DIFFERENTIATION_NUM_NTAR,MATCH(A46,PT_DIFFERENTIATION_NTAR_ID,0))</f>
        <v>0</v>
      </c>
      <c r="T46" s="486" t="s">
        <v>119</v>
      </c>
      <c r="U46" s="487"/>
      <c r="V46" s="489"/>
      <c r="W46" s="489"/>
      <c r="X46" s="489"/>
      <c r="Y46" s="489"/>
      <c r="Z46" s="489"/>
      <c r="AA46" s="489"/>
      <c r="AB46" s="489"/>
      <c r="AC46" s="490"/>
      <c r="AD46" s="488" t="str">
        <f>INDEX(PT_DIFFERENTIATION_NTAR,MATCH(A46,PT_DIFFERENTIATION_NTAR_ID,0))</f>
        <v/>
      </c>
      <c r="AE46" s="489"/>
      <c r="AF46" s="489"/>
      <c r="AG46" s="489"/>
      <c r="AH46" s="489"/>
      <c r="AI46" s="489"/>
      <c r="AJ46" s="489"/>
      <c r="AK46" s="489"/>
      <c r="AL46" s="489"/>
      <c r="AM46" s="489"/>
      <c r="AN46" s="489"/>
      <c r="AO46" s="489"/>
      <c r="AP46" s="489"/>
      <c r="AQ46" s="489"/>
      <c r="AR46" s="489"/>
      <c r="AS46" s="489"/>
      <c r="AT46" s="489"/>
      <c r="AU46" s="489"/>
      <c r="AV46" s="489"/>
      <c r="AW46" s="489"/>
      <c r="AX46" s="489"/>
      <c r="AY46" s="489"/>
      <c r="AZ46" s="489"/>
      <c r="BA46" s="489"/>
      <c r="BB46" s="490"/>
      <c r="BC46" s="49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 xml:space="preserve">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130"/>
      <c r="BF46" s="130" t="str">
        <f t="shared" si="46"/>
        <v xml:space="preserve">Наименование тарифа</v>
      </c>
      <c r="BG46" s="130"/>
      <c r="BH46" s="130"/>
      <c r="BI46" s="50">
        <v>21</v>
      </c>
    </row>
    <row r="47" ht="22" customHeight="1">
      <c r="A47" s="480" t="s">
        <v>255</v>
      </c>
      <c r="B47" s="480" t="s">
        <v>256</v>
      </c>
      <c r="C47" s="480"/>
      <c r="D47" s="480"/>
      <c r="E47" s="492"/>
      <c r="F47" s="481">
        <v>1</v>
      </c>
      <c r="G47" s="480"/>
      <c r="H47" s="480"/>
      <c r="I47" s="480"/>
      <c r="J47" s="480"/>
      <c r="K47" s="480"/>
      <c r="L47" s="482"/>
      <c r="M47" s="483"/>
      <c r="N47" s="483"/>
      <c r="O47" s="483"/>
      <c r="P47" s="114"/>
      <c r="Q47" s="630"/>
      <c r="R47" s="494"/>
      <c r="S47" s="485" t="str">
        <f>INDEX(PT_DIFFERENTIATION_NUM_TER,MATCH(B47,PT_DIFFERENTIATION_TER_ID,0))</f>
        <v>.</v>
      </c>
      <c r="T47" s="495" t="s">
        <v>391</v>
      </c>
      <c r="U47" s="487"/>
      <c r="V47" s="489"/>
      <c r="W47" s="489"/>
      <c r="X47" s="489"/>
      <c r="Y47" s="489"/>
      <c r="Z47" s="489"/>
      <c r="AA47" s="489"/>
      <c r="AB47" s="489"/>
      <c r="AC47" s="490"/>
      <c r="AD47" s="488" t="str">
        <f>INDEX(PT_DIFFERENTIATION_TER,MATCH(B47,PT_DIFFERENTIATION_TER_ID,0))</f>
        <v/>
      </c>
      <c r="AE47" s="489"/>
      <c r="AF47" s="489"/>
      <c r="AG47" s="489"/>
      <c r="AH47" s="489"/>
      <c r="AI47" s="489"/>
      <c r="AJ47" s="489"/>
      <c r="AK47" s="489"/>
      <c r="AL47" s="489"/>
      <c r="AM47" s="489"/>
      <c r="AN47" s="489"/>
      <c r="AO47" s="489"/>
      <c r="AP47" s="489"/>
      <c r="AQ47" s="489"/>
      <c r="AR47" s="489"/>
      <c r="AS47" s="489"/>
      <c r="AT47" s="489"/>
      <c r="AU47" s="489"/>
      <c r="AV47" s="489"/>
      <c r="AW47" s="489"/>
      <c r="AX47" s="489"/>
      <c r="AY47" s="489"/>
      <c r="AZ47" s="489"/>
      <c r="BA47" s="489"/>
      <c r="BB47" s="490"/>
      <c r="BC47" s="491" t="s">
        <v>392</v>
      </c>
      <c r="BE47" s="130"/>
      <c r="BF47" s="130" t="str">
        <f t="shared" si="46"/>
        <v xml:space="preserve">Территория действия тарифа</v>
      </c>
      <c r="BG47" s="130"/>
      <c r="BH47" s="130"/>
      <c r="BI47" s="50">
        <v>21</v>
      </c>
    </row>
    <row r="48" ht="35.649999999999999" customHeight="1">
      <c r="A48" s="480" t="s">
        <v>255</v>
      </c>
      <c r="B48" s="480" t="s">
        <v>256</v>
      </c>
      <c r="C48" s="480" t="s">
        <v>257</v>
      </c>
      <c r="D48" s="480"/>
      <c r="E48" s="492"/>
      <c r="F48" s="492"/>
      <c r="G48" s="481">
        <v>1</v>
      </c>
      <c r="H48" s="480"/>
      <c r="I48" s="480"/>
      <c r="J48" s="480"/>
      <c r="K48" s="480"/>
      <c r="L48" s="482"/>
      <c r="M48" s="483"/>
      <c r="N48" s="483"/>
      <c r="O48" s="483"/>
      <c r="P48" s="136"/>
      <c r="Q48" s="630"/>
      <c r="R48" s="494"/>
      <c r="S48" s="485" t="str">
        <f>INDEX(PT_DIFFERENTIATION_NUM_CS,MATCH(C48,PT_DIFFERENTIATION_CS_ID,0))</f>
        <v>..</v>
      </c>
      <c r="T48" s="497" t="s">
        <v>524</v>
      </c>
      <c r="U48" s="487"/>
      <c r="V48" s="489"/>
      <c r="W48" s="489"/>
      <c r="X48" s="489"/>
      <c r="Y48" s="489"/>
      <c r="Z48" s="489"/>
      <c r="AA48" s="489"/>
      <c r="AB48" s="489"/>
      <c r="AC48" s="490"/>
      <c r="AD48" s="488" t="str">
        <f>INDEX(PT_DIFFERENTIATION_CS,MATCH(C48,PT_DIFFERENTIATION_CS_ID,0))</f>
        <v/>
      </c>
      <c r="AE48" s="489"/>
      <c r="AF48" s="489"/>
      <c r="AG48" s="489"/>
      <c r="AH48" s="489"/>
      <c r="AI48" s="489"/>
      <c r="AJ48" s="489"/>
      <c r="AK48" s="489"/>
      <c r="AL48" s="489"/>
      <c r="AM48" s="489"/>
      <c r="AN48" s="489"/>
      <c r="AO48" s="489"/>
      <c r="AP48" s="489"/>
      <c r="AQ48" s="489"/>
      <c r="AR48" s="489"/>
      <c r="AS48" s="489"/>
      <c r="AT48" s="489"/>
      <c r="AU48" s="489"/>
      <c r="AV48" s="489"/>
      <c r="AW48" s="489"/>
      <c r="AX48" s="489"/>
      <c r="AY48" s="489"/>
      <c r="AZ48" s="489"/>
      <c r="BA48" s="489"/>
      <c r="BB48" s="490"/>
      <c r="BC48" s="491" t="s">
        <v>525</v>
      </c>
      <c r="BE48" s="130"/>
      <c r="BF48" s="130" t="str">
        <f t="shared" si="46"/>
        <v xml:space="preserve">Наименование централизованной системы горячего водоснабжения</v>
      </c>
      <c r="BG48" s="130"/>
      <c r="BH48" s="130"/>
      <c r="BI48" s="50">
        <v>34</v>
      </c>
    </row>
    <row r="49" s="57" customFormat="1" ht="0" customHeight="1">
      <c r="A49" s="134" t="s">
        <v>255</v>
      </c>
      <c r="B49" s="134" t="s">
        <v>256</v>
      </c>
      <c r="C49" s="134" t="s">
        <v>257</v>
      </c>
      <c r="D49" s="134" t="s">
        <v>538</v>
      </c>
      <c r="E49" s="492"/>
      <c r="F49" s="492"/>
      <c r="G49" s="492"/>
      <c r="H49" s="481">
        <v>1</v>
      </c>
      <c r="I49" s="134"/>
      <c r="J49" s="134"/>
      <c r="K49" s="134"/>
      <c r="L49" s="213"/>
      <c r="M49" s="465"/>
      <c r="N49" s="465"/>
      <c r="O49" s="465"/>
      <c r="P49" s="695"/>
      <c r="Q49" s="696"/>
      <c r="R49" s="505"/>
      <c r="S49" s="352"/>
      <c r="T49" s="697"/>
      <c r="U49" s="588"/>
      <c r="V49" s="590"/>
      <c r="W49" s="590"/>
      <c r="X49" s="590"/>
      <c r="Y49" s="590"/>
      <c r="Z49" s="590"/>
      <c r="AA49" s="590"/>
      <c r="AB49" s="590"/>
      <c r="AC49" s="591"/>
      <c r="AD49" s="589"/>
      <c r="AE49" s="590"/>
      <c r="AF49" s="590"/>
      <c r="AG49" s="590"/>
      <c r="AH49" s="590"/>
      <c r="AI49" s="590"/>
      <c r="AJ49" s="590"/>
      <c r="AK49" s="590"/>
      <c r="AL49" s="590"/>
      <c r="AM49" s="590"/>
      <c r="AN49" s="590"/>
      <c r="AO49" s="590"/>
      <c r="AP49" s="590"/>
      <c r="AQ49" s="590"/>
      <c r="AR49" s="590"/>
      <c r="AS49" s="590"/>
      <c r="AT49" s="590"/>
      <c r="AU49" s="590"/>
      <c r="AV49" s="590"/>
      <c r="AW49" s="590"/>
      <c r="AX49" s="590"/>
      <c r="AY49" s="590"/>
      <c r="AZ49" s="590"/>
      <c r="BA49" s="590"/>
      <c r="BB49" s="591"/>
      <c r="BC49" s="592" t="s">
        <v>396</v>
      </c>
      <c r="BE49" s="130"/>
      <c r="BF49" s="130" t="str">
        <f t="shared" si="46"/>
        <v/>
      </c>
      <c r="BG49" s="130"/>
      <c r="BH49" s="130"/>
      <c r="BI49" s="57">
        <v>0</v>
      </c>
    </row>
    <row r="50" s="57" customFormat="1" ht="0" customHeight="1">
      <c r="A50" s="134" t="s">
        <v>255</v>
      </c>
      <c r="B50" s="134" t="s">
        <v>256</v>
      </c>
      <c r="C50" s="134" t="s">
        <v>257</v>
      </c>
      <c r="D50" s="134" t="s">
        <v>538</v>
      </c>
      <c r="E50" s="492"/>
      <c r="F50" s="492"/>
      <c r="G50" s="492"/>
      <c r="H50" s="492"/>
      <c r="I50" s="499" t="str">
        <f>S49&amp;".1"</f>
        <v>.1</v>
      </c>
      <c r="J50" s="134"/>
      <c r="K50" s="134"/>
      <c r="L50" s="213" t="s">
        <v>397</v>
      </c>
      <c r="M50" s="597"/>
      <c r="N50" s="597"/>
      <c r="O50" s="597"/>
      <c r="P50" s="133">
        <v>1</v>
      </c>
      <c r="Q50" s="133"/>
      <c r="R50" s="500"/>
      <c r="S50" s="352"/>
      <c r="T50" s="587"/>
      <c r="U50" s="588"/>
      <c r="V50" s="590"/>
      <c r="W50" s="590"/>
      <c r="X50" s="590"/>
      <c r="Y50" s="590"/>
      <c r="Z50" s="590"/>
      <c r="AA50" s="590"/>
      <c r="AB50" s="590"/>
      <c r="AC50" s="591"/>
      <c r="AD50" s="589"/>
      <c r="AE50" s="590"/>
      <c r="AF50" s="590"/>
      <c r="AG50" s="590"/>
      <c r="AH50" s="590"/>
      <c r="AI50" s="590"/>
      <c r="AJ50" s="590"/>
      <c r="AK50" s="590"/>
      <c r="AL50" s="590"/>
      <c r="AM50" s="590"/>
      <c r="AN50" s="590"/>
      <c r="AO50" s="590"/>
      <c r="AP50" s="590"/>
      <c r="AQ50" s="590"/>
      <c r="AR50" s="590"/>
      <c r="AS50" s="590"/>
      <c r="AT50" s="590"/>
      <c r="AU50" s="590"/>
      <c r="AV50" s="590"/>
      <c r="AW50" s="590"/>
      <c r="AX50" s="590"/>
      <c r="AY50" s="590"/>
      <c r="AZ50" s="590"/>
      <c r="BA50" s="590"/>
      <c r="BB50" s="591"/>
      <c r="BC50" s="592"/>
      <c r="BE50" s="130"/>
      <c r="BF50" s="130" t="str">
        <f t="shared" si="46"/>
        <v/>
      </c>
      <c r="BG50" s="130"/>
      <c r="BH50" s="130"/>
      <c r="BI50" s="57">
        <v>0</v>
      </c>
    </row>
    <row r="51" s="57" customFormat="1" ht="0" customHeight="1">
      <c r="A51" s="134" t="s">
        <v>255</v>
      </c>
      <c r="B51" s="134" t="s">
        <v>256</v>
      </c>
      <c r="C51" s="134" t="s">
        <v>257</v>
      </c>
      <c r="D51" s="134" t="s">
        <v>538</v>
      </c>
      <c r="E51" s="492"/>
      <c r="F51" s="492"/>
      <c r="G51" s="492"/>
      <c r="H51" s="492"/>
      <c r="I51" s="504"/>
      <c r="J51" s="499" t="str">
        <f>S49&amp;".1"</f>
        <v>.1</v>
      </c>
      <c r="K51" s="134"/>
      <c r="L51" s="213"/>
      <c r="M51" s="597"/>
      <c r="N51" s="597"/>
      <c r="O51" s="597"/>
      <c r="P51" s="133"/>
      <c r="Q51" s="133">
        <v>1</v>
      </c>
      <c r="R51" s="505"/>
      <c r="S51" s="352"/>
      <c r="T51" s="631"/>
      <c r="U51" s="588"/>
      <c r="V51" s="590"/>
      <c r="W51" s="590"/>
      <c r="X51" s="590"/>
      <c r="Y51" s="590"/>
      <c r="Z51" s="590"/>
      <c r="AA51" s="590"/>
      <c r="AB51" s="590"/>
      <c r="AC51" s="591"/>
      <c r="AD51" s="589"/>
      <c r="AE51" s="590"/>
      <c r="AF51" s="590"/>
      <c r="AG51" s="590"/>
      <c r="AH51" s="590"/>
      <c r="AI51" s="590"/>
      <c r="AJ51" s="590"/>
      <c r="AK51" s="590"/>
      <c r="AL51" s="590"/>
      <c r="AM51" s="590"/>
      <c r="AN51" s="704"/>
      <c r="AO51" s="704"/>
      <c r="AP51" s="590"/>
      <c r="AQ51" s="590"/>
      <c r="AR51" s="590"/>
      <c r="AS51" s="590"/>
      <c r="AT51" s="590"/>
      <c r="AU51" s="590"/>
      <c r="AV51" s="590"/>
      <c r="AW51" s="590"/>
      <c r="AX51" s="590"/>
      <c r="AY51" s="590"/>
      <c r="AZ51" s="590"/>
      <c r="BA51" s="590"/>
      <c r="BB51" s="591"/>
      <c r="BC51" s="592"/>
      <c r="BE51" s="130"/>
      <c r="BF51" s="130" t="str">
        <f t="shared" si="46"/>
        <v/>
      </c>
      <c r="BG51" s="130"/>
      <c r="BH51" s="130"/>
      <c r="BI51" s="57">
        <v>0</v>
      </c>
    </row>
    <row r="52" ht="11.5" customHeight="1">
      <c r="A52" s="480" t="s">
        <v>255</v>
      </c>
      <c r="B52" s="480" t="s">
        <v>256</v>
      </c>
      <c r="C52" s="480" t="s">
        <v>257</v>
      </c>
      <c r="D52" s="480" t="s">
        <v>538</v>
      </c>
      <c r="E52" s="492"/>
      <c r="F52" s="492"/>
      <c r="G52" s="492"/>
      <c r="H52" s="492"/>
      <c r="I52" s="504"/>
      <c r="J52" s="504"/>
      <c r="K52" s="499" t="str">
        <f>S48&amp;".1"</f>
        <v>...1</v>
      </c>
      <c r="L52" s="482"/>
      <c r="P52" s="133"/>
      <c r="Q52" s="133"/>
      <c r="R52" s="505">
        <v>1</v>
      </c>
      <c r="S52" s="599" t="str">
        <f>$K52</f>
        <v>...1</v>
      </c>
      <c r="T52" s="690"/>
      <c r="U52" s="487"/>
      <c r="V52" s="508"/>
      <c r="W52" s="510"/>
      <c r="X52" s="508"/>
      <c r="Y52" s="510"/>
      <c r="Z52" s="511"/>
      <c r="AA52" s="225" t="s">
        <v>64</v>
      </c>
      <c r="AB52" s="511"/>
      <c r="AC52" s="225" t="s">
        <v>64</v>
      </c>
      <c r="AD52" s="315" t="s">
        <v>64</v>
      </c>
      <c r="AE52" s="634"/>
      <c r="AF52" s="346">
        <v>1</v>
      </c>
      <c r="AG52" s="691"/>
      <c r="AH52" s="225" t="s">
        <v>64</v>
      </c>
      <c r="AI52" s="634"/>
      <c r="AJ52" s="346">
        <v>1</v>
      </c>
      <c r="AK52" s="87" t="s">
        <v>22</v>
      </c>
      <c r="AL52" s="225" t="s">
        <v>64</v>
      </c>
      <c r="AM52" s="305"/>
      <c r="AN52" s="346">
        <v>1</v>
      </c>
      <c r="AO52" s="698"/>
      <c r="AP52" s="699" t="s">
        <v>64</v>
      </c>
      <c r="AQ52" s="635"/>
      <c r="AR52" s="346">
        <v>1</v>
      </c>
      <c r="AS52" s="95" t="s">
        <v>22</v>
      </c>
      <c r="AT52" s="508"/>
      <c r="AU52" s="510"/>
      <c r="AV52" s="508"/>
      <c r="AW52" s="510"/>
      <c r="AX52" s="511"/>
      <c r="AY52" s="225" t="s">
        <v>64</v>
      </c>
      <c r="AZ52" s="511"/>
      <c r="BA52" s="225" t="s">
        <v>64</v>
      </c>
      <c r="BB52" s="572"/>
      <c r="BC52" s="512" t="s">
        <v>495</v>
      </c>
      <c r="BE52" s="130"/>
      <c r="BF52" s="130" t="str">
        <f t="shared" si="46"/>
        <v/>
      </c>
      <c r="BG52" s="130"/>
      <c r="BH52" s="130"/>
      <c r="BI52" s="50">
        <v>11</v>
      </c>
    </row>
    <row r="53" ht="11.5" customHeight="1">
      <c r="A53" s="480"/>
      <c r="B53" s="480"/>
      <c r="C53" s="480"/>
      <c r="D53" s="480"/>
      <c r="E53" s="492"/>
      <c r="F53" s="492"/>
      <c r="G53" s="492"/>
      <c r="H53" s="492"/>
      <c r="I53" s="504"/>
      <c r="J53" s="504"/>
      <c r="K53" s="499"/>
      <c r="L53" s="482"/>
      <c r="P53" s="133"/>
      <c r="Q53" s="133"/>
      <c r="R53" s="505"/>
      <c r="S53" s="636"/>
      <c r="T53" s="700"/>
      <c r="U53" s="487"/>
      <c r="V53" s="623"/>
      <c r="W53" s="640"/>
      <c r="X53" s="623"/>
      <c r="Y53" s="640"/>
      <c r="Z53" s="623"/>
      <c r="AA53" s="623"/>
      <c r="AB53" s="623"/>
      <c r="AC53" s="623"/>
      <c r="AD53" s="321"/>
      <c r="AE53" s="634"/>
      <c r="AF53" s="346"/>
      <c r="AG53" s="691"/>
      <c r="AH53" s="225"/>
      <c r="AI53" s="634"/>
      <c r="AJ53" s="346"/>
      <c r="AK53" s="87"/>
      <c r="AL53" s="225"/>
      <c r="AM53" s="311"/>
      <c r="AN53" s="346"/>
      <c r="AO53" s="698"/>
      <c r="AP53" s="701"/>
      <c r="AQ53" s="639"/>
      <c r="AR53" s="178"/>
      <c r="AS53" s="178" t="s">
        <v>496</v>
      </c>
      <c r="AT53" s="623"/>
      <c r="AU53" s="640"/>
      <c r="AV53" s="623"/>
      <c r="AW53" s="640"/>
      <c r="AX53" s="623"/>
      <c r="AY53" s="623"/>
      <c r="AZ53" s="623"/>
      <c r="BA53" s="623"/>
      <c r="BB53" s="638"/>
      <c r="BC53" s="515"/>
      <c r="BE53" s="130"/>
      <c r="BF53" s="130"/>
      <c r="BG53" s="130"/>
      <c r="BH53" s="130"/>
      <c r="BI53" s="50">
        <v>11</v>
      </c>
    </row>
    <row r="54" ht="11.5" customHeight="1">
      <c r="A54" s="480" t="s">
        <v>255</v>
      </c>
      <c r="B54" s="480"/>
      <c r="C54" s="480"/>
      <c r="D54" s="480"/>
      <c r="E54" s="492"/>
      <c r="F54" s="492"/>
      <c r="G54" s="492"/>
      <c r="H54" s="492"/>
      <c r="I54" s="504"/>
      <c r="J54" s="504"/>
      <c r="K54" s="499"/>
      <c r="L54" s="482"/>
      <c r="P54" s="133"/>
      <c r="Q54" s="133"/>
      <c r="R54" s="505"/>
      <c r="S54" s="636"/>
      <c r="T54" s="700"/>
      <c r="U54" s="487"/>
      <c r="V54" s="623"/>
      <c r="W54" s="640"/>
      <c r="X54" s="623"/>
      <c r="Y54" s="640"/>
      <c r="Z54" s="623"/>
      <c r="AA54" s="623"/>
      <c r="AB54" s="623"/>
      <c r="AC54" s="623"/>
      <c r="AD54" s="321"/>
      <c r="AE54" s="634"/>
      <c r="AF54" s="346"/>
      <c r="AG54" s="691"/>
      <c r="AH54" s="225"/>
      <c r="AI54" s="634"/>
      <c r="AJ54" s="346"/>
      <c r="AK54" s="87"/>
      <c r="AL54" s="225"/>
      <c r="AM54" s="639"/>
      <c r="AN54" s="702"/>
      <c r="AO54" s="702" t="s">
        <v>497</v>
      </c>
      <c r="AP54" s="178"/>
      <c r="AQ54" s="178"/>
      <c r="AR54" s="178"/>
      <c r="AS54" s="623"/>
      <c r="AT54" s="623"/>
      <c r="AU54" s="640"/>
      <c r="AV54" s="623"/>
      <c r="AW54" s="640"/>
      <c r="AX54" s="623"/>
      <c r="AY54" s="623"/>
      <c r="AZ54" s="623"/>
      <c r="BA54" s="623"/>
      <c r="BB54" s="638"/>
      <c r="BC54" s="515"/>
      <c r="BE54" s="130"/>
      <c r="BF54" s="130"/>
      <c r="BG54" s="130"/>
      <c r="BH54" s="130"/>
      <c r="BI54" s="50">
        <v>11</v>
      </c>
    </row>
    <row r="55" ht="11.5" customHeight="1">
      <c r="A55" s="480" t="s">
        <v>255</v>
      </c>
      <c r="B55" s="480"/>
      <c r="C55" s="480"/>
      <c r="D55" s="480"/>
      <c r="E55" s="492"/>
      <c r="F55" s="492"/>
      <c r="G55" s="492"/>
      <c r="H55" s="492"/>
      <c r="I55" s="504"/>
      <c r="J55" s="504"/>
      <c r="K55" s="499"/>
      <c r="L55" s="482"/>
      <c r="P55" s="133"/>
      <c r="Q55" s="133"/>
      <c r="R55" s="505"/>
      <c r="S55" s="636"/>
      <c r="T55" s="700"/>
      <c r="U55" s="487"/>
      <c r="V55" s="623"/>
      <c r="W55" s="640"/>
      <c r="X55" s="623"/>
      <c r="Y55" s="640"/>
      <c r="Z55" s="623"/>
      <c r="AA55" s="623"/>
      <c r="AB55" s="623"/>
      <c r="AC55" s="623"/>
      <c r="AD55" s="321"/>
      <c r="AE55" s="634"/>
      <c r="AF55" s="346"/>
      <c r="AG55" s="691"/>
      <c r="AH55" s="225"/>
      <c r="AI55" s="642"/>
      <c r="AJ55" s="173"/>
      <c r="AK55" s="442" t="s">
        <v>498</v>
      </c>
      <c r="AL55" s="623"/>
      <c r="AM55" s="623"/>
      <c r="AN55" s="623"/>
      <c r="AO55" s="623"/>
      <c r="AP55" s="623"/>
      <c r="AQ55" s="623"/>
      <c r="AR55" s="623"/>
      <c r="AS55" s="623"/>
      <c r="AT55" s="623"/>
      <c r="AU55" s="640"/>
      <c r="AV55" s="623"/>
      <c r="AW55" s="640"/>
      <c r="AX55" s="623"/>
      <c r="AY55" s="623"/>
      <c r="AZ55" s="623"/>
      <c r="BA55" s="623"/>
      <c r="BB55" s="638"/>
      <c r="BC55" s="515"/>
      <c r="BE55" s="130"/>
      <c r="BF55" s="130"/>
      <c r="BG55" s="130"/>
      <c r="BH55" s="130"/>
      <c r="BI55" s="50">
        <v>11</v>
      </c>
    </row>
    <row r="56" ht="11.5" customHeight="1">
      <c r="A56" s="480" t="s">
        <v>255</v>
      </c>
      <c r="B56" s="480" t="s">
        <v>256</v>
      </c>
      <c r="C56" s="480" t="s">
        <v>257</v>
      </c>
      <c r="D56" s="480" t="s">
        <v>538</v>
      </c>
      <c r="E56" s="492"/>
      <c r="F56" s="492"/>
      <c r="G56" s="492"/>
      <c r="H56" s="492"/>
      <c r="I56" s="504"/>
      <c r="J56" s="504"/>
      <c r="K56" s="499"/>
      <c r="L56" s="482"/>
      <c r="P56" s="133"/>
      <c r="Q56" s="133"/>
      <c r="R56" s="505"/>
      <c r="S56" s="609"/>
      <c r="T56" s="703"/>
      <c r="U56" s="487"/>
      <c r="V56" s="623"/>
      <c r="W56" s="624" t="str">
        <f>Z52&amp;"-"&amp;AB52</f>
        <v>-</v>
      </c>
      <c r="X56" s="623"/>
      <c r="Y56" s="624" t="str">
        <f>AB52&amp;"-"&amp;AD52</f>
        <v>-да</v>
      </c>
      <c r="Z56" s="623"/>
      <c r="AA56" s="623"/>
      <c r="AB56" s="623"/>
      <c r="AC56" s="623"/>
      <c r="AD56" s="221"/>
      <c r="AE56" s="645"/>
      <c r="AF56" s="646"/>
      <c r="AG56" s="178" t="s">
        <v>499</v>
      </c>
      <c r="AH56" s="623"/>
      <c r="AI56" s="623"/>
      <c r="AJ56" s="623"/>
      <c r="AK56" s="623"/>
      <c r="AL56" s="623"/>
      <c r="AM56" s="623"/>
      <c r="AN56" s="623"/>
      <c r="AO56" s="623"/>
      <c r="AP56" s="623"/>
      <c r="AQ56" s="623"/>
      <c r="AR56" s="623"/>
      <c r="AS56" s="623"/>
      <c r="AT56" s="623"/>
      <c r="AU56" s="624" t="str">
        <f>AX52&amp;"-"&amp;AZ52</f>
        <v>-</v>
      </c>
      <c r="AV56" s="623"/>
      <c r="AW56" s="624" t="str">
        <f>AZ52&amp;"-"&amp;BB52</f>
        <v>-</v>
      </c>
      <c r="AX56" s="623"/>
      <c r="AY56" s="623"/>
      <c r="AZ56" s="623"/>
      <c r="BA56" s="623"/>
      <c r="BB56" s="644" t="str">
        <f>BE52&amp;"-"&amp;BG52</f>
        <v>-</v>
      </c>
      <c r="BC56" s="515"/>
      <c r="BE56" s="130"/>
      <c r="BF56" s="130" t="str">
        <f t="shared" si="46"/>
        <v/>
      </c>
      <c r="BG56" s="130"/>
      <c r="BH56" s="130"/>
      <c r="BI56" s="50">
        <v>11</v>
      </c>
    </row>
    <row r="57" ht="11.5" customHeight="1">
      <c r="A57" s="480" t="s">
        <v>255</v>
      </c>
      <c r="B57" s="480" t="s">
        <v>256</v>
      </c>
      <c r="C57" s="480" t="s">
        <v>257</v>
      </c>
      <c r="D57" s="480" t="s">
        <v>538</v>
      </c>
      <c r="E57" s="492"/>
      <c r="F57" s="492"/>
      <c r="G57" s="492"/>
      <c r="H57" s="492"/>
      <c r="I57" s="504"/>
      <c r="J57" s="499"/>
      <c r="K57" s="480"/>
      <c r="L57" s="482"/>
      <c r="P57" s="133"/>
      <c r="Q57" s="133"/>
      <c r="R57" s="500"/>
      <c r="S57" s="516"/>
      <c r="T57" s="520" t="s">
        <v>462</v>
      </c>
      <c r="U57" s="215"/>
      <c r="V57" s="215"/>
      <c r="W57" s="215"/>
      <c r="X57" s="215"/>
      <c r="Y57" s="215"/>
      <c r="Z57" s="215"/>
      <c r="AA57" s="215"/>
      <c r="AB57" s="215"/>
      <c r="AC57" s="518"/>
      <c r="AD57" s="675"/>
      <c r="AE57" s="215"/>
      <c r="AF57" s="215"/>
      <c r="AG57" s="215"/>
      <c r="AH57" s="215"/>
      <c r="AI57" s="215"/>
      <c r="AJ57" s="215"/>
      <c r="AK57" s="215"/>
      <c r="AL57" s="215"/>
      <c r="AM57" s="215"/>
      <c r="AN57" s="215"/>
      <c r="AO57" s="215"/>
      <c r="AP57" s="215"/>
      <c r="AQ57" s="215"/>
      <c r="AR57" s="215"/>
      <c r="AS57" s="215"/>
      <c r="AT57" s="215"/>
      <c r="AU57" s="215"/>
      <c r="AV57" s="215"/>
      <c r="AW57" s="215"/>
      <c r="AX57" s="215"/>
      <c r="AY57" s="215"/>
      <c r="AZ57" s="215"/>
      <c r="BA57" s="215"/>
      <c r="BB57" s="518"/>
      <c r="BC57" s="519"/>
      <c r="BE57" s="130"/>
      <c r="BF57" s="130" t="str">
        <f t="shared" si="46"/>
        <v xml:space="preserve">Добавить строку</v>
      </c>
      <c r="BG57" s="130"/>
      <c r="BH57" s="130"/>
      <c r="BI57" s="50">
        <v>11</v>
      </c>
    </row>
    <row r="58" s="57" customFormat="1" ht="0" customHeight="1">
      <c r="A58" s="134" t="s">
        <v>255</v>
      </c>
      <c r="B58" s="134" t="s">
        <v>256</v>
      </c>
      <c r="C58" s="134" t="s">
        <v>257</v>
      </c>
      <c r="D58" s="134" t="s">
        <v>538</v>
      </c>
      <c r="E58" s="492"/>
      <c r="F58" s="492"/>
      <c r="G58" s="492"/>
      <c r="H58" s="492"/>
      <c r="I58" s="499"/>
      <c r="J58" s="134"/>
      <c r="K58" s="134"/>
      <c r="L58" s="213"/>
      <c r="M58" s="597"/>
      <c r="N58" s="597"/>
      <c r="O58" s="597"/>
      <c r="P58" s="133"/>
      <c r="Q58" s="133"/>
      <c r="R58" s="500"/>
      <c r="S58" s="593"/>
      <c r="T58" s="594"/>
      <c r="U58" s="595"/>
      <c r="V58" s="595"/>
      <c r="W58" s="595"/>
      <c r="X58" s="595"/>
      <c r="Y58" s="595"/>
      <c r="Z58" s="595"/>
      <c r="AA58" s="595"/>
      <c r="AB58" s="595"/>
      <c r="AC58" s="595"/>
      <c r="AD58" s="595"/>
      <c r="AE58" s="595"/>
      <c r="AF58" s="595"/>
      <c r="AG58" s="595"/>
      <c r="AH58" s="595"/>
      <c r="AI58" s="595"/>
      <c r="AJ58" s="595"/>
      <c r="AK58" s="595"/>
      <c r="AL58" s="595"/>
      <c r="AM58" s="595"/>
      <c r="AN58" s="595"/>
      <c r="AO58" s="595"/>
      <c r="AP58" s="595"/>
      <c r="AQ58" s="595"/>
      <c r="AR58" s="595"/>
      <c r="AS58" s="595"/>
      <c r="AT58" s="595"/>
      <c r="AU58" s="595"/>
      <c r="AV58" s="595"/>
      <c r="AW58" s="595"/>
      <c r="AX58" s="595"/>
      <c r="AY58" s="595"/>
      <c r="AZ58" s="595"/>
      <c r="BA58" s="595"/>
      <c r="BB58" s="595"/>
      <c r="BC58" s="596"/>
      <c r="BE58" s="130"/>
      <c r="BF58" s="130" t="str">
        <f t="shared" si="46"/>
        <v/>
      </c>
      <c r="BG58" s="130"/>
      <c r="BH58" s="130"/>
      <c r="BI58" s="57">
        <v>0</v>
      </c>
    </row>
    <row r="59" s="57" customFormat="1" ht="0" customHeight="1">
      <c r="A59" s="134" t="s">
        <v>255</v>
      </c>
      <c r="B59" s="134" t="s">
        <v>256</v>
      </c>
      <c r="C59" s="134" t="s">
        <v>257</v>
      </c>
      <c r="D59" s="134" t="s">
        <v>538</v>
      </c>
      <c r="E59" s="492"/>
      <c r="F59" s="492"/>
      <c r="G59" s="492"/>
      <c r="H59" s="481"/>
      <c r="I59" s="134"/>
      <c r="J59" s="134"/>
      <c r="K59" s="134"/>
      <c r="L59" s="213"/>
      <c r="M59" s="465"/>
      <c r="N59" s="465"/>
      <c r="O59" s="57"/>
      <c r="P59" s="168"/>
      <c r="Q59" s="525"/>
      <c r="R59" s="647"/>
      <c r="S59" s="593"/>
      <c r="T59" s="594"/>
      <c r="U59" s="595"/>
      <c r="V59" s="595"/>
      <c r="W59" s="595"/>
      <c r="X59" s="595"/>
      <c r="Y59" s="595"/>
      <c r="Z59" s="595"/>
      <c r="AA59" s="595"/>
      <c r="AB59" s="595"/>
      <c r="AC59" s="595"/>
      <c r="AD59" s="595"/>
      <c r="AE59" s="595"/>
      <c r="AF59" s="595"/>
      <c r="AG59" s="595"/>
      <c r="AH59" s="595"/>
      <c r="AI59" s="595"/>
      <c r="AJ59" s="595"/>
      <c r="AK59" s="595"/>
      <c r="AL59" s="595"/>
      <c r="AM59" s="595"/>
      <c r="AN59" s="595"/>
      <c r="AO59" s="595"/>
      <c r="AP59" s="595"/>
      <c r="AQ59" s="595"/>
      <c r="AR59" s="595"/>
      <c r="AS59" s="595"/>
      <c r="AT59" s="595"/>
      <c r="AU59" s="595"/>
      <c r="AV59" s="595"/>
      <c r="AW59" s="595"/>
      <c r="AX59" s="595"/>
      <c r="AY59" s="595"/>
      <c r="AZ59" s="595"/>
      <c r="BA59" s="595"/>
      <c r="BB59" s="595"/>
      <c r="BC59" s="596"/>
      <c r="BE59" s="130"/>
      <c r="BF59" s="130" t="str">
        <f t="shared" si="46"/>
        <v/>
      </c>
      <c r="BG59" s="130"/>
      <c r="BH59" s="130"/>
      <c r="BI59" s="57">
        <v>0</v>
      </c>
    </row>
    <row r="60" s="57" customFormat="1" ht="0" customHeight="1">
      <c r="A60" s="134" t="s">
        <v>255</v>
      </c>
      <c r="B60" s="134" t="s">
        <v>256</v>
      </c>
      <c r="C60" s="134" t="s">
        <v>257</v>
      </c>
      <c r="D60" s="134"/>
      <c r="E60" s="492"/>
      <c r="F60" s="492"/>
      <c r="G60" s="481"/>
      <c r="H60" s="134"/>
      <c r="I60" s="134"/>
      <c r="J60" s="134"/>
      <c r="K60" s="134"/>
      <c r="L60" s="213"/>
      <c r="M60" s="465"/>
      <c r="N60" s="465"/>
      <c r="P60" s="168"/>
      <c r="Q60" s="525"/>
      <c r="R60" s="168"/>
      <c r="S60" s="530"/>
      <c r="T60" s="533"/>
      <c r="U60" s="532"/>
      <c r="V60" s="532"/>
      <c r="W60" s="532"/>
      <c r="X60" s="532"/>
      <c r="Y60" s="532"/>
      <c r="Z60" s="532"/>
      <c r="AA60" s="532"/>
      <c r="AB60" s="532"/>
      <c r="AC60" s="532"/>
      <c r="AD60" s="532"/>
      <c r="AE60" s="532"/>
      <c r="AF60" s="532"/>
      <c r="AG60" s="532"/>
      <c r="AH60" s="532"/>
      <c r="AI60" s="532"/>
      <c r="AJ60" s="532"/>
      <c r="AK60" s="532"/>
      <c r="AL60" s="532"/>
      <c r="AM60" s="532"/>
      <c r="AN60" s="532"/>
      <c r="AO60" s="532"/>
      <c r="AP60" s="532"/>
      <c r="AQ60" s="532"/>
      <c r="AR60" s="532"/>
      <c r="AS60" s="532"/>
      <c r="AT60" s="532"/>
      <c r="AU60" s="532"/>
      <c r="AV60" s="532"/>
      <c r="AW60" s="532"/>
      <c r="AX60" s="532"/>
      <c r="AY60" s="532"/>
      <c r="AZ60" s="532"/>
      <c r="BA60" s="532"/>
      <c r="BB60" s="532"/>
      <c r="BC60" s="532"/>
      <c r="BE60" s="130"/>
      <c r="BF60" s="130" t="str">
        <f t="shared" si="46"/>
        <v/>
      </c>
      <c r="BG60" s="130"/>
      <c r="BH60" s="130"/>
      <c r="BI60" s="57">
        <v>0</v>
      </c>
    </row>
    <row r="61" s="57" customFormat="1" ht="0" customHeight="1">
      <c r="A61" s="134" t="s">
        <v>255</v>
      </c>
      <c r="B61" s="134" t="s">
        <v>256</v>
      </c>
      <c r="C61" s="134"/>
      <c r="D61" s="134"/>
      <c r="E61" s="492"/>
      <c r="F61" s="481"/>
      <c r="G61" s="134"/>
      <c r="H61" s="134"/>
      <c r="I61" s="134"/>
      <c r="J61" s="134"/>
      <c r="K61" s="134"/>
      <c r="L61" s="213"/>
      <c r="M61" s="529"/>
      <c r="N61" s="529"/>
      <c r="P61" s="168"/>
      <c r="Q61" s="525"/>
      <c r="R61" s="168"/>
      <c r="S61" s="530"/>
      <c r="T61" s="533" t="s">
        <v>409</v>
      </c>
      <c r="U61" s="532"/>
      <c r="V61" s="532"/>
      <c r="W61" s="532"/>
      <c r="X61" s="532"/>
      <c r="Y61" s="532"/>
      <c r="Z61" s="532"/>
      <c r="AA61" s="532"/>
      <c r="AB61" s="532"/>
      <c r="AC61" s="532"/>
      <c r="AD61" s="532"/>
      <c r="AE61" s="532"/>
      <c r="AF61" s="532"/>
      <c r="AG61" s="532"/>
      <c r="AH61" s="532"/>
      <c r="AI61" s="532"/>
      <c r="AJ61" s="532"/>
      <c r="AK61" s="532"/>
      <c r="AL61" s="532"/>
      <c r="AM61" s="532"/>
      <c r="AN61" s="532"/>
      <c r="AO61" s="532"/>
      <c r="AP61" s="532"/>
      <c r="AQ61" s="532"/>
      <c r="AR61" s="532"/>
      <c r="AS61" s="532"/>
      <c r="AT61" s="532"/>
      <c r="AU61" s="532"/>
      <c r="AV61" s="532"/>
      <c r="AW61" s="532"/>
      <c r="AX61" s="532"/>
      <c r="AY61" s="532"/>
      <c r="AZ61" s="532"/>
      <c r="BA61" s="532"/>
      <c r="BB61" s="532"/>
      <c r="BC61" s="532"/>
      <c r="BE61" s="130"/>
      <c r="BF61" s="130" t="str">
        <f t="shared" si="46"/>
        <v xml:space="preserve">Добавить централизованную систему для дифференциации</v>
      </c>
      <c r="BG61" s="130"/>
      <c r="BH61" s="130"/>
      <c r="BI61" s="57">
        <v>0</v>
      </c>
    </row>
    <row r="62" s="57" customFormat="1" ht="0" customHeight="1">
      <c r="A62" s="134" t="s">
        <v>255</v>
      </c>
      <c r="B62" s="134"/>
      <c r="C62" s="134"/>
      <c r="D62" s="134"/>
      <c r="E62" s="481"/>
      <c r="F62" s="134"/>
      <c r="G62" s="134"/>
      <c r="H62" s="134"/>
      <c r="I62" s="134"/>
      <c r="J62" s="134"/>
      <c r="K62" s="134"/>
      <c r="L62" s="213"/>
      <c r="M62" s="529"/>
      <c r="N62" s="529"/>
      <c r="O62" s="57"/>
      <c r="P62" s="168"/>
      <c r="Q62" s="525"/>
      <c r="R62" s="168"/>
      <c r="S62" s="530"/>
      <c r="T62" s="533" t="s">
        <v>410</v>
      </c>
      <c r="U62" s="532"/>
      <c r="V62" s="532"/>
      <c r="W62" s="532"/>
      <c r="X62" s="532"/>
      <c r="Y62" s="532"/>
      <c r="Z62" s="532"/>
      <c r="AA62" s="532"/>
      <c r="AB62" s="532"/>
      <c r="AC62" s="532"/>
      <c r="AD62" s="532"/>
      <c r="AE62" s="532"/>
      <c r="AF62" s="532"/>
      <c r="AG62" s="532"/>
      <c r="AH62" s="532"/>
      <c r="AI62" s="532"/>
      <c r="AJ62" s="532"/>
      <c r="AK62" s="532"/>
      <c r="AL62" s="532"/>
      <c r="AM62" s="532"/>
      <c r="AN62" s="532"/>
      <c r="AO62" s="532"/>
      <c r="AP62" s="532"/>
      <c r="AQ62" s="532"/>
      <c r="AR62" s="532"/>
      <c r="AS62" s="532"/>
      <c r="AT62" s="532"/>
      <c r="AU62" s="532"/>
      <c r="AV62" s="532"/>
      <c r="AW62" s="532"/>
      <c r="AX62" s="532"/>
      <c r="AY62" s="532"/>
      <c r="AZ62" s="532"/>
      <c r="BA62" s="532"/>
      <c r="BB62" s="532"/>
      <c r="BC62" s="532"/>
      <c r="BE62" s="130"/>
      <c r="BF62" s="130" t="str">
        <f t="shared" si="46"/>
        <v xml:space="preserve">Добавить территорию для дифференциации</v>
      </c>
      <c r="BG62" s="130"/>
      <c r="BH62" s="130"/>
      <c r="BI62" s="57">
        <v>0</v>
      </c>
    </row>
    <row r="63" s="57" customFormat="1" ht="0" customHeight="1">
      <c r="A63" s="134"/>
      <c r="B63" s="134"/>
      <c r="C63" s="134"/>
      <c r="D63" s="134"/>
      <c r="E63" s="134"/>
      <c r="F63" s="134"/>
      <c r="G63" s="134"/>
      <c r="H63" s="134"/>
      <c r="I63" s="134"/>
      <c r="J63" s="134"/>
      <c r="K63" s="134"/>
      <c r="L63" s="213"/>
      <c r="M63" s="529"/>
      <c r="N63" s="529"/>
      <c r="P63" s="168"/>
      <c r="Q63" s="525"/>
      <c r="R63" s="168"/>
      <c r="S63" s="530"/>
      <c r="T63" s="533" t="s">
        <v>442</v>
      </c>
      <c r="U63" s="532"/>
      <c r="V63" s="532"/>
      <c r="W63" s="532"/>
      <c r="X63" s="532"/>
      <c r="Y63" s="532"/>
      <c r="Z63" s="532"/>
      <c r="AA63" s="532"/>
      <c r="AB63" s="532"/>
      <c r="AC63" s="532"/>
      <c r="AD63" s="532"/>
      <c r="AE63" s="532"/>
      <c r="AF63" s="532"/>
      <c r="AG63" s="532"/>
      <c r="AH63" s="532"/>
      <c r="AI63" s="532"/>
      <c r="AJ63" s="532"/>
      <c r="AK63" s="532"/>
      <c r="AL63" s="532"/>
      <c r="AM63" s="532"/>
      <c r="AN63" s="532"/>
      <c r="AO63" s="532"/>
      <c r="AP63" s="532"/>
      <c r="AQ63" s="532"/>
      <c r="AR63" s="532"/>
      <c r="AS63" s="532"/>
      <c r="AT63" s="532"/>
      <c r="AU63" s="532"/>
      <c r="AV63" s="532"/>
      <c r="AW63" s="532"/>
      <c r="AX63" s="532"/>
      <c r="AY63" s="532"/>
      <c r="AZ63" s="532"/>
      <c r="BA63" s="532"/>
      <c r="BB63" s="532"/>
      <c r="BC63" s="532"/>
      <c r="BE63" s="130"/>
      <c r="BF63" s="130" t="str">
        <f t="shared" si="46"/>
        <v xml:space="preserve">Добавить наименование тарифа</v>
      </c>
      <c r="BG63" s="130"/>
      <c r="BH63" s="130"/>
      <c r="BI63" s="57">
        <v>0</v>
      </c>
    </row>
    <row r="64" ht="11.5" customHeight="1">
      <c r="M64" s="53"/>
      <c r="N64" s="53"/>
      <c r="O64" s="53"/>
      <c r="P64" s="53"/>
      <c r="Q64" s="53"/>
      <c r="R64" s="50"/>
      <c r="S64" s="50"/>
      <c r="BD64" s="50"/>
      <c r="BE64" s="50"/>
      <c r="BF64" s="50"/>
      <c r="BG64" s="50"/>
      <c r="BH64" s="50"/>
      <c r="BI64" s="50">
        <v>11</v>
      </c>
    </row>
    <row r="65" ht="19.949999999999999" customHeight="1">
      <c r="O65" s="53"/>
      <c r="S65" s="477"/>
      <c r="T65" s="575"/>
      <c r="U65" s="575"/>
      <c r="V65" s="575"/>
      <c r="W65" s="575"/>
      <c r="X65" s="575"/>
      <c r="Y65" s="575"/>
      <c r="Z65" s="575"/>
      <c r="AA65" s="575"/>
      <c r="AB65" s="575"/>
      <c r="AC65" s="575"/>
      <c r="AD65" s="575"/>
      <c r="AE65" s="575"/>
      <c r="AF65" s="575"/>
      <c r="AG65" s="575"/>
      <c r="AH65" s="575"/>
      <c r="AI65" s="575"/>
      <c r="AJ65" s="575"/>
      <c r="AK65" s="575"/>
      <c r="AL65" s="575"/>
      <c r="AM65" s="575"/>
      <c r="AN65" s="575"/>
      <c r="AO65" s="575"/>
      <c r="AP65" s="575"/>
      <c r="AQ65" s="575"/>
      <c r="AR65" s="575"/>
      <c r="AS65" s="575"/>
      <c r="AT65" s="575"/>
      <c r="AU65" s="575"/>
      <c r="AV65" s="575"/>
      <c r="AW65" s="575"/>
      <c r="AX65" s="575"/>
      <c r="AY65" s="575"/>
      <c r="AZ65" s="575"/>
      <c r="BA65" s="575"/>
      <c r="BB65" s="575"/>
      <c r="BC65" s="575"/>
      <c r="BI65" s="50">
        <v>19</v>
      </c>
    </row>
    <row r="66" ht="14.65" customHeight="1">
      <c r="O66" s="53"/>
      <c r="T66" s="575"/>
      <c r="U66" s="575"/>
      <c r="V66" s="575"/>
      <c r="W66" s="575"/>
      <c r="X66" s="575"/>
      <c r="Y66" s="575"/>
      <c r="Z66" s="575"/>
      <c r="AA66" s="575"/>
      <c r="AB66" s="575"/>
      <c r="AC66" s="575"/>
      <c r="AD66" s="575"/>
      <c r="AE66" s="575"/>
      <c r="AF66" s="575"/>
      <c r="AG66" s="575"/>
      <c r="AH66" s="575"/>
      <c r="AI66" s="575"/>
      <c r="AJ66" s="575"/>
      <c r="AK66" s="575"/>
      <c r="AL66" s="575"/>
      <c r="AM66" s="575"/>
      <c r="AN66" s="575"/>
      <c r="AO66" s="575"/>
      <c r="AP66" s="575"/>
      <c r="AQ66" s="575"/>
      <c r="AR66" s="575"/>
      <c r="AS66" s="575"/>
      <c r="AT66" s="575"/>
      <c r="AU66" s="575"/>
      <c r="AV66" s="575"/>
      <c r="AW66" s="575"/>
      <c r="AX66" s="575"/>
      <c r="AY66" s="575"/>
      <c r="AZ66" s="575"/>
      <c r="BA66" s="575"/>
      <c r="BB66" s="575"/>
      <c r="BC66" s="575"/>
      <c r="BI66" s="50">
        <v>14</v>
      </c>
    </row>
    <row r="67" ht="19.949999999999999" customHeight="1">
      <c r="O67" s="53"/>
      <c r="S67" s="477"/>
      <c r="T67" s="575"/>
      <c r="U67" s="575"/>
      <c r="V67" s="575"/>
      <c r="W67" s="575"/>
      <c r="X67" s="575"/>
      <c r="Y67" s="575"/>
      <c r="Z67" s="575"/>
      <c r="AA67" s="575"/>
      <c r="AB67" s="575"/>
      <c r="AC67" s="575"/>
      <c r="AD67" s="575"/>
      <c r="AE67" s="575"/>
      <c r="AF67" s="575"/>
      <c r="AG67" s="575"/>
      <c r="AH67" s="575"/>
      <c r="AI67" s="575"/>
      <c r="AJ67" s="575"/>
      <c r="AK67" s="575"/>
      <c r="AL67" s="575"/>
      <c r="AM67" s="575"/>
      <c r="AN67" s="575"/>
      <c r="AO67" s="575"/>
      <c r="AP67" s="575"/>
      <c r="AQ67" s="575"/>
      <c r="AR67" s="575"/>
      <c r="AS67" s="575"/>
      <c r="AT67" s="575"/>
      <c r="AU67" s="575"/>
      <c r="AV67" s="575"/>
      <c r="AW67" s="575"/>
      <c r="AX67" s="575"/>
      <c r="AY67" s="575"/>
      <c r="AZ67" s="575"/>
      <c r="BA67" s="575"/>
      <c r="BB67" s="575"/>
      <c r="BC67" s="575"/>
      <c r="BI67" s="50">
        <v>19</v>
      </c>
    </row>
    <row r="68" ht="14.65" customHeight="1">
      <c r="O68" s="53"/>
      <c r="BI68" s="50">
        <v>14</v>
      </c>
    </row>
    <row r="69" ht="14.25" hidden="1" customHeight="1">
      <c r="A69" s="53" t="s">
        <v>81</v>
      </c>
      <c r="B69" s="53">
        <v>0</v>
      </c>
      <c r="C69" s="53">
        <v>0</v>
      </c>
      <c r="D69" s="53">
        <v>0</v>
      </c>
      <c r="E69" s="53">
        <v>0</v>
      </c>
      <c r="F69" s="53">
        <v>0</v>
      </c>
      <c r="G69" s="53">
        <v>0</v>
      </c>
      <c r="H69" s="53">
        <v>0</v>
      </c>
      <c r="I69" s="53">
        <v>0</v>
      </c>
      <c r="J69" s="53">
        <v>0</v>
      </c>
      <c r="K69" s="53">
        <v>0</v>
      </c>
      <c r="L69" s="114">
        <v>0</v>
      </c>
      <c r="M69" s="61">
        <v>0</v>
      </c>
      <c r="N69" s="61">
        <v>0</v>
      </c>
      <c r="O69" s="61">
        <v>0</v>
      </c>
      <c r="P69" s="61">
        <v>0</v>
      </c>
      <c r="Q69" s="539">
        <v>0</v>
      </c>
      <c r="R69" s="479">
        <v>3</v>
      </c>
      <c r="S69" s="86">
        <v>12</v>
      </c>
      <c r="T69" s="50">
        <v>31</v>
      </c>
      <c r="U69" s="50">
        <v>0</v>
      </c>
      <c r="V69" s="50">
        <v>0</v>
      </c>
      <c r="W69" s="50">
        <v>0</v>
      </c>
      <c r="X69" s="50">
        <v>0</v>
      </c>
      <c r="Y69" s="50">
        <v>0</v>
      </c>
      <c r="Z69" s="50">
        <v>0</v>
      </c>
      <c r="AA69" s="50">
        <v>0</v>
      </c>
      <c r="AB69" s="50">
        <v>0</v>
      </c>
      <c r="AC69" s="50">
        <v>0</v>
      </c>
      <c r="AD69" s="50">
        <v>3</v>
      </c>
      <c r="AE69" s="50">
        <v>3</v>
      </c>
      <c r="AF69" s="50">
        <v>3</v>
      </c>
      <c r="AG69" s="50">
        <v>24</v>
      </c>
      <c r="AH69" s="50">
        <v>3</v>
      </c>
      <c r="AI69" s="50">
        <v>3</v>
      </c>
      <c r="AJ69" s="50">
        <v>3</v>
      </c>
      <c r="AK69" s="50">
        <v>24</v>
      </c>
      <c r="AL69" s="50">
        <v>3</v>
      </c>
      <c r="AM69" s="50">
        <v>3</v>
      </c>
      <c r="AN69" s="50">
        <v>3</v>
      </c>
      <c r="AO69" s="50">
        <v>18</v>
      </c>
      <c r="AP69" s="50">
        <v>3</v>
      </c>
      <c r="AQ69" s="50">
        <v>3</v>
      </c>
      <c r="AR69" s="50">
        <v>3</v>
      </c>
      <c r="AS69" s="50">
        <v>18</v>
      </c>
      <c r="AT69" s="50">
        <v>21</v>
      </c>
      <c r="AU69" s="50">
        <v>21</v>
      </c>
      <c r="AV69" s="50">
        <v>21</v>
      </c>
      <c r="AW69" s="50">
        <v>21</v>
      </c>
      <c r="AX69" s="50">
        <v>11</v>
      </c>
      <c r="AY69" s="50">
        <v>3</v>
      </c>
      <c r="AZ69" s="50">
        <v>11</v>
      </c>
      <c r="BA69" s="50">
        <v>0</v>
      </c>
      <c r="BB69" s="50">
        <v>4</v>
      </c>
      <c r="BC69" s="50">
        <v>115</v>
      </c>
      <c r="BD69" s="57">
        <v>10</v>
      </c>
      <c r="BE69" s="57">
        <v>10</v>
      </c>
      <c r="BF69" s="57">
        <v>10</v>
      </c>
      <c r="BG69" s="57">
        <v>10</v>
      </c>
      <c r="BH69" s="57">
        <v>10</v>
      </c>
      <c r="BI69" s="50">
        <v>23</v>
      </c>
    </row>
  </sheetData>
  <sheetProtection autoFilter="0" deleteColumns="1" deleteRows="1" formatCells="1" formatColumns="0" formatRows="0" insertColumns="1" insertHyperlinks="1" insertRows="1" objects="0" pivotTables="1" scenarios="0" selectLockedCells="0" selectUnlockedCells="0" sheet="1" sort="1"/>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D8:AD12"/>
    <mergeCell ref="AE8:AE11"/>
    <mergeCell ref="AF8:AF11"/>
    <mergeCell ref="AG8:AG11"/>
    <mergeCell ref="AH8:AH11"/>
    <mergeCell ref="AI8:AI10"/>
    <mergeCell ref="AJ8:AJ10"/>
    <mergeCell ref="AK8:AK10"/>
    <mergeCell ref="AL8:AL10"/>
    <mergeCell ref="AM8:AM9"/>
    <mergeCell ref="AN8:AN9"/>
    <mergeCell ref="AO8:AO9"/>
    <mergeCell ref="AP8:AP9"/>
    <mergeCell ref="BC8:BC13"/>
    <mergeCell ref="S28:AZ28"/>
    <mergeCell ref="S29:AZ29"/>
    <mergeCell ref="S31:T31"/>
    <mergeCell ref="V31:AB31"/>
    <mergeCell ref="AD31:AZ31"/>
    <mergeCell ref="S32:T32"/>
    <mergeCell ref="V32:AB32"/>
    <mergeCell ref="AD32:AZ32"/>
    <mergeCell ref="S33:T33"/>
    <mergeCell ref="V33:AB33"/>
    <mergeCell ref="AD33:AZ33"/>
    <mergeCell ref="S34:T34"/>
    <mergeCell ref="V34:AB34"/>
    <mergeCell ref="AD34:AZ34"/>
    <mergeCell ref="S36:T36"/>
    <mergeCell ref="V36:AB36"/>
    <mergeCell ref="AD36:AZ36"/>
    <mergeCell ref="S37:T37"/>
    <mergeCell ref="V37:AB37"/>
    <mergeCell ref="AD37:AZ37"/>
    <mergeCell ref="V39:AC39"/>
    <mergeCell ref="AD39:BA39"/>
    <mergeCell ref="S40:BB40"/>
    <mergeCell ref="BC40:BC44"/>
    <mergeCell ref="S41:S44"/>
    <mergeCell ref="T41:T44"/>
    <mergeCell ref="V41:AB41"/>
    <mergeCell ref="AC41:AC44"/>
    <mergeCell ref="AD41:AG44"/>
    <mergeCell ref="AH41:AK44"/>
    <mergeCell ref="AL41:AO44"/>
    <mergeCell ref="AP41:AS44"/>
    <mergeCell ref="AT41:AZ41"/>
    <mergeCell ref="BA41:BA44"/>
    <mergeCell ref="BB41:BB44"/>
    <mergeCell ref="V42:W43"/>
    <mergeCell ref="X42:Y43"/>
    <mergeCell ref="Z42:AB43"/>
    <mergeCell ref="AT42:AU43"/>
    <mergeCell ref="AV42:AW43"/>
    <mergeCell ref="AX42:AZ43"/>
    <mergeCell ref="AA44:AB44"/>
    <mergeCell ref="AY44:AZ44"/>
    <mergeCell ref="AA45:AB45"/>
    <mergeCell ref="AY45:AZ45"/>
    <mergeCell ref="E46:E62"/>
    <mergeCell ref="V46:AC46"/>
    <mergeCell ref="AD46:BB46"/>
    <mergeCell ref="F47:F61"/>
    <mergeCell ref="V47:AC47"/>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F52:AF55"/>
    <mergeCell ref="AG52:AG55"/>
    <mergeCell ref="AH52:AH55"/>
    <mergeCell ref="AI52:AI54"/>
    <mergeCell ref="AJ52:AJ54"/>
    <mergeCell ref="AK52:AK54"/>
    <mergeCell ref="AL52:AL54"/>
    <mergeCell ref="AM52:AM53"/>
    <mergeCell ref="AN52:AN53"/>
    <mergeCell ref="AO52:AO53"/>
    <mergeCell ref="AP52:AP53"/>
    <mergeCell ref="BC52:BC57"/>
    <mergeCell ref="T65:BC65"/>
    <mergeCell ref="T67:BC67"/>
  </mergeCells>
  <dataValidations count="4" disablePrompts="0">
    <dataValidation sqref="S65591:BC65597 S983095:BC983101 S917559:BC917565 S852023:BC852029 S786487:BC786493 S720951:BC720957 S655415:BC655421 S589879:BC589885 S524343:BC524349 S458807:BC458813 S393271:BC393277 S327735:BC327741 S262199:BC262205 S196663:BC196669 S131127:BC131133" type="none" allowBlank="1" errorStyle="stop" imeMode="noControl" operator="between" showDropDown="0" showErrorMessage="0" showInputMessage="0"/>
    <dataValidation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type="none" allowBlank="1" errorStyle="stop" imeMode="noControl" operator="between" promptTitle="checkPeriodRange" showDropDown="0" showErrorMessage="0" showInputMessage="0"/>
    <dataValidation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disablePrompts="0">
        <x14:dataValidation xr:uid="{005300AF-00C3-40AE-A161-006F00DC00B0}"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V983092:BB983092 V917556:BB917556 V852020:BB852020 V786484:BB786484 V720948:BB720948 V655412:BB655412 V589876:BB589876 V524340:BB524340 V458804:BB458804 V393268:BB393268 V327732:BB327732 V262196:BB262196 V196660:BB196660 V131124:BB131124 V65588:BB65588</xm:sqref>
        </x14:dataValidation>
        <x14:dataValidation xr:uid="{003A008C-0087-4ACA-83B8-0030001B002C}"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AO52:AO53 AG8:AG11 AO8:AO9 AG52:AG55</xm:sqref>
        </x14:dataValidation>
        <x14:dataValidation xr:uid="{008D00BD-0099-4341-9270-00BA0086006B}" type="textLength" allowBlank="1" error="Допускается ввод не более 900 символов!" errorStyle="stop" errorTitle="Ошибка" imeMode="noControl" operator="lessThanOrEqual" showDropDown="0" showErrorMessage="1" showInputMessage="1">
          <x14:formula1>
            <xm:f>900</xm:f>
          </x14:formula1>
          <xm:sqref>BC65583:BC65590 BC131119:BC131126 BC196655:BC196662 BC262191:BC262198 BC327727:BC327734 BC393263:BC393270 BC458799:BC458806 BC524335:BC524342 BC589871:BC589878 BC655407:BC655414 BC720943:BC720950 BC786479:BC786486 BC852015:BC852022 BC917551:BC917558 BC983087:BC983094 AS8 T8:T12 AS52 T52:T56</xm:sqref>
        </x14:dataValidation>
        <x14:dataValidation xr:uid="{0077009A-00B0-46C7-8775-006B00B00073}" type="list" allowBlank="1" error="Выберите значение из списка" errorStyle="stop" errorTitle="Ошибка" imeMode="noControl" operator="between" showDropDown="0" showErrorMessage="1" showInputMessage="1">
          <x14:formula1>
            <xm:f>kind_of_scheme_in</xm:f>
          </x14:formula1>
          <xm:sqref>AD917555:AS917555 AD983091:AS983091 AD65587:AS65587 AD131123:AS131123 AD196659:AS196659 AD262195:AS262195 AD327731:AS327731 AD393267:AS393267 AD458803:AS458803 AD524339:AS524339 AD589875:AS589875 AD655411:AS655411 AD720947:AS720947 AD786483:AS786483 AD852019:AS852019</xm:sqref>
        </x14:dataValidation>
        <x14:dataValidation xr:uid="{00F9008E-00E9-49CC-9B6C-003A0009008C}" type="list" allowBlank="1" error="Выберите значение из списка" errorStyle="stop" errorTitle="Ошибка" imeMode="noControl" operator="between" showDropDown="0" showErrorMessage="1" showInputMessage="1">
          <x14:formula1>
            <xm:f>kind_of_heat_transfer</xm:f>
          </x14:formula1>
          <xm:sqref>T65589 T131125 T196661 T262197 T327733 T393269 T458805 T524341 T589877 T655413 T720949 T786485 T852021 T917557 T983093</xm:sqref>
        </x14:dataValidation>
      </x14:dataValidations>
    </ext>
  </extLst>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zoomScale="90" workbookViewId="0">
      <pane xSplit="8" ySplit="29" topLeftCell="I30" activePane="bottomRight" state="frozen"/>
      <selection activeCell="A1" activeCellId="0" sqref="A1"/>
    </sheetView>
  </sheetViews>
  <sheetFormatPr defaultColWidth="9.140625" defaultRowHeight="11.25" customHeight="1"/>
  <cols>
    <col customWidth="1" hidden="1" min="1" max="1" style="706" width="10.7109375"/>
    <col customWidth="1" hidden="1" min="2" max="2" style="53" width="16.8515625"/>
    <col customWidth="1" hidden="1" min="3" max="3" style="57" width="5.57421875"/>
    <col customWidth="1" min="4" max="4" style="50" width="3.00390625"/>
    <col customWidth="1" min="5" max="5" style="50" width="7.00390625"/>
    <col customWidth="1" min="6" max="6" style="50" width="54.00390625"/>
    <col customWidth="1" min="7" max="7" style="50" width="10.00390625"/>
    <col customWidth="1" hidden="1" min="8" max="8" style="50" width="40.7109375"/>
    <col customWidth="1" min="9" max="9" style="50" width="40.7109375"/>
    <col customWidth="1" min="10" max="10" style="50" width="102.00390625"/>
    <col customWidth="1" min="11" max="11" style="53" width="9.00390625"/>
    <col customWidth="1" min="12" max="12" style="57" width="5.00390625"/>
    <col customWidth="1" min="13" max="13" style="57" width="3.00390625"/>
    <col customWidth="1" min="14" max="17" style="53" width="3.00390625"/>
    <col customWidth="1" min="18" max="18" style="57" width="10.00390625"/>
    <col customWidth="1" min="19" max="19" style="53" width="34.00390625"/>
    <col customWidth="1" min="20" max="20" style="53" width="9.00390625"/>
    <col customWidth="1" min="21" max="21" style="707" width="8.00390625"/>
    <col customWidth="1" min="22" max="26" style="53" width="8.00390625"/>
    <col customWidth="1" min="27" max="31" style="56" width="8.00390625"/>
    <col hidden="1" min="32" max="32" style="50" width="9.140625"/>
  </cols>
  <sheetData>
    <row r="1" ht="22.5" hidden="1" customHeight="1">
      <c r="AF1" s="50" t="s">
        <v>14</v>
      </c>
    </row>
    <row r="2" ht="23.25" hidden="1" customHeight="1">
      <c r="B2" s="51"/>
      <c r="C2" s="532" t="s">
        <v>539</v>
      </c>
      <c r="D2" s="126"/>
      <c r="E2" s="708">
        <f>B2</f>
        <v>0</v>
      </c>
      <c r="F2" s="709"/>
      <c r="G2" s="158" t="s">
        <v>540</v>
      </c>
      <c r="H2" s="158" t="s">
        <v>540</v>
      </c>
      <c r="I2" s="158" t="s">
        <v>540</v>
      </c>
      <c r="J2" s="486" t="s">
        <v>541</v>
      </c>
      <c r="K2" s="710"/>
      <c r="AF2" s="50">
        <v>0</v>
      </c>
    </row>
    <row r="3" s="57" customFormat="1" ht="0.75" hidden="1" customHeight="1">
      <c r="B3" s="51"/>
      <c r="C3" s="532"/>
      <c r="D3" s="532"/>
      <c r="E3" s="711"/>
      <c r="F3" s="712" t="s">
        <v>542</v>
      </c>
      <c r="G3" s="159"/>
      <c r="H3" s="159">
        <f>H4*H5+H7</f>
        <v>0</v>
      </c>
      <c r="I3" s="159">
        <f>I4*I5+I6</f>
        <v>0</v>
      </c>
      <c r="J3" s="351"/>
      <c r="AF3" s="57">
        <v>0</v>
      </c>
    </row>
    <row r="4" ht="23.25" hidden="1" customHeight="1">
      <c r="B4" s="51"/>
      <c r="C4" s="532"/>
      <c r="D4" s="126"/>
      <c r="E4" s="708" t="str">
        <f>B2&amp;".1"</f>
        <v>.1</v>
      </c>
      <c r="F4" s="713" t="s">
        <v>543</v>
      </c>
      <c r="G4" s="714"/>
      <c r="H4" s="508"/>
      <c r="I4" s="508"/>
      <c r="J4" s="486" t="s">
        <v>544</v>
      </c>
      <c r="K4" s="710"/>
      <c r="AF4" s="50">
        <v>0</v>
      </c>
    </row>
    <row r="5" ht="18.75" hidden="1" customHeight="1">
      <c r="B5" s="51"/>
      <c r="C5" s="532"/>
      <c r="D5" s="126"/>
      <c r="E5" s="708" t="str">
        <f>B2&amp;".2"</f>
        <v>.2</v>
      </c>
      <c r="F5" s="713" t="s">
        <v>545</v>
      </c>
      <c r="G5" s="158" t="s">
        <v>546</v>
      </c>
      <c r="H5" s="508"/>
      <c r="I5" s="508"/>
      <c r="J5" s="486"/>
      <c r="K5" s="710"/>
      <c r="AF5" s="50">
        <v>0</v>
      </c>
    </row>
    <row r="6" ht="18.75" hidden="1" customHeight="1">
      <c r="B6" s="51"/>
      <c r="C6" s="532"/>
      <c r="D6" s="126"/>
      <c r="E6" s="708" t="str">
        <f>B2&amp;".3"</f>
        <v>.3</v>
      </c>
      <c r="F6" s="713" t="s">
        <v>547</v>
      </c>
      <c r="G6" s="158" t="s">
        <v>546</v>
      </c>
      <c r="H6" s="508"/>
      <c r="I6" s="508"/>
      <c r="J6" s="486"/>
      <c r="K6" s="710"/>
      <c r="AF6" s="50">
        <v>0</v>
      </c>
    </row>
    <row r="7" ht="18.75" hidden="1" customHeight="1">
      <c r="B7" s="51"/>
      <c r="C7" s="532"/>
      <c r="D7" s="126"/>
      <c r="E7" s="708" t="str">
        <f>B2&amp;".4"</f>
        <v>.4</v>
      </c>
      <c r="F7" s="713" t="s">
        <v>548</v>
      </c>
      <c r="G7" s="158" t="s">
        <v>540</v>
      </c>
      <c r="H7" s="715"/>
      <c r="I7" s="715"/>
      <c r="J7" s="486"/>
      <c r="K7" s="710"/>
      <c r="AF7" s="50">
        <v>0</v>
      </c>
    </row>
    <row r="8" s="53" customFormat="1" ht="11.25" hidden="1" customHeight="1">
      <c r="A8" s="706"/>
      <c r="C8" s="57"/>
      <c r="D8" s="53"/>
      <c r="H8" s="53">
        <v>4</v>
      </c>
      <c r="I8" s="53">
        <v>4</v>
      </c>
      <c r="L8" s="57"/>
      <c r="M8" s="57"/>
      <c r="R8" s="57"/>
      <c r="AF8" s="53">
        <v>0</v>
      </c>
    </row>
    <row r="9" s="53" customFormat="1" ht="22.5" hidden="1" customHeight="1">
      <c r="A9" s="706"/>
      <c r="C9" s="57"/>
      <c r="D9" s="716"/>
      <c r="E9" s="158"/>
      <c r="F9" s="160"/>
      <c r="G9" s="158" t="s">
        <v>546</v>
      </c>
      <c r="H9" s="508"/>
      <c r="I9" s="508"/>
      <c r="J9" s="717" t="s">
        <v>549</v>
      </c>
      <c r="K9" s="710"/>
      <c r="L9" s="57"/>
      <c r="M9" s="57"/>
      <c r="R9" s="57"/>
      <c r="U9" s="707"/>
      <c r="AA9" s="56"/>
      <c r="AB9" s="56"/>
      <c r="AC9" s="56"/>
      <c r="AD9" s="56"/>
      <c r="AE9" s="56"/>
      <c r="AF9" s="53">
        <v>0</v>
      </c>
    </row>
    <row r="10" ht="11.25" hidden="1" customHeight="1">
      <c r="AF10" s="50">
        <v>0</v>
      </c>
    </row>
    <row r="11" ht="18.75" hidden="1" customHeight="1">
      <c r="D11" s="126"/>
      <c r="E11" s="708"/>
      <c r="F11" s="160"/>
      <c r="G11" s="158" t="s">
        <v>550</v>
      </c>
      <c r="H11" s="508"/>
      <c r="I11" s="508"/>
      <c r="J11" s="486" t="s">
        <v>551</v>
      </c>
      <c r="K11" s="710"/>
      <c r="AF11" s="50">
        <v>0</v>
      </c>
    </row>
    <row r="12" ht="11.25" hidden="1" customHeight="1">
      <c r="AF12" s="50">
        <v>0</v>
      </c>
    </row>
    <row r="13" ht="22.5" hidden="1" customHeight="1">
      <c r="D13" s="126"/>
      <c r="E13" s="708"/>
      <c r="F13" s="160"/>
      <c r="G13" s="72" t="s">
        <v>552</v>
      </c>
      <c r="H13" s="718"/>
      <c r="I13" s="718"/>
      <c r="J13" s="719" t="s">
        <v>553</v>
      </c>
      <c r="K13" s="710"/>
      <c r="AF13" s="50">
        <v>0</v>
      </c>
    </row>
    <row r="14" ht="11.25" hidden="1" customHeight="1">
      <c r="AF14" s="50">
        <v>0</v>
      </c>
    </row>
    <row r="15" ht="22.5" hidden="1" customHeight="1">
      <c r="D15" s="126"/>
      <c r="E15" s="708"/>
      <c r="F15" s="160"/>
      <c r="G15" s="158" t="s">
        <v>554</v>
      </c>
      <c r="H15" s="718"/>
      <c r="I15" s="718"/>
      <c r="J15" s="486" t="s">
        <v>555</v>
      </c>
      <c r="K15" s="710"/>
      <c r="AF15" s="50">
        <v>0</v>
      </c>
    </row>
    <row r="16" ht="11.25" hidden="1" customHeight="1">
      <c r="AF16" s="50">
        <v>0</v>
      </c>
    </row>
    <row r="17" ht="22.5" hidden="1" customHeight="1">
      <c r="D17" s="126"/>
      <c r="E17" s="708"/>
      <c r="F17" s="160"/>
      <c r="G17" s="158" t="s">
        <v>556</v>
      </c>
      <c r="H17" s="718"/>
      <c r="I17" s="718"/>
      <c r="J17" s="486" t="s">
        <v>557</v>
      </c>
      <c r="K17" s="710"/>
      <c r="AF17" s="50">
        <v>0</v>
      </c>
    </row>
    <row r="18" ht="11.25" hidden="1" customHeight="1">
      <c r="AF18" s="50">
        <v>0</v>
      </c>
    </row>
    <row r="19" s="56" customFormat="1" ht="11.25" hidden="1" customHeight="1">
      <c r="A19" s="706"/>
      <c r="B19" s="53"/>
      <c r="C19" s="57"/>
      <c r="D19" s="56"/>
      <c r="J19" s="56">
        <v>4</v>
      </c>
      <c r="K19" s="53"/>
      <c r="L19" s="57"/>
      <c r="M19" s="57"/>
      <c r="N19" s="53"/>
      <c r="O19" s="53"/>
      <c r="P19" s="53"/>
      <c r="Q19" s="53"/>
      <c r="R19" s="57"/>
      <c r="S19" s="53"/>
      <c r="T19" s="53"/>
      <c r="U19" s="707"/>
      <c r="V19" s="53"/>
      <c r="W19" s="53"/>
      <c r="X19" s="53"/>
      <c r="Y19" s="53"/>
      <c r="Z19" s="53"/>
      <c r="AF19" s="56">
        <v>0</v>
      </c>
    </row>
    <row r="20" ht="11.5" customHeight="1">
      <c r="AF20" s="50">
        <v>11</v>
      </c>
    </row>
    <row r="21" ht="25.199999999999999" customHeight="1">
      <c r="E21" s="453" t="str">
        <f>FHD_NAME_FORM</f>
        <v xml:space="preserve">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453"/>
      <c r="G21" s="453"/>
      <c r="H21" s="453"/>
      <c r="I21" s="453"/>
      <c r="J21" s="241"/>
      <c r="AF21" s="50">
        <v>24</v>
      </c>
    </row>
    <row r="22" ht="25.199999999999999" customHeight="1">
      <c r="E22" s="304" t="str">
        <f>IF(org=0,"Не определено",org)</f>
        <v xml:space="preserve">АО "ДГК" СП "Биробиджанская ТЭЦ"</v>
      </c>
      <c r="F22" s="304"/>
      <c r="G22" s="304"/>
      <c r="H22" s="304"/>
      <c r="I22" s="304"/>
      <c r="AF22" s="50">
        <v>24</v>
      </c>
    </row>
    <row r="23" ht="11.5" customHeight="1">
      <c r="E23" s="720"/>
      <c r="F23" s="720"/>
      <c r="G23" s="720"/>
      <c r="H23" s="720"/>
      <c r="I23" s="720"/>
      <c r="AF23" s="50">
        <v>11</v>
      </c>
    </row>
    <row r="24" s="57" customFormat="1" ht="1.05" customHeight="1">
      <c r="A24" s="532"/>
      <c r="D24" s="57"/>
      <c r="H24" s="721"/>
      <c r="I24" s="721" t="s">
        <v>113</v>
      </c>
      <c r="AF24" s="57">
        <v>1</v>
      </c>
    </row>
    <row r="25" ht="11.5" customHeight="1">
      <c r="E25" s="722"/>
      <c r="F25" s="723" t="s">
        <v>101</v>
      </c>
      <c r="G25" s="724"/>
      <c r="H25" s="725" t="str">
        <f>IF(H24="","",INDEX(DIFFERENTIATION_UNMERGE_VD,MATCH(H24,DIFFERENTIATION_ID_DIFF,0)))</f>
        <v/>
      </c>
      <c r="I25" s="725">
        <f>IF(I24="","",INDEX(DIFFERENTIATION_UNMERGE_VD,MATCH(I24,DIFFERENTIATION_ID_DIFF,0)))</f>
        <v>0</v>
      </c>
      <c r="J25" s="158"/>
      <c r="AF25" s="50">
        <v>11</v>
      </c>
    </row>
    <row r="26" ht="11.5" customHeight="1">
      <c r="E26" s="722"/>
      <c r="F26" s="723" t="s">
        <v>558</v>
      </c>
      <c r="G26" s="724"/>
      <c r="H26" s="725" t="str">
        <f>IF(H24="","",INDEX(DIFFERENTIATION_UNMERGE_AREA,MATCH(H24,DIFFERENTIATION_ID_DIFF,0)))</f>
        <v/>
      </c>
      <c r="I26" s="725" t="str">
        <f>IF(I24="","",INDEX(DIFFERENTIATION_UNMERGE_AREA,MATCH(I24,DIFFERENTIATION_ID_DIFF,0)))</f>
        <v/>
      </c>
      <c r="J26" s="158"/>
      <c r="AF26" s="50">
        <v>11</v>
      </c>
    </row>
    <row r="27" ht="11.5" customHeight="1">
      <c r="E27" s="722"/>
      <c r="F27" s="723" t="s">
        <v>559</v>
      </c>
      <c r="G27" s="724"/>
      <c r="H27" s="725" t="str">
        <f>IF(H24="","",INDEX(DIFFERENTIATION_UNMERGE_SYSTEM,MATCH(H24,DIFFERENTIATION_ID_DIFF,0)))</f>
        <v/>
      </c>
      <c r="I27" s="725" t="str">
        <f>IF(I24="","",INDEX(DIFFERENTIATION_UNMERGE_SYSTEM,MATCH(I24,DIFFERENTIATION_ID_DIFF,0)))</f>
        <v xml:space="preserve">без дифференциации</v>
      </c>
      <c r="J27" s="158"/>
      <c r="AF27" s="50">
        <v>11</v>
      </c>
    </row>
    <row r="28" ht="11.5" customHeight="1">
      <c r="E28" s="726" t="s">
        <v>294</v>
      </c>
      <c r="F28" s="727"/>
      <c r="G28" s="727"/>
      <c r="H28" s="723"/>
      <c r="I28" s="723"/>
      <c r="J28" s="158"/>
      <c r="AF28" s="50">
        <v>11</v>
      </c>
    </row>
    <row r="29" ht="24" customHeight="1">
      <c r="E29" s="158" t="s">
        <v>87</v>
      </c>
      <c r="F29" s="158" t="s">
        <v>296</v>
      </c>
      <c r="G29" s="158" t="s">
        <v>560</v>
      </c>
      <c r="H29" s="158" t="s">
        <v>297</v>
      </c>
      <c r="I29" s="158" t="s">
        <v>297</v>
      </c>
      <c r="J29" s="158"/>
      <c r="AF29" s="50">
        <v>23</v>
      </c>
    </row>
    <row r="30" ht="19.949999999999999" customHeight="1">
      <c r="D30" s="126"/>
      <c r="E30" s="708">
        <f>FHD_NUM_P_1</f>
        <v>1</v>
      </c>
      <c r="F30" s="314" t="str">
        <f>FHD_P_1</f>
        <v xml:space="preserve">Выручка от регулируемых видов деятельности в сфере горячего водоснабжения</v>
      </c>
      <c r="G30" s="158" t="s">
        <v>546</v>
      </c>
      <c r="H30" s="728"/>
      <c r="I30" s="728"/>
      <c r="J30" s="486" t="str">
        <f>FHD_NOTE_P_1</f>
        <v xml:space="preserve">Указывается выручка с распределением по видам деятельности.</v>
      </c>
      <c r="K30" s="710"/>
      <c r="AF30" s="50">
        <v>19</v>
      </c>
    </row>
    <row r="31" ht="11.5" customHeight="1">
      <c r="D31" s="126"/>
      <c r="E31" s="708">
        <f>FHD_NUM_P_2</f>
        <v>2</v>
      </c>
      <c r="F31" s="314" t="str">
        <f>FHD_P_2</f>
        <v xml:space="preserve">Себестоимость производимых товаров (оказываемых услуг) по регулируемым видам деятельности в сфере горячего водоснабжения, включая:</v>
      </c>
      <c r="G31" s="158" t="s">
        <v>546</v>
      </c>
      <c r="H31" s="729">
        <f>SUMIF($K33:$K71,$K31,H33:H71)</f>
        <v>0</v>
      </c>
      <c r="I31" s="729">
        <f>SUMIF($K33:$K71,$K31,I33:I71)</f>
        <v>0</v>
      </c>
      <c r="J31" s="486" t="str">
        <f>FHD_NOTE_P_2</f>
        <v xml:space="preserve">Указывается суммарная себестоимость производимых товаров.</v>
      </c>
      <c r="K31" s="57" t="s">
        <v>561</v>
      </c>
      <c r="AF31" s="50">
        <v>11</v>
      </c>
    </row>
    <row r="32" ht="11.5" customHeight="1">
      <c r="D32" s="126"/>
      <c r="E32" s="708" t="str">
        <f>FHD_NUM_P_3</f>
        <v>2.1</v>
      </c>
      <c r="F32" s="674" t="str">
        <f>FHD_P_3</f>
        <v xml:space="preserve">Расходы на приобретаемую тепловую энергию (мощность), используемую для горячего водоснабжения</v>
      </c>
      <c r="G32" s="158" t="s">
        <v>546</v>
      </c>
      <c r="H32" s="728"/>
      <c r="I32" s="728"/>
      <c r="J32" s="486" t="str">
        <f>FHD_NOTE_P_3</f>
        <v/>
      </c>
      <c r="K32" s="57" t="str">
        <f t="shared" ref="K32:K70" si="47">IF((LEN(E32)-LEN(SUBSTITUTE(E32,".","")))/LEN(".")=1,"p","")</f>
        <v>p</v>
      </c>
      <c r="AF32" s="50">
        <v>11</v>
      </c>
    </row>
    <row r="33" ht="11.25" hidden="1" customHeight="1">
      <c r="A33" s="730" t="s">
        <v>562</v>
      </c>
      <c r="D33" s="126"/>
      <c r="E33" s="708" t="str">
        <f>FHD_NUM_P_4</f>
        <v/>
      </c>
      <c r="F33" s="674" t="str">
        <f>FHD_P_4</f>
        <v/>
      </c>
      <c r="G33" s="158" t="s">
        <v>546</v>
      </c>
      <c r="H33" s="729">
        <f>SUMIF($F34:$F40,$F3,H34:H40)</f>
        <v>0</v>
      </c>
      <c r="I33" s="729">
        <f>SUMIF($F34:$F40,$F3,I34:I40)</f>
        <v>0</v>
      </c>
      <c r="J33" s="486" t="str">
        <f>FHD_NOTE_P_4</f>
        <v/>
      </c>
      <c r="K33" s="57" t="str">
        <f t="shared" si="47"/>
        <v/>
      </c>
      <c r="AF33" s="50">
        <v>0</v>
      </c>
    </row>
    <row r="34" s="132" customFormat="1" ht="0.75" hidden="1" customHeight="1">
      <c r="A34" s="730"/>
      <c r="B34" s="731" t="str">
        <f>E33&amp;".0"</f>
        <v>.0</v>
      </c>
      <c r="C34" s="532"/>
      <c r="D34" s="732"/>
      <c r="E34" s="733"/>
      <c r="F34" s="734"/>
      <c r="G34" s="735"/>
      <c r="H34" s="429"/>
      <c r="I34" s="429"/>
      <c r="J34" s="736"/>
      <c r="K34" s="57" t="str">
        <f t="shared" si="47"/>
        <v/>
      </c>
      <c r="L34" s="57"/>
      <c r="M34" s="57"/>
      <c r="N34" s="57"/>
      <c r="O34" s="57"/>
      <c r="P34" s="57"/>
      <c r="Q34" s="57"/>
      <c r="R34" s="57"/>
      <c r="S34" s="57"/>
      <c r="T34" s="57"/>
      <c r="U34" s="737"/>
      <c r="V34" s="57"/>
      <c r="W34" s="57"/>
      <c r="X34" s="57"/>
      <c r="Y34" s="57"/>
      <c r="Z34" s="57"/>
      <c r="AA34" s="54"/>
      <c r="AB34" s="54"/>
      <c r="AC34" s="54"/>
      <c r="AD34" s="54"/>
      <c r="AE34" s="54"/>
      <c r="AF34" s="132">
        <v>0</v>
      </c>
    </row>
    <row r="35" s="132" customFormat="1" ht="0.75" hidden="1" customHeight="1">
      <c r="A35" s="730"/>
      <c r="B35" s="731"/>
      <c r="C35" s="532"/>
      <c r="D35" s="732"/>
      <c r="E35" s="738"/>
      <c r="F35" s="739"/>
      <c r="G35" s="735"/>
      <c r="H35" s="740"/>
      <c r="I35" s="740"/>
      <c r="J35" s="736"/>
      <c r="K35" s="57" t="str">
        <f t="shared" si="47"/>
        <v/>
      </c>
      <c r="L35" s="57"/>
      <c r="M35" s="57"/>
      <c r="N35" s="57"/>
      <c r="O35" s="57"/>
      <c r="P35" s="57"/>
      <c r="Q35" s="57"/>
      <c r="R35" s="57"/>
      <c r="S35" s="57"/>
      <c r="T35" s="57"/>
      <c r="U35" s="737"/>
      <c r="V35" s="57"/>
      <c r="W35" s="57"/>
      <c r="X35" s="57"/>
      <c r="Y35" s="57"/>
      <c r="Z35" s="57"/>
      <c r="AA35" s="54"/>
      <c r="AB35" s="54"/>
      <c r="AC35" s="54"/>
      <c r="AD35" s="54"/>
      <c r="AE35" s="54"/>
      <c r="AF35" s="132">
        <v>0</v>
      </c>
    </row>
    <row r="36" s="132" customFormat="1" ht="0.75" hidden="1" customHeight="1">
      <c r="A36" s="730"/>
      <c r="B36" s="731"/>
      <c r="C36" s="532"/>
      <c r="D36" s="732"/>
      <c r="E36" s="738"/>
      <c r="F36" s="739"/>
      <c r="G36" s="735"/>
      <c r="H36" s="740"/>
      <c r="I36" s="740"/>
      <c r="J36" s="736"/>
      <c r="K36" s="57" t="str">
        <f t="shared" si="47"/>
        <v/>
      </c>
      <c r="L36" s="57"/>
      <c r="M36" s="57"/>
      <c r="N36" s="57"/>
      <c r="O36" s="57"/>
      <c r="P36" s="57"/>
      <c r="Q36" s="57"/>
      <c r="R36" s="57"/>
      <c r="S36" s="57"/>
      <c r="T36" s="57"/>
      <c r="U36" s="737"/>
      <c r="V36" s="57"/>
      <c r="W36" s="57"/>
      <c r="X36" s="57"/>
      <c r="Y36" s="57"/>
      <c r="Z36" s="57"/>
      <c r="AA36" s="54"/>
      <c r="AB36" s="54"/>
      <c r="AC36" s="54"/>
      <c r="AD36" s="54"/>
      <c r="AE36" s="54"/>
      <c r="AF36" s="132">
        <v>0</v>
      </c>
    </row>
    <row r="37" s="132" customFormat="1" ht="0.75" hidden="1" customHeight="1">
      <c r="A37" s="730"/>
      <c r="B37" s="731"/>
      <c r="C37" s="532"/>
      <c r="D37" s="732"/>
      <c r="E37" s="738"/>
      <c r="F37" s="739"/>
      <c r="G37" s="735"/>
      <c r="H37" s="740"/>
      <c r="I37" s="740"/>
      <c r="J37" s="736"/>
      <c r="K37" s="57" t="str">
        <f t="shared" si="47"/>
        <v/>
      </c>
      <c r="L37" s="57"/>
      <c r="M37" s="57"/>
      <c r="N37" s="57"/>
      <c r="O37" s="57"/>
      <c r="P37" s="57"/>
      <c r="Q37" s="57"/>
      <c r="R37" s="57"/>
      <c r="S37" s="57"/>
      <c r="T37" s="57"/>
      <c r="U37" s="737"/>
      <c r="V37" s="57"/>
      <c r="W37" s="57"/>
      <c r="X37" s="57"/>
      <c r="Y37" s="57"/>
      <c r="Z37" s="57"/>
      <c r="AA37" s="54"/>
      <c r="AB37" s="54"/>
      <c r="AC37" s="54"/>
      <c r="AD37" s="54"/>
      <c r="AE37" s="54"/>
      <c r="AF37" s="132">
        <v>0</v>
      </c>
    </row>
    <row r="38" s="132" customFormat="1" ht="0.75" hidden="1" customHeight="1">
      <c r="A38" s="730"/>
      <c r="B38" s="731"/>
      <c r="C38" s="532"/>
      <c r="D38" s="732"/>
      <c r="E38" s="738"/>
      <c r="F38" s="739"/>
      <c r="G38" s="735"/>
      <c r="H38" s="740"/>
      <c r="I38" s="740"/>
      <c r="J38" s="736"/>
      <c r="K38" s="57" t="str">
        <f t="shared" si="47"/>
        <v/>
      </c>
      <c r="L38" s="57"/>
      <c r="M38" s="57"/>
      <c r="N38" s="57"/>
      <c r="O38" s="57"/>
      <c r="P38" s="57"/>
      <c r="Q38" s="57"/>
      <c r="R38" s="57"/>
      <c r="S38" s="57"/>
      <c r="T38" s="57"/>
      <c r="U38" s="737"/>
      <c r="V38" s="57"/>
      <c r="W38" s="57"/>
      <c r="X38" s="57"/>
      <c r="Y38" s="57"/>
      <c r="Z38" s="57"/>
      <c r="AA38" s="54"/>
      <c r="AB38" s="54"/>
      <c r="AC38" s="54"/>
      <c r="AD38" s="54"/>
      <c r="AE38" s="54"/>
      <c r="AF38" s="132">
        <v>0</v>
      </c>
    </row>
    <row r="39" s="132" customFormat="1" ht="0.75" hidden="1" customHeight="1">
      <c r="A39" s="730"/>
      <c r="B39" s="731"/>
      <c r="C39" s="532"/>
      <c r="D39" s="732"/>
      <c r="E39" s="738"/>
      <c r="F39" s="739"/>
      <c r="G39" s="735"/>
      <c r="H39" s="429"/>
      <c r="I39" s="429"/>
      <c r="J39" s="736"/>
      <c r="K39" s="57" t="str">
        <f t="shared" si="47"/>
        <v/>
      </c>
      <c r="L39" s="57"/>
      <c r="M39" s="57"/>
      <c r="N39" s="57"/>
      <c r="O39" s="57"/>
      <c r="P39" s="57"/>
      <c r="Q39" s="57"/>
      <c r="R39" s="57"/>
      <c r="S39" s="57"/>
      <c r="T39" s="57"/>
      <c r="U39" s="737"/>
      <c r="V39" s="57"/>
      <c r="W39" s="57"/>
      <c r="X39" s="57"/>
      <c r="Y39" s="57"/>
      <c r="Z39" s="57"/>
      <c r="AA39" s="54"/>
      <c r="AB39" s="54"/>
      <c r="AC39" s="54"/>
      <c r="AD39" s="54"/>
      <c r="AE39" s="54"/>
      <c r="AF39" s="132">
        <v>0</v>
      </c>
    </row>
    <row r="40" s="53" customFormat="1" ht="15" hidden="1" customHeight="1">
      <c r="A40" s="730"/>
      <c r="C40" s="57"/>
      <c r="D40" s="129"/>
      <c r="E40" s="741"/>
      <c r="F40" s="236" t="s">
        <v>563</v>
      </c>
      <c r="G40" s="742"/>
      <c r="H40" s="743"/>
      <c r="I40" s="743"/>
      <c r="J40" s="550"/>
      <c r="K40" s="57" t="str">
        <f t="shared" si="47"/>
        <v/>
      </c>
      <c r="L40" s="57"/>
      <c r="M40" s="57"/>
      <c r="R40" s="57"/>
      <c r="U40" s="707"/>
      <c r="AA40" s="56"/>
      <c r="AB40" s="56"/>
      <c r="AC40" s="56"/>
      <c r="AD40" s="56"/>
      <c r="AE40" s="56"/>
      <c r="AF40" s="53">
        <v>0</v>
      </c>
    </row>
    <row r="41" ht="11.25" customHeight="1">
      <c r="A41" s="730" t="s">
        <v>564</v>
      </c>
      <c r="D41" s="126"/>
      <c r="E41" s="708" t="str">
        <f>FHD_NUM_P_5</f>
        <v>2.2</v>
      </c>
      <c r="F41" s="674" t="str">
        <f>FHD_P_5</f>
        <v xml:space="preserve">Расходы на тепловую энергию, производимую с применением собственных источников и используемую для горячего водоснабжения</v>
      </c>
      <c r="G41" s="158" t="s">
        <v>546</v>
      </c>
      <c r="H41" s="728"/>
      <c r="I41" s="728"/>
      <c r="J41" s="486" t="str">
        <f>FHD_NOTE_P_5</f>
        <v/>
      </c>
      <c r="K41" s="57" t="str">
        <f t="shared" si="47"/>
        <v>p</v>
      </c>
      <c r="AF41" s="50">
        <v>0</v>
      </c>
    </row>
    <row r="42" ht="11.25" customHeight="1">
      <c r="A42" s="730"/>
      <c r="D42" s="126"/>
      <c r="E42" s="708" t="str">
        <f>FHD_NUM_P_6</f>
        <v>2.3</v>
      </c>
      <c r="F42" s="674" t="str">
        <f>FHD_P_6</f>
        <v xml:space="preserve">Расходы на приобретаемую холодную воду, используемую для горячего водоснабжения</v>
      </c>
      <c r="G42" s="158" t="s">
        <v>546</v>
      </c>
      <c r="H42" s="728"/>
      <c r="I42" s="728"/>
      <c r="J42" s="486" t="str">
        <f>FHD_NOTE_P_6</f>
        <v/>
      </c>
      <c r="K42" s="57" t="str">
        <f t="shared" si="47"/>
        <v>p</v>
      </c>
      <c r="AF42" s="50">
        <v>0</v>
      </c>
    </row>
    <row r="43" ht="11.25" customHeight="1">
      <c r="A43" s="730"/>
      <c r="D43" s="126"/>
      <c r="E43" s="708" t="str">
        <f>FHD_NUM_P_7</f>
        <v>2.4</v>
      </c>
      <c r="F43" s="674" t="str">
        <f>FHD_P_7</f>
        <v xml:space="preserve">Расходы на холодную воду, получаемую с применением собственных источников водозабора (скважин) и используемую для горячего водоснабжения</v>
      </c>
      <c r="G43" s="158" t="s">
        <v>546</v>
      </c>
      <c r="H43" s="728"/>
      <c r="I43" s="728"/>
      <c r="J43" s="486" t="str">
        <f>FHD_NOTE_P_7</f>
        <v/>
      </c>
      <c r="K43" s="57" t="str">
        <f t="shared" si="47"/>
        <v>p</v>
      </c>
      <c r="AF43" s="50">
        <v>0</v>
      </c>
    </row>
    <row r="44" ht="11.5" customHeight="1">
      <c r="D44" s="126"/>
      <c r="E44" s="708" t="str">
        <f>FHD_NUM_P_8</f>
        <v>2.5</v>
      </c>
      <c r="F44" s="674" t="str">
        <f>FHD_P_8</f>
        <v xml:space="preserve">Расходы на приобретаемую электрическую энергию (мощность), используемую в технологическом процессе</v>
      </c>
      <c r="G44" s="158" t="s">
        <v>546</v>
      </c>
      <c r="H44" s="728"/>
      <c r="I44" s="728"/>
      <c r="J44" s="486" t="str">
        <f>FHD_NOTE_P_8</f>
        <v/>
      </c>
      <c r="K44" s="57" t="str">
        <f t="shared" si="47"/>
        <v>p</v>
      </c>
      <c r="AF44" s="50">
        <v>11</v>
      </c>
    </row>
    <row r="45" ht="11.5" customHeight="1">
      <c r="D45" s="126"/>
      <c r="E45" s="708" t="str">
        <f>FHD_NUM_P_9</f>
        <v>2.5.1</v>
      </c>
      <c r="F45" s="744" t="str">
        <f>FHD_P_9</f>
        <v xml:space="preserve">Средневзвешенная стоимость 1 кВт.ч (с учетом мощности)</v>
      </c>
      <c r="G45" s="158" t="s">
        <v>565</v>
      </c>
      <c r="H45" s="728"/>
      <c r="I45" s="728"/>
      <c r="J45" s="486" t="str">
        <f>FHD_NOTE_P_9</f>
        <v/>
      </c>
      <c r="K45" s="57" t="str">
        <f t="shared" si="47"/>
        <v/>
      </c>
      <c r="AF45" s="50">
        <v>11</v>
      </c>
    </row>
    <row r="46" s="53" customFormat="1" ht="11.5" customHeight="1">
      <c r="A46" s="706"/>
      <c r="C46" s="57"/>
      <c r="D46" s="745"/>
      <c r="E46" s="708" t="str">
        <f>FHD_NUM_P_10</f>
        <v>2.5.2</v>
      </c>
      <c r="F46" s="744" t="str">
        <f>FHD_P_10</f>
        <v xml:space="preserve">Объём приобретения электрической энергии</v>
      </c>
      <c r="G46" s="158" t="s">
        <v>566</v>
      </c>
      <c r="H46" s="728"/>
      <c r="I46" s="728"/>
      <c r="J46" s="486" t="str">
        <f>FHD_NOTE_P_10</f>
        <v/>
      </c>
      <c r="K46" s="57" t="str">
        <f t="shared" si="47"/>
        <v/>
      </c>
      <c r="L46" s="57"/>
      <c r="M46" s="57"/>
      <c r="R46" s="57"/>
      <c r="U46" s="707"/>
      <c r="AA46" s="56"/>
      <c r="AB46" s="56"/>
      <c r="AC46" s="56"/>
      <c r="AD46" s="56"/>
      <c r="AE46" s="56"/>
      <c r="AF46" s="53">
        <v>11</v>
      </c>
    </row>
    <row r="47" s="53" customFormat="1" ht="11.25" hidden="1" customHeight="1">
      <c r="A47" s="746" t="s">
        <v>567</v>
      </c>
      <c r="C47" s="57"/>
      <c r="D47" s="747"/>
      <c r="E47" s="708" t="str">
        <f>FHD_NUM_P_11</f>
        <v/>
      </c>
      <c r="F47" s="674" t="str">
        <f>FHD_P_11</f>
        <v/>
      </c>
      <c r="G47" s="158" t="s">
        <v>546</v>
      </c>
      <c r="H47" s="728"/>
      <c r="I47" s="728"/>
      <c r="J47" s="486" t="str">
        <f>FHD_NOTE_P_11</f>
        <v/>
      </c>
      <c r="K47" s="57" t="str">
        <f t="shared" si="47"/>
        <v/>
      </c>
      <c r="L47" s="57"/>
      <c r="M47" s="57"/>
      <c r="R47" s="57"/>
      <c r="U47" s="707"/>
      <c r="AA47" s="56"/>
      <c r="AB47" s="56"/>
      <c r="AC47" s="56"/>
      <c r="AD47" s="56"/>
      <c r="AE47" s="56"/>
      <c r="AF47" s="53">
        <v>0</v>
      </c>
    </row>
    <row r="48" s="53" customFormat="1" ht="18.75" hidden="1" customHeight="1">
      <c r="A48" s="746" t="s">
        <v>568</v>
      </c>
      <c r="C48" s="57"/>
      <c r="D48" s="126"/>
      <c r="E48" s="708" t="str">
        <f>FHD_NUM_P_12</f>
        <v/>
      </c>
      <c r="F48" s="674" t="str">
        <f>FHD_P_12</f>
        <v/>
      </c>
      <c r="G48" s="158" t="s">
        <v>546</v>
      </c>
      <c r="H48" s="748"/>
      <c r="I48" s="748"/>
      <c r="J48" s="486" t="str">
        <f>FHD_NOTE_P_12</f>
        <v/>
      </c>
      <c r="K48" s="57" t="str">
        <f t="shared" si="47"/>
        <v/>
      </c>
      <c r="L48" s="57"/>
      <c r="M48" s="57"/>
      <c r="R48" s="57"/>
      <c r="U48" s="707"/>
      <c r="AA48" s="56"/>
      <c r="AB48" s="56"/>
      <c r="AC48" s="56"/>
      <c r="AD48" s="56"/>
      <c r="AE48" s="56"/>
      <c r="AF48" s="53">
        <v>18</v>
      </c>
    </row>
    <row r="49" s="483" customFormat="1" ht="11.5" customHeight="1">
      <c r="A49" s="749"/>
      <c r="C49" s="465"/>
      <c r="D49" s="269"/>
      <c r="E49" s="708" t="str">
        <f>FHD_NUM_P_13</f>
        <v>2.6</v>
      </c>
      <c r="F49" s="674" t="str">
        <f>FHD_P_13</f>
        <v xml:space="preserve">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58" t="s">
        <v>546</v>
      </c>
      <c r="H49" s="728"/>
      <c r="I49" s="728"/>
      <c r="J49" s="486" t="str">
        <f>FHD_NOTE_P_13</f>
        <v xml:space="preserve">Указывается общая сумма расходов на оплату труда и отчислений на социальные нужды основного производственного персонала.</v>
      </c>
      <c r="K49" s="57" t="str">
        <f t="shared" si="47"/>
        <v>p</v>
      </c>
      <c r="L49" s="465"/>
      <c r="M49" s="465"/>
      <c r="R49" s="465"/>
      <c r="U49" s="750"/>
      <c r="AA49" s="48"/>
      <c r="AB49" s="48"/>
      <c r="AC49" s="48"/>
      <c r="AD49" s="48"/>
      <c r="AE49" s="48"/>
      <c r="AF49" s="483">
        <v>11</v>
      </c>
    </row>
    <row r="50" s="483" customFormat="1" ht="11.5" customHeight="1">
      <c r="A50" s="749"/>
      <c r="C50" s="465"/>
      <c r="D50" s="269"/>
      <c r="E50" s="708" t="str">
        <f>FHD_NUM_P_14</f>
        <v>2.6.1</v>
      </c>
      <c r="F50" s="744" t="str">
        <f>FHD_P_14</f>
        <v xml:space="preserve">Расходы на оплату труда основного производственного персонала</v>
      </c>
      <c r="G50" s="158" t="s">
        <v>546</v>
      </c>
      <c r="H50" s="728"/>
      <c r="I50" s="728"/>
      <c r="J50" s="486" t="str">
        <f>FHD_NOTE_P_14</f>
        <v/>
      </c>
      <c r="K50" s="57" t="str">
        <f t="shared" si="47"/>
        <v/>
      </c>
      <c r="L50" s="465"/>
      <c r="M50" s="465"/>
      <c r="R50" s="465"/>
      <c r="U50" s="750"/>
      <c r="AA50" s="48"/>
      <c r="AB50" s="48"/>
      <c r="AC50" s="48"/>
      <c r="AD50" s="48"/>
      <c r="AE50" s="48"/>
      <c r="AF50" s="483">
        <v>11</v>
      </c>
    </row>
    <row r="51" s="483" customFormat="1" ht="11.5" customHeight="1">
      <c r="A51" s="749"/>
      <c r="C51" s="465"/>
      <c r="D51" s="269"/>
      <c r="E51" s="708" t="str">
        <f>FHD_NUM_P_15</f>
        <v>2.6.2</v>
      </c>
      <c r="F51" s="744" t="str">
        <f>FHD_P_15</f>
        <v xml:space="preserve">Страховые взносы на обязательное социальное страхование, выплачиваемые из фонда оплаты труда основного производственного персонала</v>
      </c>
      <c r="G51" s="158" t="s">
        <v>546</v>
      </c>
      <c r="H51" s="728"/>
      <c r="I51" s="728"/>
      <c r="J51" s="486" t="str">
        <f>FHD_NOTE_P_15</f>
        <v/>
      </c>
      <c r="K51" s="57" t="str">
        <f t="shared" si="47"/>
        <v/>
      </c>
      <c r="L51" s="465"/>
      <c r="M51" s="465"/>
      <c r="R51" s="465"/>
      <c r="U51" s="750"/>
      <c r="AA51" s="48"/>
      <c r="AB51" s="48"/>
      <c r="AC51" s="48"/>
      <c r="AD51" s="48"/>
      <c r="AE51" s="48"/>
      <c r="AF51" s="483">
        <v>11</v>
      </c>
    </row>
    <row r="52" s="53" customFormat="1" ht="11.5" customHeight="1">
      <c r="A52" s="706"/>
      <c r="C52" s="57"/>
      <c r="D52" s="126"/>
      <c r="E52" s="708" t="str">
        <f>FHD_NUM_P_16</f>
        <v>2.7</v>
      </c>
      <c r="F52" s="674" t="str">
        <f>FHD_P_16</f>
        <v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58" t="s">
        <v>546</v>
      </c>
      <c r="H52" s="728"/>
      <c r="I52" s="728"/>
      <c r="J52" s="486" t="str">
        <f>FHD_NOTE_P_16</f>
        <v xml:space="preserve">Указывается общая сумма расходов на оплату труда и отчислений на социальные нужды административно-управленческого персонала.</v>
      </c>
      <c r="K52" s="57" t="str">
        <f t="shared" si="47"/>
        <v>p</v>
      </c>
      <c r="L52" s="57"/>
      <c r="M52" s="57"/>
      <c r="N52" s="53"/>
      <c r="O52" s="53"/>
      <c r="R52" s="57"/>
      <c r="U52" s="707"/>
      <c r="AA52" s="56"/>
      <c r="AB52" s="56"/>
      <c r="AC52" s="56"/>
      <c r="AD52" s="56"/>
      <c r="AE52" s="56"/>
      <c r="AF52" s="53">
        <v>11</v>
      </c>
    </row>
    <row r="53" s="53" customFormat="1" ht="11.5" customHeight="1">
      <c r="A53" s="706"/>
      <c r="C53" s="57"/>
      <c r="D53" s="126"/>
      <c r="E53" s="708" t="str">
        <f>FHD_NUM_P_17</f>
        <v>2.7.1</v>
      </c>
      <c r="F53" s="744" t="str">
        <f>FHD_P_17</f>
        <v xml:space="preserve">Расходы на оплату труда административно-управленческого персонала</v>
      </c>
      <c r="G53" s="158" t="s">
        <v>546</v>
      </c>
      <c r="H53" s="728"/>
      <c r="I53" s="728"/>
      <c r="J53" s="486" t="str">
        <f>FHD_NOTE_P_17</f>
        <v/>
      </c>
      <c r="K53" s="57" t="str">
        <f t="shared" si="47"/>
        <v/>
      </c>
      <c r="L53" s="57"/>
      <c r="M53" s="57"/>
      <c r="N53" s="53"/>
      <c r="O53" s="53"/>
      <c r="R53" s="57"/>
      <c r="U53" s="707"/>
      <c r="AA53" s="56"/>
      <c r="AB53" s="56"/>
      <c r="AC53" s="56"/>
      <c r="AD53" s="56"/>
      <c r="AE53" s="56"/>
      <c r="AF53" s="53">
        <v>11</v>
      </c>
    </row>
    <row r="54" s="53" customFormat="1" ht="11.5" customHeight="1">
      <c r="A54" s="706"/>
      <c r="C54" s="57"/>
      <c r="D54" s="126"/>
      <c r="E54" s="708" t="str">
        <f>FHD_NUM_P_18</f>
        <v>2.7.2</v>
      </c>
      <c r="F54" s="744" t="str">
        <f>FHD_P_18</f>
        <v xml:space="preserve">Страховые взносы на обязательное социальное страхование, выплачиваемые из фонда оплаты труда административно-управленческого персонала</v>
      </c>
      <c r="G54" s="158" t="s">
        <v>546</v>
      </c>
      <c r="H54" s="728"/>
      <c r="I54" s="728"/>
      <c r="J54" s="486" t="str">
        <f>FHD_NOTE_P_18</f>
        <v/>
      </c>
      <c r="K54" s="57" t="str">
        <f t="shared" si="47"/>
        <v/>
      </c>
      <c r="L54" s="57"/>
      <c r="M54" s="57"/>
      <c r="N54" s="53"/>
      <c r="O54" s="53"/>
      <c r="R54" s="57"/>
      <c r="U54" s="707"/>
      <c r="AA54" s="56"/>
      <c r="AB54" s="56"/>
      <c r="AC54" s="56"/>
      <c r="AD54" s="56"/>
      <c r="AE54" s="56"/>
      <c r="AF54" s="53">
        <v>11</v>
      </c>
    </row>
    <row r="55" s="53" customFormat="1" ht="11.5" customHeight="1">
      <c r="A55" s="706"/>
      <c r="C55" s="57"/>
      <c r="D55" s="747"/>
      <c r="E55" s="708" t="str">
        <f>FHD_NUM_P_19</f>
        <v>2.8</v>
      </c>
      <c r="F55" s="674" t="str">
        <f>FHD_P_19</f>
        <v xml:space="preserve">Расходы на амортизацию основных средств и нематериальных активов</v>
      </c>
      <c r="G55" s="158" t="s">
        <v>546</v>
      </c>
      <c r="H55" s="728"/>
      <c r="I55" s="728"/>
      <c r="J55" s="486" t="str">
        <f>FHD_NOTE_P_19</f>
        <v/>
      </c>
      <c r="K55" s="57" t="str">
        <f t="shared" si="47"/>
        <v>p</v>
      </c>
      <c r="L55" s="57"/>
      <c r="M55" s="57"/>
      <c r="R55" s="57"/>
      <c r="U55" s="707"/>
      <c r="AA55" s="56"/>
      <c r="AB55" s="56"/>
      <c r="AC55" s="56"/>
      <c r="AD55" s="56"/>
      <c r="AE55" s="56"/>
      <c r="AF55" s="53">
        <v>11</v>
      </c>
    </row>
    <row r="56" s="53" customFormat="1" ht="11.5" customHeight="1">
      <c r="A56" s="706"/>
      <c r="C56" s="57"/>
      <c r="D56" s="747"/>
      <c r="E56" s="708" t="str">
        <f>FHD_NUM_P_20</f>
        <v>2.8.1</v>
      </c>
      <c r="F56" s="744" t="str">
        <f>FHD_P_20</f>
        <v xml:space="preserve">Расходы на амортизацию основных средств</v>
      </c>
      <c r="G56" s="158" t="s">
        <v>546</v>
      </c>
      <c r="H56" s="728"/>
      <c r="I56" s="728"/>
      <c r="J56" s="486" t="str">
        <f>FHD_NOTE_P_20</f>
        <v/>
      </c>
      <c r="K56" s="57" t="str">
        <f t="shared" si="47"/>
        <v/>
      </c>
      <c r="L56" s="57"/>
      <c r="M56" s="57"/>
      <c r="R56" s="57"/>
      <c r="U56" s="707"/>
      <c r="AA56" s="56"/>
      <c r="AB56" s="56"/>
      <c r="AC56" s="56"/>
      <c r="AD56" s="56"/>
      <c r="AE56" s="56"/>
      <c r="AF56" s="53">
        <v>11</v>
      </c>
    </row>
    <row r="57" s="53" customFormat="1" ht="11.5" customHeight="1">
      <c r="A57" s="706"/>
      <c r="C57" s="57"/>
      <c r="D57" s="747"/>
      <c r="E57" s="708" t="str">
        <f>FHD_NUM_P_21</f>
        <v>2.8.2</v>
      </c>
      <c r="F57" s="744" t="str">
        <f>FHD_P_21</f>
        <v xml:space="preserve">Расходы на амортизацию нематериальных активов</v>
      </c>
      <c r="G57" s="158" t="s">
        <v>546</v>
      </c>
      <c r="H57" s="728"/>
      <c r="I57" s="728"/>
      <c r="J57" s="486" t="str">
        <f>FHD_NOTE_P_21</f>
        <v/>
      </c>
      <c r="K57" s="57" t="str">
        <f t="shared" si="47"/>
        <v/>
      </c>
      <c r="L57" s="57"/>
      <c r="M57" s="57"/>
      <c r="R57" s="57"/>
      <c r="U57" s="707"/>
      <c r="AA57" s="56"/>
      <c r="AB57" s="56"/>
      <c r="AC57" s="56"/>
      <c r="AD57" s="56"/>
      <c r="AE57" s="56"/>
      <c r="AF57" s="53">
        <v>11</v>
      </c>
    </row>
    <row r="58" s="53" customFormat="1" ht="11.5" customHeight="1">
      <c r="A58" s="706"/>
      <c r="C58" s="57"/>
      <c r="D58" s="126"/>
      <c r="E58" s="708" t="str">
        <f>FHD_NUM_P_22</f>
        <v>2.9</v>
      </c>
      <c r="F58" s="674" t="str">
        <f>FHD_P_22</f>
        <v xml:space="preserve">Расходы на аренду имущества, используемого для осуществления регулируемых видов деятельности в сфере горячего водоснабжения</v>
      </c>
      <c r="G58" s="158" t="s">
        <v>546</v>
      </c>
      <c r="H58" s="728"/>
      <c r="I58" s="728"/>
      <c r="J58" s="486" t="str">
        <f>FHD_NOTE_P_22</f>
        <v/>
      </c>
      <c r="K58" s="57" t="str">
        <f t="shared" si="47"/>
        <v>p</v>
      </c>
      <c r="L58" s="57"/>
      <c r="M58" s="57"/>
      <c r="R58" s="57"/>
      <c r="U58" s="707"/>
      <c r="AA58" s="56"/>
      <c r="AB58" s="56"/>
      <c r="AC58" s="56"/>
      <c r="AD58" s="56"/>
      <c r="AE58" s="56"/>
      <c r="AF58" s="53">
        <v>11</v>
      </c>
    </row>
    <row r="59" s="53" customFormat="1" ht="11.5" customHeight="1">
      <c r="A59" s="706"/>
      <c r="C59" s="57"/>
      <c r="D59" s="747"/>
      <c r="E59" s="708" t="str">
        <f>FHD_NUM_P_23</f>
        <v>2.10</v>
      </c>
      <c r="F59" s="674" t="str">
        <f>FHD_P_23</f>
        <v xml:space="preserve">Общепроизводственные расходы, в том числе:</v>
      </c>
      <c r="G59" s="158" t="s">
        <v>546</v>
      </c>
      <c r="H59" s="728"/>
      <c r="I59" s="728"/>
      <c r="J59" s="486" t="str">
        <f>FHD_NOTE_P_23</f>
        <v xml:space="preserve">Указывается общая сумма общепроизводственных расходов.</v>
      </c>
      <c r="K59" s="57" t="str">
        <f t="shared" si="47"/>
        <v>p</v>
      </c>
      <c r="L59" s="57"/>
      <c r="M59" s="57"/>
      <c r="R59" s="57"/>
      <c r="U59" s="707"/>
      <c r="AA59" s="56"/>
      <c r="AB59" s="56"/>
      <c r="AC59" s="56"/>
      <c r="AD59" s="56"/>
      <c r="AE59" s="56"/>
      <c r="AF59" s="53">
        <v>11</v>
      </c>
    </row>
    <row r="60" s="53" customFormat="1" ht="11.5" customHeight="1">
      <c r="A60" s="706"/>
      <c r="C60" s="57"/>
      <c r="D60" s="747"/>
      <c r="E60" s="708" t="str">
        <f>FHD_NUM_P_24</f>
        <v>2.10.1</v>
      </c>
      <c r="F60" s="744" t="str">
        <f>FHD_P_24</f>
        <v xml:space="preserve">Расходы на текущий ремонт</v>
      </c>
      <c r="G60" s="158" t="s">
        <v>546</v>
      </c>
      <c r="H60" s="728"/>
      <c r="I60" s="728"/>
      <c r="J60" s="486" t="str">
        <f>FHD_NOTE_P_24</f>
        <v xml:space="preserve">Указываются расходы на текущий ремонт, отнесенные к общепроизводственным расходам.</v>
      </c>
      <c r="K60" s="57" t="str">
        <f t="shared" si="47"/>
        <v/>
      </c>
      <c r="L60" s="57"/>
      <c r="M60" s="57"/>
      <c r="R60" s="57"/>
      <c r="U60" s="707"/>
      <c r="AA60" s="56"/>
      <c r="AB60" s="56"/>
      <c r="AC60" s="56"/>
      <c r="AD60" s="56"/>
      <c r="AE60" s="56"/>
      <c r="AF60" s="53">
        <v>11</v>
      </c>
    </row>
    <row r="61" s="53" customFormat="1" ht="11.5" customHeight="1">
      <c r="A61" s="706"/>
      <c r="C61" s="57"/>
      <c r="D61" s="747"/>
      <c r="E61" s="708" t="str">
        <f>FHD_NUM_P_25</f>
        <v>2.10.2</v>
      </c>
      <c r="F61" s="744" t="str">
        <f>FHD_P_25</f>
        <v xml:space="preserve">Расходы на капитальный ремонт</v>
      </c>
      <c r="G61" s="158" t="s">
        <v>546</v>
      </c>
      <c r="H61" s="728"/>
      <c r="I61" s="728"/>
      <c r="J61" s="486" t="str">
        <f>FHD_NOTE_P_25</f>
        <v xml:space="preserve">Указываются расходы на капитальный ремонт, отнесенные к общепроизводственным расходам.</v>
      </c>
      <c r="K61" s="57" t="str">
        <f t="shared" si="47"/>
        <v/>
      </c>
      <c r="L61" s="57"/>
      <c r="M61" s="57"/>
      <c r="R61" s="57"/>
      <c r="U61" s="707"/>
      <c r="AA61" s="56"/>
      <c r="AB61" s="56"/>
      <c r="AC61" s="56"/>
      <c r="AD61" s="56"/>
      <c r="AE61" s="56"/>
      <c r="AF61" s="53">
        <v>11</v>
      </c>
    </row>
    <row r="62" s="53" customFormat="1" ht="11.5" customHeight="1">
      <c r="A62" s="706"/>
      <c r="C62" s="57"/>
      <c r="D62" s="126"/>
      <c r="E62" s="708" t="str">
        <f>FHD_NUM_P_26</f>
        <v>2.11</v>
      </c>
      <c r="F62" s="674" t="str">
        <f>FHD_P_26</f>
        <v xml:space="preserve">Общехозяйственные расходы, в том числе:</v>
      </c>
      <c r="G62" s="158" t="s">
        <v>546</v>
      </c>
      <c r="H62" s="728"/>
      <c r="I62" s="728"/>
      <c r="J62" s="486" t="str">
        <f>FHD_NOTE_P_26</f>
        <v xml:space="preserve">Указывается общая сумма общехозяйственных расходов.</v>
      </c>
      <c r="K62" s="57" t="str">
        <f t="shared" si="47"/>
        <v>p</v>
      </c>
      <c r="L62" s="57"/>
      <c r="M62" s="57"/>
      <c r="R62" s="57"/>
      <c r="U62" s="707"/>
      <c r="AA62" s="56"/>
      <c r="AB62" s="56"/>
      <c r="AC62" s="56"/>
      <c r="AD62" s="56"/>
      <c r="AE62" s="56"/>
      <c r="AF62" s="53">
        <v>11</v>
      </c>
    </row>
    <row r="63" s="53" customFormat="1" ht="11.5" customHeight="1">
      <c r="A63" s="706"/>
      <c r="C63" s="57"/>
      <c r="D63" s="126"/>
      <c r="E63" s="708" t="str">
        <f>FHD_NUM_P_27</f>
        <v>2.11.1</v>
      </c>
      <c r="F63" s="744" t="str">
        <f>FHD_P_27</f>
        <v xml:space="preserve">Расходы на текущий ремонт</v>
      </c>
      <c r="G63" s="158" t="s">
        <v>546</v>
      </c>
      <c r="H63" s="728"/>
      <c r="I63" s="728"/>
      <c r="J63" s="486" t="str">
        <f>FHD_NOTE_P_27</f>
        <v xml:space="preserve">Указываются расходы на текущий ремонт, отнесенные к общехозяйственным расходам.</v>
      </c>
      <c r="K63" s="57" t="str">
        <f t="shared" si="47"/>
        <v/>
      </c>
      <c r="L63" s="57"/>
      <c r="M63" s="57"/>
      <c r="R63" s="57"/>
      <c r="U63" s="707"/>
      <c r="AA63" s="56"/>
      <c r="AB63" s="56"/>
      <c r="AC63" s="56"/>
      <c r="AD63" s="56"/>
      <c r="AE63" s="56"/>
      <c r="AF63" s="53">
        <v>11</v>
      </c>
    </row>
    <row r="64" s="53" customFormat="1" ht="11.5" customHeight="1">
      <c r="A64" s="706"/>
      <c r="C64" s="57"/>
      <c r="D64" s="126"/>
      <c r="E64" s="708" t="str">
        <f>FHD_NUM_P_28</f>
        <v>2.11.2</v>
      </c>
      <c r="F64" s="744" t="str">
        <f>FHD_P_28</f>
        <v xml:space="preserve">Расходы на капитальный ремонт</v>
      </c>
      <c r="G64" s="158" t="s">
        <v>546</v>
      </c>
      <c r="H64" s="728"/>
      <c r="I64" s="728"/>
      <c r="J64" s="486" t="str">
        <f>FHD_NOTE_P_28</f>
        <v xml:space="preserve">Указываются расходы на капитальный ремонт, отнесенные к общехозяйственным расходам.</v>
      </c>
      <c r="K64" s="57" t="str">
        <f t="shared" si="47"/>
        <v/>
      </c>
      <c r="L64" s="57"/>
      <c r="M64" s="57"/>
      <c r="R64" s="57"/>
      <c r="U64" s="707"/>
      <c r="AA64" s="56"/>
      <c r="AB64" s="56"/>
      <c r="AC64" s="56"/>
      <c r="AD64" s="56"/>
      <c r="AE64" s="56"/>
      <c r="AF64" s="53">
        <v>11</v>
      </c>
    </row>
    <row r="65" s="53" customFormat="1" ht="11.5" customHeight="1">
      <c r="A65" s="706"/>
      <c r="C65" s="57"/>
      <c r="D65" s="126"/>
      <c r="E65" s="708" t="str">
        <f>FHD_NUM_P_29</f>
        <v>2.12</v>
      </c>
      <c r="F65" s="674" t="str">
        <f>FHD_P_29</f>
        <v xml:space="preserve">Расходы на капитальный и текущий ремонт основных средств</v>
      </c>
      <c r="G65" s="158" t="s">
        <v>546</v>
      </c>
      <c r="H65" s="728"/>
      <c r="I65" s="728"/>
      <c r="J65" s="486" t="str">
        <f>FHD_NOTE_P_29</f>
        <v xml:space="preserve">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57" t="str">
        <f t="shared" si="47"/>
        <v>p</v>
      </c>
      <c r="L65" s="57"/>
      <c r="M65" s="57"/>
      <c r="R65" s="57"/>
      <c r="U65" s="707"/>
      <c r="AA65" s="56"/>
      <c r="AB65" s="56"/>
      <c r="AC65" s="56"/>
      <c r="AD65" s="56"/>
      <c r="AE65" s="56"/>
      <c r="AF65" s="53">
        <v>11</v>
      </c>
    </row>
    <row r="66" s="53" customFormat="1" ht="11.5" customHeight="1">
      <c r="A66" s="706"/>
      <c r="C66" s="57"/>
      <c r="D66" s="126"/>
      <c r="E66" s="708" t="str">
        <f>FHD_NUM_P_30</f>
        <v>2.12.1</v>
      </c>
      <c r="F66" s="744" t="str">
        <f>FHD_P_30</f>
        <v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58" t="s">
        <v>300</v>
      </c>
      <c r="H66" s="389" t="s">
        <v>569</v>
      </c>
      <c r="I66" s="389" t="s">
        <v>569</v>
      </c>
      <c r="J66" s="486" t="str">
        <f>FHD_NOTE_P_30</f>
        <v/>
      </c>
      <c r="K66" s="57" t="str">
        <f t="shared" si="47"/>
        <v/>
      </c>
      <c r="L66" s="57">
        <f>_xlfn.IFERROR(MATCH("есть",B_FHD_FLAG_INDEX_1,0),0)</f>
        <v>0</v>
      </c>
      <c r="M66" s="57"/>
      <c r="R66" s="57"/>
      <c r="U66" s="707"/>
      <c r="AA66" s="56"/>
      <c r="AB66" s="56"/>
      <c r="AC66" s="56"/>
      <c r="AD66" s="56"/>
      <c r="AE66" s="56"/>
      <c r="AF66" s="53">
        <v>11</v>
      </c>
    </row>
    <row r="67" s="53" customFormat="1" ht="23.25" customHeight="1">
      <c r="A67" s="730" t="s">
        <v>570</v>
      </c>
      <c r="C67" s="57"/>
      <c r="D67" s="126"/>
      <c r="E67" s="708" t="str">
        <f>FHD_NUM_P_31</f>
        <v>2.13</v>
      </c>
      <c r="F67" s="674" t="str">
        <f>FHD_P_31</f>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58" t="s">
        <v>546</v>
      </c>
      <c r="H67" s="728"/>
      <c r="I67" s="728"/>
      <c r="J67" s="486" t="str">
        <f>FHD_NOTE_P_31</f>
        <v xml:space="preserve">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57" t="str">
        <f t="shared" si="47"/>
        <v>p</v>
      </c>
      <c r="L67" s="57"/>
      <c r="M67" s="57"/>
      <c r="R67" s="57"/>
      <c r="U67" s="707"/>
      <c r="AA67" s="56"/>
      <c r="AB67" s="56"/>
      <c r="AC67" s="56"/>
      <c r="AD67" s="56"/>
      <c r="AE67" s="56"/>
      <c r="AF67" s="53">
        <v>22</v>
      </c>
    </row>
    <row r="68" s="53" customFormat="1" ht="47.25" customHeight="1">
      <c r="A68" s="730"/>
      <c r="C68" s="57"/>
      <c r="D68" s="126"/>
      <c r="E68" s="708" t="str">
        <f>FHD_NUM_P_32</f>
        <v>2.13.1</v>
      </c>
      <c r="F68" s="744" t="str">
        <f>FHD_P_32</f>
        <v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58" t="s">
        <v>300</v>
      </c>
      <c r="H68" s="389" t="s">
        <v>569</v>
      </c>
      <c r="I68" s="389" t="s">
        <v>569</v>
      </c>
      <c r="J68" s="486" t="str">
        <f>FHD_NOTE_P_32</f>
        <v/>
      </c>
      <c r="K68" s="57" t="str">
        <f t="shared" si="47"/>
        <v/>
      </c>
      <c r="L68" s="57">
        <f>_xlfn.IFERROR(MATCH("есть",B_FHD_FLAG_INDEX_2,0),0)</f>
        <v>0</v>
      </c>
      <c r="M68" s="57"/>
      <c r="R68" s="57"/>
      <c r="U68" s="707"/>
      <c r="AA68" s="56"/>
      <c r="AB68" s="56"/>
      <c r="AC68" s="56"/>
      <c r="AD68" s="56"/>
      <c r="AE68" s="56"/>
      <c r="AF68" s="53">
        <v>45</v>
      </c>
    </row>
    <row r="69" s="53" customFormat="1" ht="11.5" customHeight="1">
      <c r="A69" s="706"/>
      <c r="C69" s="57"/>
      <c r="D69" s="126"/>
      <c r="E69" s="708" t="str">
        <f>FHD_NUM_P_33</f>
        <v>2.14</v>
      </c>
      <c r="F69" s="674" t="str">
        <f>FHD_P_33</f>
        <v xml:space="preserve">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308" t="s">
        <v>546</v>
      </c>
      <c r="H69" s="751">
        <f>SUM(H70:H71)</f>
        <v>0</v>
      </c>
      <c r="I69" s="751">
        <f>SUM(I70:I71)</f>
        <v>0</v>
      </c>
      <c r="J69" s="486" t="str">
        <f>FHD_NOTE_P_33</f>
        <v xml:space="preserve">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57" t="str">
        <f t="shared" si="47"/>
        <v>p</v>
      </c>
      <c r="L69" s="57"/>
      <c r="M69" s="57"/>
      <c r="R69" s="57"/>
      <c r="U69" s="707"/>
      <c r="AA69" s="56"/>
      <c r="AB69" s="56"/>
      <c r="AC69" s="56"/>
      <c r="AD69" s="56"/>
      <c r="AE69" s="56"/>
      <c r="AF69" s="53">
        <v>11</v>
      </c>
    </row>
    <row r="70" s="57" customFormat="1" ht="1.05" customHeight="1">
      <c r="A70" s="532"/>
      <c r="D70" s="532"/>
      <c r="E70" s="159" t="str">
        <f>E69&amp;".0"</f>
        <v>2.14.0</v>
      </c>
      <c r="F70" s="752"/>
      <c r="G70" s="159"/>
      <c r="H70" s="753"/>
      <c r="I70" s="753"/>
      <c r="J70" s="754"/>
      <c r="K70" s="57" t="str">
        <f t="shared" si="47"/>
        <v/>
      </c>
      <c r="AF70" s="57">
        <v>1</v>
      </c>
    </row>
    <row r="71" s="53" customFormat="1" ht="14.65" customHeight="1">
      <c r="A71" s="706"/>
      <c r="C71" s="57"/>
      <c r="D71" s="129"/>
      <c r="E71" s="741"/>
      <c r="F71" s="236" t="s">
        <v>571</v>
      </c>
      <c r="G71" s="742"/>
      <c r="H71" s="743"/>
      <c r="I71" s="743"/>
      <c r="J71" s="550"/>
      <c r="K71" s="57"/>
      <c r="L71" s="57"/>
      <c r="M71" s="57"/>
      <c r="R71" s="57"/>
      <c r="U71" s="707"/>
      <c r="AA71" s="56"/>
      <c r="AB71" s="56"/>
      <c r="AC71" s="56"/>
      <c r="AD71" s="56"/>
      <c r="AE71" s="56"/>
      <c r="AF71" s="53">
        <v>14</v>
      </c>
    </row>
    <row r="72" s="53" customFormat="1" ht="18.75" hidden="1" customHeight="1">
      <c r="A72" s="746" t="s">
        <v>572</v>
      </c>
      <c r="C72" s="57"/>
      <c r="D72" s="126"/>
      <c r="E72" s="708" t="str">
        <f>FHD_NUM_P_34</f>
        <v/>
      </c>
      <c r="F72" s="314" t="str">
        <f>FHD_P_34</f>
        <v/>
      </c>
      <c r="G72" s="158" t="s">
        <v>546</v>
      </c>
      <c r="H72" s="728"/>
      <c r="I72" s="728"/>
      <c r="J72" s="486" t="str">
        <f>FHD_NOTE_P_34</f>
        <v/>
      </c>
      <c r="K72" s="710"/>
      <c r="L72" s="57"/>
      <c r="M72" s="57"/>
      <c r="R72" s="57"/>
      <c r="U72" s="707"/>
      <c r="AA72" s="56"/>
      <c r="AB72" s="56"/>
      <c r="AC72" s="56"/>
      <c r="AD72" s="56"/>
      <c r="AE72" s="56"/>
      <c r="AF72" s="53">
        <v>0</v>
      </c>
    </row>
    <row r="73" s="53" customFormat="1" ht="19.949999999999999" customHeight="1">
      <c r="A73" s="706"/>
      <c r="C73" s="57"/>
      <c r="D73" s="747"/>
      <c r="E73" s="708" t="str">
        <f>FHD_NUM_P_35</f>
        <v>3</v>
      </c>
      <c r="F73" s="314" t="str">
        <f>FHD_P_35</f>
        <v xml:space="preserve">Чистая прибыль, полученная от регулируемого вида деятельности в сфере горячего водоснабжения, в том числе:</v>
      </c>
      <c r="G73" s="158" t="s">
        <v>546</v>
      </c>
      <c r="H73" s="728"/>
      <c r="I73" s="728"/>
      <c r="J73" s="486" t="str">
        <f>FHD_NOTE_P_35</f>
        <v xml:space="preserve">Указывается общая сумма чистой прибыли, полученной от регулируемого вида деятельности.</v>
      </c>
      <c r="K73" s="710"/>
      <c r="L73" s="57"/>
      <c r="M73" s="57"/>
      <c r="R73" s="57"/>
      <c r="U73" s="707"/>
      <c r="AA73" s="56"/>
      <c r="AB73" s="56"/>
      <c r="AC73" s="56"/>
      <c r="AD73" s="56"/>
      <c r="AE73" s="56"/>
      <c r="AF73" s="53">
        <v>19</v>
      </c>
    </row>
    <row r="74" s="53" customFormat="1" ht="19.949999999999999" customHeight="1">
      <c r="A74" s="706"/>
      <c r="C74" s="57"/>
      <c r="D74" s="126"/>
      <c r="E74" s="708" t="str">
        <f>FHD_NUM_P_36</f>
        <v>3.1</v>
      </c>
      <c r="F74" s="674" t="str">
        <f>FHD_P_36</f>
        <v xml:space="preserve">Размер расходования чистой прибыли на финансирование мероприятий, предусмотренных инвестиционной программой регулируемой организации</v>
      </c>
      <c r="G74" s="158" t="s">
        <v>546</v>
      </c>
      <c r="H74" s="728"/>
      <c r="I74" s="728"/>
      <c r="J74" s="486" t="str">
        <f>FHD_NOTE_P_36</f>
        <v/>
      </c>
      <c r="K74" s="710"/>
      <c r="L74" s="57"/>
      <c r="M74" s="57"/>
      <c r="R74" s="57"/>
      <c r="U74" s="707"/>
      <c r="AA74" s="56"/>
      <c r="AB74" s="56"/>
      <c r="AC74" s="56"/>
      <c r="AD74" s="56"/>
      <c r="AE74" s="56"/>
      <c r="AF74" s="53">
        <v>19</v>
      </c>
    </row>
    <row r="75" s="53" customFormat="1" ht="19.949999999999999" customHeight="1">
      <c r="A75" s="706"/>
      <c r="C75" s="57"/>
      <c r="D75" s="126"/>
      <c r="E75" s="708" t="str">
        <f>FHD_NUM_P_37</f>
        <v>4</v>
      </c>
      <c r="F75" s="314" t="str">
        <f>FHD_P_37</f>
        <v xml:space="preserve">Изменение стоимости основных фондов, в том числе:</v>
      </c>
      <c r="G75" s="158" t="s">
        <v>546</v>
      </c>
      <c r="H75" s="728"/>
      <c r="I75" s="728"/>
      <c r="J75" s="486" t="str">
        <f>FHD_NOTE_P_37</f>
        <v xml:space="preserve">Указывается общее изменение стоимости основных фондов.</v>
      </c>
      <c r="K75" s="710"/>
      <c r="L75" s="57"/>
      <c r="M75" s="57"/>
      <c r="R75" s="57"/>
      <c r="U75" s="707"/>
      <c r="AA75" s="56"/>
      <c r="AB75" s="56"/>
      <c r="AC75" s="56"/>
      <c r="AD75" s="56"/>
      <c r="AE75" s="56"/>
      <c r="AF75" s="53">
        <v>19</v>
      </c>
    </row>
    <row r="76" s="53" customFormat="1" ht="19.949999999999999" customHeight="1">
      <c r="A76" s="706"/>
      <c r="C76" s="57"/>
      <c r="D76" s="126"/>
      <c r="E76" s="708" t="str">
        <f>FHD_NUM_P_38</f>
        <v>4.1</v>
      </c>
      <c r="F76" s="674" t="str">
        <f>FHD_P_38</f>
        <v xml:space="preserve">Изменение стоимости основных фондов за счет их ввода в эксплуатацию (вывода из эксплуатации)</v>
      </c>
      <c r="G76" s="158" t="s">
        <v>546</v>
      </c>
      <c r="H76" s="728"/>
      <c r="I76" s="728"/>
      <c r="J76" s="486" t="str">
        <f>FHD_NOTE_P_38</f>
        <v xml:space="preserve">Указываются общее изменение стоимости основных фондов за счет их ввода в эксплуатацию и вывода из эксплуатации.</v>
      </c>
      <c r="K76" s="710"/>
      <c r="L76" s="57"/>
      <c r="M76" s="57"/>
      <c r="R76" s="57"/>
      <c r="U76" s="707"/>
      <c r="AA76" s="56"/>
      <c r="AB76" s="56"/>
      <c r="AC76" s="56"/>
      <c r="AD76" s="56"/>
      <c r="AE76" s="56"/>
      <c r="AF76" s="53">
        <v>19</v>
      </c>
    </row>
    <row r="77" s="53" customFormat="1" ht="19.949999999999999" customHeight="1">
      <c r="A77" s="706"/>
      <c r="C77" s="57"/>
      <c r="D77" s="126"/>
      <c r="E77" s="708" t="str">
        <f>FHD_NUM_P_39</f>
        <v>4.1.1</v>
      </c>
      <c r="F77" s="744" t="str">
        <f>FHD_P_39</f>
        <v xml:space="preserve">Изменение стоимости основных фондов за счет их ввода в эксплуатацию</v>
      </c>
      <c r="G77" s="308" t="s">
        <v>546</v>
      </c>
      <c r="H77" s="728"/>
      <c r="I77" s="728"/>
      <c r="J77" s="486" t="str">
        <f>FHD_NOTE_P_39</f>
        <v xml:space="preserve">Указываются изменение стоимости основных фондов за счет их ввода в эксплуатацию.</v>
      </c>
      <c r="K77" s="710"/>
      <c r="L77" s="57"/>
      <c r="M77" s="57"/>
      <c r="R77" s="57"/>
      <c r="U77" s="707"/>
      <c r="AA77" s="56"/>
      <c r="AB77" s="56"/>
      <c r="AC77" s="56"/>
      <c r="AD77" s="56"/>
      <c r="AE77" s="56"/>
      <c r="AF77" s="53">
        <v>19</v>
      </c>
    </row>
    <row r="78" s="53" customFormat="1" ht="19.949999999999999" customHeight="1">
      <c r="A78" s="706"/>
      <c r="C78" s="57"/>
      <c r="D78" s="126"/>
      <c r="E78" s="708" t="str">
        <f>FHD_NUM_P_40</f>
        <v>4.1.2</v>
      </c>
      <c r="F78" s="755" t="str">
        <f>FHD_P_40</f>
        <v xml:space="preserve">Изменение стоимости основных фондов за счет их вывода в эксплуатацию</v>
      </c>
      <c r="G78" s="158" t="s">
        <v>546</v>
      </c>
      <c r="H78" s="756"/>
      <c r="I78" s="728"/>
      <c r="J78" s="486" t="str">
        <f>FHD_NOTE_P_40</f>
        <v xml:space="preserve">Указываются изменение стоимости основных фондов за счет их вывода из эксплуатации.</v>
      </c>
      <c r="K78" s="710"/>
      <c r="L78" s="57"/>
      <c r="M78" s="57"/>
      <c r="R78" s="57"/>
      <c r="U78" s="707"/>
      <c r="AA78" s="56"/>
      <c r="AB78" s="56"/>
      <c r="AC78" s="56"/>
      <c r="AD78" s="56"/>
      <c r="AE78" s="56"/>
      <c r="AF78" s="53">
        <v>19</v>
      </c>
    </row>
    <row r="79" s="53" customFormat="1" ht="19.949999999999999" customHeight="1">
      <c r="A79" s="706"/>
      <c r="C79" s="57"/>
      <c r="D79" s="126"/>
      <c r="E79" s="708" t="str">
        <f>FHD_NUM_P_41</f>
        <v>4.2</v>
      </c>
      <c r="F79" s="757" t="str">
        <f>FHD_P_41</f>
        <v xml:space="preserve">Изменение стоимости основных фондов за счет их переоценки</v>
      </c>
      <c r="G79" s="158" t="s">
        <v>546</v>
      </c>
      <c r="H79" s="756"/>
      <c r="I79" s="728"/>
      <c r="J79" s="486" t="str">
        <f>FHD_NOTE_P_41</f>
        <v/>
      </c>
      <c r="K79" s="710"/>
      <c r="L79" s="57"/>
      <c r="M79" s="57"/>
      <c r="R79" s="57"/>
      <c r="U79" s="707"/>
      <c r="AA79" s="56"/>
      <c r="AB79" s="56"/>
      <c r="AC79" s="56"/>
      <c r="AD79" s="56"/>
      <c r="AE79" s="56"/>
      <c r="AF79" s="53">
        <v>19</v>
      </c>
    </row>
    <row r="80" s="53" customFormat="1" ht="19.949999999999999" customHeight="1">
      <c r="A80" s="746" t="s">
        <v>573</v>
      </c>
      <c r="C80" s="57"/>
      <c r="D80" s="126"/>
      <c r="E80" s="708" t="str">
        <f>FHD_NUM_P_42</f>
        <v>5</v>
      </c>
      <c r="F80" s="333" t="str">
        <f>FHD_P_42</f>
        <v xml:space="preserve">Валовая прибыль (убытки) от продажи товаров и услуг по регулируемым видам деятельности в сфере горячего водоснабжения</v>
      </c>
      <c r="G80" s="158" t="s">
        <v>546</v>
      </c>
      <c r="H80" s="756"/>
      <c r="I80" s="728"/>
      <c r="J80" s="486" t="str">
        <f>FHD_NOTE_P_42</f>
        <v/>
      </c>
      <c r="K80" s="710"/>
      <c r="L80" s="57"/>
      <c r="M80" s="57"/>
      <c r="R80" s="57"/>
      <c r="U80" s="707"/>
      <c r="AA80" s="56"/>
      <c r="AB80" s="56"/>
      <c r="AC80" s="56"/>
      <c r="AD80" s="56"/>
      <c r="AE80" s="56"/>
      <c r="AF80" s="53">
        <v>19</v>
      </c>
    </row>
    <row r="81" s="53" customFormat="1" ht="19.949999999999999" customHeight="1">
      <c r="A81" s="706"/>
      <c r="C81" s="57"/>
      <c r="D81" s="126"/>
      <c r="E81" s="708" t="str">
        <f>FHD_NUM_P_43</f>
        <v>6</v>
      </c>
      <c r="F81" s="314" t="str">
        <f>FHD_P_43</f>
        <v xml:space="preserve">Годовая бухгалтерская (финансовая) отчетность, включая бухгалтерский баланс и приложения к нему</v>
      </c>
      <c r="G81" s="163" t="s">
        <v>300</v>
      </c>
      <c r="H81" s="758"/>
      <c r="I81" s="759"/>
      <c r="J81" s="486" t="str">
        <f>FHD_NOTE_P_43</f>
        <v xml:space="preserve">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710"/>
      <c r="L81" s="57"/>
      <c r="M81" s="57"/>
      <c r="R81" s="57"/>
      <c r="U81" s="707"/>
      <c r="AA81" s="56"/>
      <c r="AB81" s="56"/>
      <c r="AC81" s="56"/>
      <c r="AD81" s="56"/>
      <c r="AE81" s="56"/>
      <c r="AF81" s="53">
        <v>19</v>
      </c>
    </row>
    <row r="82" s="53" customFormat="1" ht="18.75" hidden="1" customHeight="1">
      <c r="A82" s="730" t="s">
        <v>574</v>
      </c>
      <c r="C82" s="57"/>
      <c r="D82" s="126"/>
      <c r="E82" s="708" t="str">
        <f>FHD_NUM_P_44</f>
        <v/>
      </c>
      <c r="F82" s="314" t="str">
        <f>FHD_P_44</f>
        <v/>
      </c>
      <c r="G82" s="158" t="s">
        <v>575</v>
      </c>
      <c r="H82" s="760"/>
      <c r="I82" s="748"/>
      <c r="J82" s="486" t="str">
        <f>FHD_NOTE_P_44</f>
        <v/>
      </c>
      <c r="K82" s="710"/>
      <c r="L82" s="57"/>
      <c r="M82" s="57"/>
      <c r="R82" s="57"/>
      <c r="U82" s="707"/>
      <c r="AA82" s="56"/>
      <c r="AB82" s="56"/>
      <c r="AC82" s="56"/>
      <c r="AD82" s="56"/>
      <c r="AE82" s="56"/>
      <c r="AF82" s="53">
        <v>0</v>
      </c>
    </row>
    <row r="83" s="53" customFormat="1" ht="18.75" hidden="1" customHeight="1">
      <c r="A83" s="730"/>
      <c r="C83" s="57"/>
      <c r="D83" s="126"/>
      <c r="E83" s="708" t="str">
        <f>FHD_NUM_P_45</f>
        <v/>
      </c>
      <c r="F83" s="314" t="str">
        <f>FHD_P_45</f>
        <v/>
      </c>
      <c r="G83" s="158" t="s">
        <v>575</v>
      </c>
      <c r="H83" s="760"/>
      <c r="I83" s="748"/>
      <c r="J83" s="486" t="str">
        <f>FHD_NOTE_P_45</f>
        <v/>
      </c>
      <c r="K83" s="710"/>
      <c r="L83" s="57"/>
      <c r="M83" s="57"/>
      <c r="R83" s="57"/>
      <c r="U83" s="707"/>
      <c r="AA83" s="56"/>
      <c r="AB83" s="56"/>
      <c r="AC83" s="56"/>
      <c r="AD83" s="56"/>
      <c r="AE83" s="56"/>
      <c r="AF83" s="53">
        <v>0</v>
      </c>
    </row>
    <row r="84" s="53" customFormat="1" ht="18.75" hidden="1" customHeight="1">
      <c r="A84" s="730"/>
      <c r="C84" s="57"/>
      <c r="D84" s="747"/>
      <c r="E84" s="708" t="str">
        <f>FHD_NUM_P_46</f>
        <v/>
      </c>
      <c r="F84" s="314" t="str">
        <f>FHD_P_46</f>
        <v/>
      </c>
      <c r="G84" s="158" t="s">
        <v>575</v>
      </c>
      <c r="H84" s="760"/>
      <c r="I84" s="748"/>
      <c r="J84" s="486" t="str">
        <f>FHD_NOTE_P_46</f>
        <v/>
      </c>
      <c r="K84" s="710"/>
      <c r="L84" s="57"/>
      <c r="M84" s="57"/>
      <c r="R84" s="57"/>
      <c r="U84" s="707"/>
      <c r="AA84" s="56"/>
      <c r="AB84" s="56"/>
      <c r="AC84" s="56"/>
      <c r="AD84" s="56"/>
      <c r="AE84" s="56"/>
      <c r="AF84" s="53">
        <v>0</v>
      </c>
    </row>
    <row r="85" s="53" customFormat="1" ht="18.75" hidden="1" customHeight="1">
      <c r="A85" s="730"/>
      <c r="C85" s="57"/>
      <c r="D85" s="126"/>
      <c r="E85" s="708" t="str">
        <f>FHD_NUM_P_47</f>
        <v/>
      </c>
      <c r="F85" s="314" t="str">
        <f>FHD_P_47</f>
        <v/>
      </c>
      <c r="G85" s="158" t="s">
        <v>575</v>
      </c>
      <c r="H85" s="760"/>
      <c r="I85" s="748"/>
      <c r="J85" s="486" t="str">
        <f>FHD_NOTE_P_47</f>
        <v/>
      </c>
      <c r="K85" s="710"/>
      <c r="L85" s="57"/>
      <c r="M85" s="57"/>
      <c r="R85" s="57"/>
      <c r="U85" s="707"/>
      <c r="AA85" s="56"/>
      <c r="AB85" s="56"/>
      <c r="AC85" s="56"/>
      <c r="AD85" s="56"/>
      <c r="AE85" s="56"/>
      <c r="AF85" s="53">
        <v>0</v>
      </c>
    </row>
    <row r="86" s="50" customFormat="1" ht="18.75" hidden="1" customHeight="1">
      <c r="A86" s="730"/>
      <c r="B86" s="53"/>
      <c r="C86" s="57"/>
      <c r="D86" s="126"/>
      <c r="E86" s="708" t="str">
        <f>FHD_NUM_P_48</f>
        <v/>
      </c>
      <c r="F86" s="314" t="str">
        <f>FHD_P_48</f>
        <v/>
      </c>
      <c r="G86" s="158" t="s">
        <v>575</v>
      </c>
      <c r="H86" s="760"/>
      <c r="I86" s="748"/>
      <c r="J86" s="486" t="str">
        <f>FHD_NOTE_P_48</f>
        <v/>
      </c>
      <c r="K86" s="710"/>
      <c r="L86" s="57"/>
      <c r="M86" s="57"/>
      <c r="N86" s="53"/>
      <c r="O86" s="53"/>
      <c r="P86" s="53"/>
      <c r="Q86" s="53"/>
      <c r="R86" s="57"/>
      <c r="S86" s="53"/>
      <c r="T86" s="53"/>
      <c r="U86" s="707"/>
      <c r="V86" s="53"/>
      <c r="W86" s="53"/>
      <c r="X86" s="53"/>
      <c r="Y86" s="53"/>
      <c r="Z86" s="53"/>
      <c r="AA86" s="56"/>
      <c r="AB86" s="56"/>
      <c r="AC86" s="56"/>
      <c r="AD86" s="56"/>
      <c r="AE86" s="56"/>
      <c r="AF86" s="50">
        <v>0</v>
      </c>
    </row>
    <row r="87" s="50" customFormat="1" ht="18.75" hidden="1" customHeight="1">
      <c r="A87" s="730"/>
      <c r="B87" s="53"/>
      <c r="C87" s="57"/>
      <c r="D87" s="126"/>
      <c r="E87" s="708" t="str">
        <f>FHD_NUM_P_49</f>
        <v/>
      </c>
      <c r="F87" s="314" t="str">
        <f>FHD_P_49</f>
        <v/>
      </c>
      <c r="G87" s="158" t="s">
        <v>575</v>
      </c>
      <c r="H87" s="761">
        <f>SUM(H88:H89)</f>
        <v>0</v>
      </c>
      <c r="I87" s="762">
        <f>SUM(I88:I89)</f>
        <v>0</v>
      </c>
      <c r="J87" s="486" t="str">
        <f>FHD_NOTE_P_49</f>
        <v/>
      </c>
      <c r="K87" s="710"/>
      <c r="L87" s="57"/>
      <c r="M87" s="57"/>
      <c r="N87" s="53"/>
      <c r="O87" s="53"/>
      <c r="P87" s="53"/>
      <c r="Q87" s="53"/>
      <c r="R87" s="57"/>
      <c r="S87" s="53"/>
      <c r="T87" s="53"/>
      <c r="U87" s="707"/>
      <c r="V87" s="53"/>
      <c r="W87" s="53"/>
      <c r="X87" s="53"/>
      <c r="Y87" s="53"/>
      <c r="Z87" s="53"/>
      <c r="AA87" s="56"/>
      <c r="AB87" s="56"/>
      <c r="AC87" s="56"/>
      <c r="AD87" s="56"/>
      <c r="AE87" s="56"/>
      <c r="AF87" s="50">
        <v>0</v>
      </c>
    </row>
    <row r="88" s="50" customFormat="1" ht="18.75" hidden="1" customHeight="1">
      <c r="A88" s="730"/>
      <c r="B88" s="53"/>
      <c r="C88" s="57"/>
      <c r="D88" s="126"/>
      <c r="E88" s="708" t="str">
        <f>FHD_NUM_P_50</f>
        <v/>
      </c>
      <c r="F88" s="314" t="str">
        <f>FHD_P_50</f>
        <v/>
      </c>
      <c r="G88" s="158" t="s">
        <v>575</v>
      </c>
      <c r="H88" s="760"/>
      <c r="I88" s="748"/>
      <c r="J88" s="486" t="str">
        <f>FHD_NOTE_P_50</f>
        <v/>
      </c>
      <c r="K88" s="710"/>
      <c r="L88" s="57"/>
      <c r="M88" s="57"/>
      <c r="N88" s="53"/>
      <c r="O88" s="53"/>
      <c r="P88" s="53"/>
      <c r="Q88" s="53"/>
      <c r="R88" s="57"/>
      <c r="S88" s="53"/>
      <c r="T88" s="53"/>
      <c r="U88" s="707"/>
      <c r="V88" s="53"/>
      <c r="W88" s="53"/>
      <c r="X88" s="53"/>
      <c r="Y88" s="53"/>
      <c r="Z88" s="53"/>
      <c r="AA88" s="56"/>
      <c r="AB88" s="56"/>
      <c r="AC88" s="56"/>
      <c r="AD88" s="56"/>
      <c r="AE88" s="56"/>
      <c r="AF88" s="50">
        <v>0</v>
      </c>
    </row>
    <row r="89" s="50" customFormat="1" ht="18.75" hidden="1" customHeight="1">
      <c r="A89" s="730"/>
      <c r="B89" s="53"/>
      <c r="C89" s="57"/>
      <c r="D89" s="126"/>
      <c r="E89" s="708" t="str">
        <f>FHD_NUM_P_51</f>
        <v/>
      </c>
      <c r="F89" s="314" t="str">
        <f>FHD_P_51</f>
        <v/>
      </c>
      <c r="G89" s="158" t="s">
        <v>575</v>
      </c>
      <c r="H89" s="760"/>
      <c r="I89" s="748"/>
      <c r="J89" s="486" t="str">
        <f>FHD_NOTE_P_51</f>
        <v/>
      </c>
      <c r="K89" s="710"/>
      <c r="L89" s="57"/>
      <c r="M89" s="57"/>
      <c r="N89" s="53"/>
      <c r="O89" s="53"/>
      <c r="P89" s="53"/>
      <c r="Q89" s="53"/>
      <c r="R89" s="57"/>
      <c r="S89" s="53"/>
      <c r="T89" s="53"/>
      <c r="U89" s="707"/>
      <c r="V89" s="53"/>
      <c r="W89" s="53"/>
      <c r="X89" s="53"/>
      <c r="Y89" s="53"/>
      <c r="Z89" s="53"/>
      <c r="AA89" s="56"/>
      <c r="AB89" s="56"/>
      <c r="AC89" s="56"/>
      <c r="AD89" s="56"/>
      <c r="AE89" s="56"/>
      <c r="AF89" s="50">
        <v>0</v>
      </c>
    </row>
    <row r="90" s="50" customFormat="1" ht="18.75" hidden="1" customHeight="1">
      <c r="A90" s="730"/>
      <c r="B90" s="53"/>
      <c r="C90" s="57"/>
      <c r="D90" s="126"/>
      <c r="E90" s="708" t="str">
        <f>FHD_NUM_P_52</f>
        <v/>
      </c>
      <c r="F90" s="314" t="str">
        <f>FHD_P_52</f>
        <v/>
      </c>
      <c r="G90" s="158" t="s">
        <v>552</v>
      </c>
      <c r="H90" s="756"/>
      <c r="I90" s="728"/>
      <c r="J90" s="486" t="str">
        <f>FHD_NOTE_P_52</f>
        <v/>
      </c>
      <c r="K90" s="710"/>
      <c r="L90" s="57"/>
      <c r="M90" s="57"/>
      <c r="N90" s="53"/>
      <c r="O90" s="53"/>
      <c r="P90" s="53"/>
      <c r="Q90" s="53"/>
      <c r="R90" s="57"/>
      <c r="S90" s="53"/>
      <c r="T90" s="53"/>
      <c r="U90" s="707"/>
      <c r="V90" s="53"/>
      <c r="W90" s="53"/>
      <c r="X90" s="53"/>
      <c r="Y90" s="53"/>
      <c r="Z90" s="53"/>
      <c r="AA90" s="56"/>
      <c r="AB90" s="56"/>
      <c r="AC90" s="56"/>
      <c r="AD90" s="56"/>
      <c r="AE90" s="56"/>
      <c r="AF90" s="50">
        <v>0</v>
      </c>
    </row>
    <row r="91" s="53" customFormat="1" ht="18.75" customHeight="1">
      <c r="A91" s="730" t="s">
        <v>576</v>
      </c>
      <c r="C91" s="57"/>
      <c r="D91" s="126"/>
      <c r="E91" s="708" t="str">
        <f>FHD_NUM_P_53</f>
        <v>7</v>
      </c>
      <c r="F91" s="314" t="str">
        <f>FHD_P_53</f>
        <v xml:space="preserve">Объём приобретаемой холодной воды, используемой для горячего водоснабжения</v>
      </c>
      <c r="G91" s="158" t="s">
        <v>575</v>
      </c>
      <c r="H91" s="760"/>
      <c r="I91" s="748"/>
      <c r="J91" s="486" t="str">
        <f>FHD_NOTE_P_53</f>
        <v/>
      </c>
      <c r="K91" s="710"/>
      <c r="L91" s="57"/>
      <c r="M91" s="57"/>
      <c r="R91" s="57"/>
      <c r="U91" s="707"/>
      <c r="AA91" s="56"/>
      <c r="AB91" s="56"/>
      <c r="AC91" s="56"/>
      <c r="AD91" s="56"/>
      <c r="AE91" s="56"/>
      <c r="AF91" s="53">
        <v>0</v>
      </c>
    </row>
    <row r="92" s="53" customFormat="1" ht="18.75" customHeight="1">
      <c r="A92" s="730"/>
      <c r="C92" s="57"/>
      <c r="D92" s="126"/>
      <c r="E92" s="708" t="str">
        <f>FHD_NUM_P_54</f>
        <v>8</v>
      </c>
      <c r="F92" s="314" t="str">
        <f>FHD_P_54</f>
        <v xml:space="preserve">Объём холодной воды, получаемой с применением собственных источников водозабора (скважин) и используемой для горячего водоснабжения</v>
      </c>
      <c r="G92" s="158" t="s">
        <v>575</v>
      </c>
      <c r="H92" s="760"/>
      <c r="I92" s="748"/>
      <c r="J92" s="486" t="str">
        <f>FHD_NOTE_P_54</f>
        <v/>
      </c>
      <c r="K92" s="710"/>
      <c r="L92" s="57"/>
      <c r="M92" s="57"/>
      <c r="R92" s="57"/>
      <c r="U92" s="707"/>
      <c r="AA92" s="56"/>
      <c r="AB92" s="56"/>
      <c r="AC92" s="56"/>
      <c r="AD92" s="56"/>
      <c r="AE92" s="56"/>
      <c r="AF92" s="53">
        <v>0</v>
      </c>
    </row>
    <row r="93" s="53" customFormat="1" ht="18.75" customHeight="1">
      <c r="A93" s="730"/>
      <c r="C93" s="57"/>
      <c r="D93" s="747"/>
      <c r="E93" s="708" t="str">
        <f>FHD_NUM_P_55</f>
        <v>9</v>
      </c>
      <c r="F93" s="314" t="str">
        <f>FHD_P_55</f>
        <v xml:space="preserve">Объём приобретаемой тепловой энергии (мощности), используемой для горячего водоснабжения</v>
      </c>
      <c r="G93" s="669"/>
      <c r="H93" s="760"/>
      <c r="I93" s="748"/>
      <c r="J93" s="486" t="str">
        <f>FHD_NOTE_P_55</f>
        <v/>
      </c>
      <c r="K93" s="710"/>
      <c r="L93" s="57"/>
      <c r="M93" s="57"/>
      <c r="R93" s="57"/>
      <c r="U93" s="707"/>
      <c r="AA93" s="56"/>
      <c r="AB93" s="56"/>
      <c r="AC93" s="56"/>
      <c r="AD93" s="56"/>
      <c r="AE93" s="56"/>
      <c r="AF93" s="53">
        <v>0</v>
      </c>
    </row>
    <row r="94" s="53" customFormat="1" ht="18.75" customHeight="1">
      <c r="A94" s="730"/>
      <c r="C94" s="57"/>
      <c r="D94" s="126"/>
      <c r="E94" s="708" t="str">
        <f>FHD_NUM_P_56</f>
        <v>10</v>
      </c>
      <c r="F94" s="314" t="str">
        <f>FHD_P_56</f>
        <v xml:space="preserve">Объём тепловой энергии, производимой с применением собственных источников и используемой для горячего водоснабжения</v>
      </c>
      <c r="G94" s="158" t="s">
        <v>577</v>
      </c>
      <c r="H94" s="760"/>
      <c r="I94" s="748"/>
      <c r="J94" s="486" t="str">
        <f>FHD_NOTE_P_56</f>
        <v/>
      </c>
      <c r="K94" s="710"/>
      <c r="L94" s="57"/>
      <c r="M94" s="57"/>
      <c r="R94" s="57"/>
      <c r="U94" s="707"/>
      <c r="AA94" s="56"/>
      <c r="AB94" s="56"/>
      <c r="AC94" s="56"/>
      <c r="AD94" s="56"/>
      <c r="AE94" s="56"/>
      <c r="AF94" s="53">
        <v>0</v>
      </c>
    </row>
    <row r="95" s="50" customFormat="1" ht="18.75" customHeight="1">
      <c r="A95" s="730"/>
      <c r="B95" s="53"/>
      <c r="C95" s="57"/>
      <c r="D95" s="126"/>
      <c r="E95" s="708" t="str">
        <f>FHD_NUM_P_57</f>
        <v>11</v>
      </c>
      <c r="F95" s="314" t="str">
        <f>FHD_P_57</f>
        <v xml:space="preserve">Потери горячей воды в сетях (процентов)</v>
      </c>
      <c r="G95" s="158" t="s">
        <v>552</v>
      </c>
      <c r="H95" s="756"/>
      <c r="I95" s="728"/>
      <c r="J95" s="486" t="str">
        <f>FHD_NOTE_P_57</f>
        <v/>
      </c>
      <c r="K95" s="710"/>
      <c r="L95" s="57"/>
      <c r="M95" s="57"/>
      <c r="N95" s="53"/>
      <c r="O95" s="53"/>
      <c r="P95" s="53"/>
      <c r="Q95" s="53"/>
      <c r="R95" s="57"/>
      <c r="S95" s="53"/>
      <c r="T95" s="53"/>
      <c r="U95" s="707"/>
      <c r="V95" s="53"/>
      <c r="W95" s="53"/>
      <c r="X95" s="53"/>
      <c r="Y95" s="53"/>
      <c r="Z95" s="53"/>
      <c r="AA95" s="56"/>
      <c r="AB95" s="56"/>
      <c r="AC95" s="56"/>
      <c r="AD95" s="56"/>
      <c r="AE95" s="56"/>
      <c r="AF95" s="50">
        <v>0</v>
      </c>
    </row>
    <row r="96" ht="18.75" hidden="1" customHeight="1">
      <c r="A96" s="730" t="s">
        <v>578</v>
      </c>
      <c r="D96" s="126"/>
      <c r="E96" s="708" t="str">
        <f>FHD_NUM_P_58</f>
        <v/>
      </c>
      <c r="F96" s="314" t="str">
        <f>FHD_P_58</f>
        <v/>
      </c>
      <c r="G96" s="158" t="s">
        <v>575</v>
      </c>
      <c r="H96" s="760"/>
      <c r="I96" s="748"/>
      <c r="J96" s="486" t="str">
        <f>FHD_NOTE_P_58</f>
        <v/>
      </c>
      <c r="K96" s="710"/>
      <c r="AF96" s="50">
        <v>0</v>
      </c>
    </row>
    <row r="97" ht="18.75" hidden="1" customHeight="1">
      <c r="A97" s="730"/>
      <c r="D97" s="126"/>
      <c r="E97" s="708" t="str">
        <f>FHD_NUM_P_59</f>
        <v/>
      </c>
      <c r="F97" s="314" t="str">
        <f>FHD_P_59</f>
        <v/>
      </c>
      <c r="G97" s="158" t="s">
        <v>575</v>
      </c>
      <c r="H97" s="760"/>
      <c r="I97" s="748"/>
      <c r="J97" s="486" t="str">
        <f>FHD_NOTE_P_59</f>
        <v/>
      </c>
      <c r="K97" s="710"/>
      <c r="AF97" s="50">
        <v>0</v>
      </c>
    </row>
    <row r="98" ht="18.75" hidden="1" customHeight="1">
      <c r="A98" s="730"/>
      <c r="D98" s="126"/>
      <c r="E98" s="708" t="str">
        <f>FHD_NUM_P_60</f>
        <v/>
      </c>
      <c r="F98" s="314" t="str">
        <f>FHD_P_60</f>
        <v/>
      </c>
      <c r="G98" s="158" t="s">
        <v>575</v>
      </c>
      <c r="H98" s="760"/>
      <c r="I98" s="748"/>
      <c r="J98" s="486" t="str">
        <f>FHD_NOTE_P_60</f>
        <v/>
      </c>
      <c r="K98" s="710"/>
      <c r="AF98" s="50">
        <v>0</v>
      </c>
    </row>
    <row r="99" s="53" customFormat="1" ht="18.75" hidden="1" customHeight="1">
      <c r="A99" s="730" t="s">
        <v>579</v>
      </c>
      <c r="C99" s="57"/>
      <c r="D99" s="126"/>
      <c r="E99" s="708" t="str">
        <f>FHD_NUM_P_61</f>
        <v/>
      </c>
      <c r="F99" s="314" t="str">
        <f>FHD_P_61</f>
        <v/>
      </c>
      <c r="G99" s="158" t="s">
        <v>550</v>
      </c>
      <c r="H99" s="763"/>
      <c r="I99" s="764"/>
      <c r="J99" s="486" t="str">
        <f>FHD_NOTE_P_61</f>
        <v/>
      </c>
      <c r="K99" s="710"/>
      <c r="L99" s="57"/>
      <c r="M99" s="57"/>
      <c r="R99" s="57"/>
      <c r="U99" s="707"/>
      <c r="AA99" s="56"/>
      <c r="AB99" s="56"/>
      <c r="AC99" s="56"/>
      <c r="AD99" s="56"/>
      <c r="AE99" s="56"/>
      <c r="AF99" s="53">
        <v>0</v>
      </c>
    </row>
    <row r="100" s="57" customFormat="1" ht="0.75" hidden="1" customHeight="1">
      <c r="A100" s="730"/>
      <c r="D100" s="532"/>
      <c r="E100" s="159" t="str">
        <f>E99&amp;".0"</f>
        <v>.0</v>
      </c>
      <c r="F100" s="765"/>
      <c r="G100" s="766"/>
      <c r="H100" s="753"/>
      <c r="I100" s="753"/>
      <c r="J100" s="767"/>
      <c r="AF100" s="57">
        <v>0</v>
      </c>
    </row>
    <row r="101" ht="15" hidden="1" customHeight="1">
      <c r="A101" s="730"/>
      <c r="D101" s="129"/>
      <c r="E101" s="768"/>
      <c r="F101" s="769" t="s">
        <v>580</v>
      </c>
      <c r="G101" s="742"/>
      <c r="H101" s="743"/>
      <c r="I101" s="743"/>
      <c r="J101" s="770" t="s">
        <v>581</v>
      </c>
      <c r="K101" s="710"/>
      <c r="AF101" s="50">
        <v>0</v>
      </c>
    </row>
    <row r="102" s="53" customFormat="1" ht="18.75" hidden="1" customHeight="1">
      <c r="A102" s="730"/>
      <c r="C102" s="57"/>
      <c r="D102" s="126"/>
      <c r="E102" s="708" t="str">
        <f>FHD_NUM_P_62</f>
        <v/>
      </c>
      <c r="F102" s="314" t="str">
        <f>FHD_P_62</f>
        <v/>
      </c>
      <c r="G102" s="72" t="s">
        <v>550</v>
      </c>
      <c r="H102" s="728"/>
      <c r="I102" s="728"/>
      <c r="J102" s="486" t="str">
        <f>FHD_NOTE_P_62</f>
        <v/>
      </c>
      <c r="K102" s="710"/>
      <c r="L102" s="57"/>
      <c r="M102" s="57"/>
      <c r="R102" s="57"/>
      <c r="U102" s="707"/>
      <c r="AA102" s="56"/>
      <c r="AB102" s="56"/>
      <c r="AC102" s="56"/>
      <c r="AD102" s="56"/>
      <c r="AE102" s="56"/>
      <c r="AF102" s="53">
        <v>0</v>
      </c>
    </row>
    <row r="103" s="53" customFormat="1" ht="18.75" hidden="1" customHeight="1">
      <c r="A103" s="730"/>
      <c r="C103" s="57"/>
      <c r="D103" s="126"/>
      <c r="E103" s="708" t="str">
        <f>FHD_NUM_P_63</f>
        <v/>
      </c>
      <c r="F103" s="314" t="str">
        <f>FHD_P_63</f>
        <v/>
      </c>
      <c r="G103" s="72" t="s">
        <v>577</v>
      </c>
      <c r="H103" s="748"/>
      <c r="I103" s="748"/>
      <c r="J103" s="486" t="str">
        <f>FHD_NOTE_P_63</f>
        <v/>
      </c>
      <c r="K103" s="710"/>
      <c r="L103" s="57"/>
      <c r="M103" s="57"/>
      <c r="R103" s="57"/>
      <c r="U103" s="707"/>
      <c r="AA103" s="56"/>
      <c r="AB103" s="56"/>
      <c r="AC103" s="56"/>
      <c r="AD103" s="56"/>
      <c r="AE103" s="56"/>
      <c r="AF103" s="53">
        <v>0</v>
      </c>
    </row>
    <row r="104" s="53" customFormat="1" ht="18.75" hidden="1" customHeight="1">
      <c r="A104" s="730"/>
      <c r="C104" s="57" t="s">
        <v>582</v>
      </c>
      <c r="D104" s="126"/>
      <c r="E104" s="708" t="str">
        <f>FHD_NUM_P_64</f>
        <v/>
      </c>
      <c r="F104" s="314" t="str">
        <f>FHD_P_64</f>
        <v/>
      </c>
      <c r="G104" s="72" t="s">
        <v>577</v>
      </c>
      <c r="H104" s="718"/>
      <c r="I104" s="718"/>
      <c r="J104" s="486" t="str">
        <f>FHD_NOTE_P_64</f>
        <v/>
      </c>
      <c r="K104" s="710"/>
      <c r="L104" s="57"/>
      <c r="M104" s="57"/>
      <c r="R104" s="57"/>
      <c r="U104" s="707"/>
      <c r="AA104" s="56"/>
      <c r="AB104" s="56"/>
      <c r="AC104" s="56"/>
      <c r="AD104" s="56"/>
      <c r="AE104" s="56"/>
      <c r="AF104" s="53">
        <v>0</v>
      </c>
    </row>
    <row r="105" s="53" customFormat="1" ht="18.75" hidden="1" customHeight="1">
      <c r="A105" s="730"/>
      <c r="C105" s="57"/>
      <c r="D105" s="126"/>
      <c r="E105" s="708" t="str">
        <f>FHD_NUM_P_65</f>
        <v/>
      </c>
      <c r="F105" s="314" t="str">
        <f>FHD_P_65</f>
        <v/>
      </c>
      <c r="G105" s="72" t="s">
        <v>577</v>
      </c>
      <c r="H105" s="748"/>
      <c r="I105" s="748"/>
      <c r="J105" s="486" t="str">
        <f>FHD_NOTE_P_65</f>
        <v/>
      </c>
      <c r="K105" s="710"/>
      <c r="L105" s="57"/>
      <c r="M105" s="57"/>
      <c r="R105" s="57"/>
      <c r="U105" s="707"/>
      <c r="AA105" s="56"/>
      <c r="AB105" s="56"/>
      <c r="AC105" s="56"/>
      <c r="AD105" s="56"/>
      <c r="AE105" s="56"/>
      <c r="AF105" s="53">
        <v>0</v>
      </c>
    </row>
    <row r="106" s="53" customFormat="1" ht="18.75" hidden="1" customHeight="1">
      <c r="A106" s="730"/>
      <c r="C106" s="57"/>
      <c r="D106" s="126"/>
      <c r="E106" s="708" t="str">
        <f>FHD_NUM_P_66</f>
        <v/>
      </c>
      <c r="F106" s="674" t="str">
        <f>FHD_P_66</f>
        <v/>
      </c>
      <c r="G106" s="72" t="s">
        <v>577</v>
      </c>
      <c r="H106" s="748"/>
      <c r="I106" s="748"/>
      <c r="J106" s="486" t="str">
        <f>FHD_NOTE_P_66</f>
        <v/>
      </c>
      <c r="K106" s="710"/>
      <c r="L106" s="57"/>
      <c r="M106" s="57"/>
      <c r="R106" s="57"/>
      <c r="U106" s="707"/>
      <c r="AA106" s="56"/>
      <c r="AB106" s="56"/>
      <c r="AC106" s="56"/>
      <c r="AD106" s="56"/>
      <c r="AE106" s="56"/>
      <c r="AF106" s="53">
        <v>0</v>
      </c>
    </row>
    <row r="107" s="53" customFormat="1" ht="18.75" hidden="1" customHeight="1">
      <c r="A107" s="730"/>
      <c r="C107" s="57"/>
      <c r="D107" s="126"/>
      <c r="E107" s="708" t="str">
        <f>FHD_NUM_P_67</f>
        <v/>
      </c>
      <c r="F107" s="744" t="str">
        <f>FHD_P_67</f>
        <v/>
      </c>
      <c r="G107" s="72" t="s">
        <v>577</v>
      </c>
      <c r="H107" s="748"/>
      <c r="I107" s="748"/>
      <c r="J107" s="486" t="str">
        <f>FHD_NOTE_P_67</f>
        <v/>
      </c>
      <c r="K107" s="710"/>
      <c r="L107" s="57"/>
      <c r="M107" s="57"/>
      <c r="R107" s="57"/>
      <c r="U107" s="707"/>
      <c r="AA107" s="56"/>
      <c r="AB107" s="56"/>
      <c r="AC107" s="56"/>
      <c r="AD107" s="56"/>
      <c r="AE107" s="56"/>
      <c r="AF107" s="53">
        <v>0</v>
      </c>
    </row>
    <row r="108" s="53" customFormat="1" ht="18.75" hidden="1" customHeight="1">
      <c r="A108" s="730"/>
      <c r="C108" s="57"/>
      <c r="D108" s="126"/>
      <c r="E108" s="708" t="str">
        <f>FHD_NUM_P_68</f>
        <v/>
      </c>
      <c r="F108" s="674" t="str">
        <f>FHD_P_68</f>
        <v/>
      </c>
      <c r="G108" s="72" t="s">
        <v>577</v>
      </c>
      <c r="H108" s="748"/>
      <c r="I108" s="748"/>
      <c r="J108" s="486" t="str">
        <f>FHD_NOTE_P_68</f>
        <v/>
      </c>
      <c r="K108" s="710"/>
      <c r="L108" s="57"/>
      <c r="M108" s="57"/>
      <c r="R108" s="57"/>
      <c r="U108" s="707"/>
      <c r="AA108" s="56"/>
      <c r="AB108" s="56"/>
      <c r="AC108" s="56"/>
      <c r="AD108" s="56"/>
      <c r="AE108" s="56"/>
      <c r="AF108" s="53">
        <v>0</v>
      </c>
    </row>
    <row r="109" s="53" customFormat="1" ht="18.75" hidden="1" customHeight="1">
      <c r="A109" s="730"/>
      <c r="C109" s="57"/>
      <c r="D109" s="126"/>
      <c r="E109" s="708" t="str">
        <f>FHD_NUM_P_69</f>
        <v/>
      </c>
      <c r="F109" s="674" t="str">
        <f>FHD_P_69</f>
        <v/>
      </c>
      <c r="G109" s="72" t="s">
        <v>577</v>
      </c>
      <c r="H109" s="748"/>
      <c r="I109" s="748"/>
      <c r="J109" s="486" t="str">
        <f>FHD_NOTE_P_69</f>
        <v/>
      </c>
      <c r="K109" s="710"/>
      <c r="L109" s="57"/>
      <c r="M109" s="57"/>
      <c r="R109" s="57"/>
      <c r="U109" s="707"/>
      <c r="AA109" s="56"/>
      <c r="AB109" s="56"/>
      <c r="AC109" s="56"/>
      <c r="AD109" s="56"/>
      <c r="AE109" s="56"/>
      <c r="AF109" s="53">
        <v>0</v>
      </c>
    </row>
    <row r="110" s="53" customFormat="1" ht="22.5" hidden="1" customHeight="1">
      <c r="A110" s="730"/>
      <c r="C110" s="57"/>
      <c r="D110" s="126"/>
      <c r="E110" s="708" t="str">
        <f>FHD_NUM_P_70</f>
        <v/>
      </c>
      <c r="F110" s="314" t="str">
        <f>FHD_P_70</f>
        <v/>
      </c>
      <c r="G110" s="72" t="s">
        <v>583</v>
      </c>
      <c r="H110" s="728"/>
      <c r="I110" s="728"/>
      <c r="J110" s="486" t="str">
        <f>FHD_NOTE_P_70</f>
        <v/>
      </c>
      <c r="K110" s="710"/>
      <c r="L110" s="57"/>
      <c r="M110" s="57"/>
      <c r="R110" s="57"/>
      <c r="U110" s="707"/>
      <c r="AA110" s="56"/>
      <c r="AB110" s="56"/>
      <c r="AC110" s="56"/>
      <c r="AD110" s="56"/>
      <c r="AE110" s="56"/>
      <c r="AF110" s="53">
        <v>0</v>
      </c>
    </row>
    <row r="111" s="53" customFormat="1" ht="22.5" hidden="1" customHeight="1">
      <c r="A111" s="730"/>
      <c r="C111" s="57"/>
      <c r="D111" s="126"/>
      <c r="E111" s="708" t="str">
        <f>FHD_NUM_P_71</f>
        <v/>
      </c>
      <c r="F111" s="314" t="str">
        <f>FHD_P_71</f>
        <v/>
      </c>
      <c r="G111" s="72" t="s">
        <v>583</v>
      </c>
      <c r="H111" s="728"/>
      <c r="I111" s="728"/>
      <c r="J111" s="486" t="str">
        <f>FHD_NOTE_P_71</f>
        <v/>
      </c>
      <c r="K111" s="710"/>
      <c r="L111" s="57"/>
      <c r="M111" s="57"/>
      <c r="R111" s="57"/>
      <c r="U111" s="707"/>
      <c r="AA111" s="56"/>
      <c r="AB111" s="56"/>
      <c r="AC111" s="56"/>
      <c r="AD111" s="56"/>
      <c r="AE111" s="56"/>
      <c r="AF111" s="53">
        <v>0</v>
      </c>
    </row>
    <row r="112" ht="19.949999999999999" customHeight="1">
      <c r="D112" s="126"/>
      <c r="E112" s="708" t="str">
        <f>FHD_NUM_P_72</f>
        <v>12</v>
      </c>
      <c r="F112" s="314" t="str">
        <f>FHD_P_72</f>
        <v xml:space="preserve">Среднесписочная численность основного производственного персонала</v>
      </c>
      <c r="G112" s="72" t="s">
        <v>584</v>
      </c>
      <c r="H112" s="748"/>
      <c r="I112" s="748"/>
      <c r="J112" s="486" t="str">
        <f>FHD_NOTE_P_72</f>
        <v/>
      </c>
      <c r="K112" s="710"/>
      <c r="AF112" s="50">
        <v>19</v>
      </c>
    </row>
    <row r="113" ht="18.75" hidden="1" customHeight="1">
      <c r="A113" s="746" t="s">
        <v>585</v>
      </c>
      <c r="D113" s="126"/>
      <c r="E113" s="708" t="str">
        <f>FHD_NUM_P_73</f>
        <v/>
      </c>
      <c r="F113" s="314" t="str">
        <f>FHD_P_73</f>
        <v/>
      </c>
      <c r="G113" s="306" t="s">
        <v>584</v>
      </c>
      <c r="H113" s="771"/>
      <c r="I113" s="771"/>
      <c r="J113" s="486" t="str">
        <f>FHD_NOTE_P_73</f>
        <v/>
      </c>
      <c r="K113" s="710"/>
      <c r="AF113" s="50">
        <v>0</v>
      </c>
    </row>
    <row r="114" ht="33.75" customHeight="1">
      <c r="A114" s="746" t="s">
        <v>586</v>
      </c>
      <c r="D114" s="126"/>
      <c r="E114" s="708" t="str">
        <f>FHD_NUM_P_74</f>
        <v>13</v>
      </c>
      <c r="F114" s="314" t="str">
        <f>FHD_P_74</f>
        <v xml:space="preserve">Удельный расход электрической энергии на подачу воды в сеть</v>
      </c>
      <c r="G114" s="72" t="s">
        <v>587</v>
      </c>
      <c r="H114" s="748"/>
      <c r="I114" s="748"/>
      <c r="J114" s="486" t="str">
        <f>FHD_NOTE_P_74</f>
        <v/>
      </c>
      <c r="K114" s="710"/>
      <c r="AF114" s="50">
        <v>0</v>
      </c>
    </row>
    <row r="115" s="50" customFormat="1" ht="18.75" hidden="1" customHeight="1">
      <c r="A115" s="730" t="s">
        <v>588</v>
      </c>
      <c r="B115" s="53"/>
      <c r="C115" s="57"/>
      <c r="D115" s="126"/>
      <c r="E115" s="708" t="str">
        <f>FHD_NUM_P_75</f>
        <v/>
      </c>
      <c r="F115" s="314" t="str">
        <f>FHD_P_75</f>
        <v/>
      </c>
      <c r="G115" s="72" t="s">
        <v>552</v>
      </c>
      <c r="H115" s="728"/>
      <c r="I115" s="728"/>
      <c r="J115" s="486" t="str">
        <f>FHD_NOTE_P_75</f>
        <v/>
      </c>
      <c r="K115" s="710"/>
      <c r="L115" s="57"/>
      <c r="M115" s="57"/>
      <c r="N115" s="53"/>
      <c r="O115" s="53"/>
      <c r="P115" s="53"/>
      <c r="Q115" s="53"/>
      <c r="R115" s="57"/>
      <c r="S115" s="53"/>
      <c r="T115" s="53"/>
      <c r="U115" s="707"/>
      <c r="V115" s="53"/>
      <c r="W115" s="53"/>
      <c r="X115" s="53"/>
      <c r="Y115" s="53"/>
      <c r="Z115" s="53"/>
      <c r="AA115" s="56"/>
      <c r="AB115" s="56"/>
      <c r="AC115" s="56"/>
      <c r="AD115" s="56"/>
      <c r="AE115" s="56"/>
      <c r="AF115" s="50">
        <v>0</v>
      </c>
    </row>
    <row r="116" s="50" customFormat="1" ht="18.75" hidden="1" customHeight="1">
      <c r="A116" s="730"/>
      <c r="B116" s="53"/>
      <c r="C116" s="57"/>
      <c r="D116" s="126"/>
      <c r="E116" s="708" t="str">
        <f>FHD_NUM_P_76</f>
        <v/>
      </c>
      <c r="F116" s="314" t="str">
        <f>FHD_P_76</f>
        <v/>
      </c>
      <c r="G116" s="72" t="s">
        <v>552</v>
      </c>
      <c r="H116" s="728"/>
      <c r="I116" s="728"/>
      <c r="J116" s="486" t="str">
        <f>FHD_NOTE_P_76</f>
        <v/>
      </c>
      <c r="K116" s="710"/>
      <c r="L116" s="57"/>
      <c r="M116" s="57"/>
      <c r="N116" s="53"/>
      <c r="O116" s="53"/>
      <c r="P116" s="53"/>
      <c r="Q116" s="53"/>
      <c r="R116" s="57"/>
      <c r="S116" s="53"/>
      <c r="T116" s="53"/>
      <c r="U116" s="707"/>
      <c r="V116" s="53"/>
      <c r="W116" s="53"/>
      <c r="X116" s="53"/>
      <c r="Y116" s="53"/>
      <c r="Z116" s="53"/>
      <c r="AA116" s="56"/>
      <c r="AB116" s="56"/>
      <c r="AC116" s="56"/>
      <c r="AD116" s="56"/>
      <c r="AE116" s="56"/>
      <c r="AF116" s="50">
        <v>0</v>
      </c>
    </row>
    <row r="117" s="50" customFormat="1" ht="18.75" hidden="1" customHeight="1">
      <c r="A117" s="730"/>
      <c r="B117" s="53"/>
      <c r="C117" s="57"/>
      <c r="D117" s="126"/>
      <c r="E117" s="708" t="str">
        <f>FHD_NUM_P_77</f>
        <v/>
      </c>
      <c r="F117" s="314" t="str">
        <f>FHD_P_77</f>
        <v/>
      </c>
      <c r="G117" s="72" t="s">
        <v>552</v>
      </c>
      <c r="H117" s="728"/>
      <c r="I117" s="728"/>
      <c r="J117" s="486" t="str">
        <f>FHD_NOTE_P_77</f>
        <v/>
      </c>
      <c r="K117" s="710"/>
      <c r="L117" s="57"/>
      <c r="M117" s="57"/>
      <c r="N117" s="53"/>
      <c r="O117" s="53"/>
      <c r="P117" s="53"/>
      <c r="Q117" s="53"/>
      <c r="R117" s="57"/>
      <c r="S117" s="53"/>
      <c r="T117" s="53"/>
      <c r="U117" s="707"/>
      <c r="V117" s="53"/>
      <c r="W117" s="53"/>
      <c r="X117" s="53"/>
      <c r="Y117" s="53"/>
      <c r="Z117" s="53"/>
      <c r="AA117" s="56"/>
      <c r="AB117" s="56"/>
      <c r="AC117" s="56"/>
      <c r="AD117" s="56"/>
      <c r="AE117" s="56"/>
      <c r="AF117" s="50">
        <v>0</v>
      </c>
    </row>
    <row r="118" s="57" customFormat="1" ht="0.75" hidden="1" customHeight="1">
      <c r="A118" s="730"/>
      <c r="D118" s="532"/>
      <c r="E118" s="159" t="str">
        <f>E117&amp;".0"</f>
        <v>.0</v>
      </c>
      <c r="F118" s="772"/>
      <c r="G118" s="586"/>
      <c r="H118" s="753"/>
      <c r="I118" s="753"/>
      <c r="J118" s="767"/>
      <c r="AF118" s="57">
        <v>0</v>
      </c>
    </row>
    <row r="119" s="50" customFormat="1" ht="15" hidden="1" customHeight="1">
      <c r="A119" s="730"/>
      <c r="B119" s="53"/>
      <c r="C119" s="57"/>
      <c r="D119" s="129"/>
      <c r="E119" s="768"/>
      <c r="F119" s="769" t="s">
        <v>589</v>
      </c>
      <c r="G119" s="742"/>
      <c r="H119" s="743"/>
      <c r="I119" s="743"/>
      <c r="J119" s="770" t="s">
        <v>590</v>
      </c>
      <c r="K119" s="710"/>
      <c r="L119" s="57"/>
      <c r="M119" s="57"/>
      <c r="N119" s="53"/>
      <c r="O119" s="53"/>
      <c r="P119" s="53"/>
      <c r="Q119" s="53"/>
      <c r="R119" s="57"/>
      <c r="S119" s="53"/>
      <c r="T119" s="53"/>
      <c r="U119" s="707"/>
      <c r="V119" s="53"/>
      <c r="W119" s="53"/>
      <c r="X119" s="53"/>
      <c r="Y119" s="53"/>
      <c r="Z119" s="53"/>
      <c r="AA119" s="56"/>
      <c r="AB119" s="56"/>
      <c r="AC119" s="56"/>
      <c r="AD119" s="56"/>
      <c r="AE119" s="56"/>
      <c r="AF119" s="50">
        <v>0</v>
      </c>
    </row>
    <row r="120" ht="22.5" hidden="1" customHeight="1">
      <c r="A120" s="730" t="s">
        <v>591</v>
      </c>
      <c r="D120" s="126"/>
      <c r="E120" s="708" t="str">
        <f>FHD_NUM_P_78</f>
        <v/>
      </c>
      <c r="F120" s="314" t="str">
        <f>FHD_P_78</f>
        <v/>
      </c>
      <c r="G120" s="72" t="s">
        <v>554</v>
      </c>
      <c r="H120" s="748"/>
      <c r="I120" s="748"/>
      <c r="J120" s="486" t="str">
        <f>FHD_NOTE_P_78</f>
        <v/>
      </c>
      <c r="K120" s="710"/>
      <c r="AF120" s="50">
        <v>0</v>
      </c>
    </row>
    <row r="121" s="57" customFormat="1" ht="0.75" hidden="1" customHeight="1">
      <c r="A121" s="730"/>
      <c r="D121" s="532"/>
      <c r="E121" s="159" t="str">
        <f>E120&amp;".0"</f>
        <v>.0</v>
      </c>
      <c r="F121" s="772"/>
      <c r="G121" s="586"/>
      <c r="H121" s="753"/>
      <c r="I121" s="753"/>
      <c r="J121" s="767"/>
      <c r="AF121" s="57">
        <v>0</v>
      </c>
    </row>
    <row r="122" ht="15" hidden="1" customHeight="1">
      <c r="A122" s="730"/>
      <c r="D122" s="129"/>
      <c r="E122" s="741"/>
      <c r="F122" s="173" t="s">
        <v>580</v>
      </c>
      <c r="G122" s="742"/>
      <c r="H122" s="743"/>
      <c r="I122" s="743"/>
      <c r="J122" s="770" t="s">
        <v>592</v>
      </c>
      <c r="K122" s="710"/>
      <c r="AF122" s="50">
        <v>0</v>
      </c>
    </row>
    <row r="123" ht="22.5" hidden="1" customHeight="1">
      <c r="A123" s="730"/>
      <c r="D123" s="126"/>
      <c r="E123" s="708" t="str">
        <f>FHD_NUM_P_79</f>
        <v/>
      </c>
      <c r="F123" s="314" t="str">
        <f>FHD_P_79</f>
        <v/>
      </c>
      <c r="G123" s="158" t="s">
        <v>556</v>
      </c>
      <c r="H123" s="748"/>
      <c r="I123" s="748"/>
      <c r="J123" s="486" t="str">
        <f>FHD_NOTE_P_79</f>
        <v/>
      </c>
      <c r="K123" s="710"/>
      <c r="AF123" s="50">
        <v>0</v>
      </c>
    </row>
    <row r="124" s="57" customFormat="1" ht="0.75" hidden="1" customHeight="1">
      <c r="A124" s="730"/>
      <c r="D124" s="532"/>
      <c r="E124" s="159" t="str">
        <f>E123&amp;".0"</f>
        <v>.0</v>
      </c>
      <c r="F124" s="773"/>
      <c r="G124" s="586"/>
      <c r="H124" s="753"/>
      <c r="I124" s="753"/>
      <c r="J124" s="767"/>
      <c r="AF124" s="57">
        <v>0</v>
      </c>
    </row>
    <row r="125" ht="15" hidden="1" customHeight="1">
      <c r="A125" s="730"/>
      <c r="D125" s="129"/>
      <c r="E125" s="741"/>
      <c r="F125" s="173" t="s">
        <v>580</v>
      </c>
      <c r="G125" s="742"/>
      <c r="H125" s="743"/>
      <c r="I125" s="743"/>
      <c r="J125" s="770" t="s">
        <v>593</v>
      </c>
      <c r="K125" s="710"/>
      <c r="AF125" s="50">
        <v>0</v>
      </c>
    </row>
    <row r="126" ht="22.5" hidden="1" customHeight="1">
      <c r="A126" s="730"/>
      <c r="D126" s="126"/>
      <c r="E126" s="708" t="str">
        <f>FHD_NUM_P_80</f>
        <v/>
      </c>
      <c r="F126" s="314" t="str">
        <f>FHD_P_80</f>
        <v/>
      </c>
      <c r="G126" s="158" t="s">
        <v>594</v>
      </c>
      <c r="H126" s="728"/>
      <c r="I126" s="728"/>
      <c r="J126" s="486" t="str">
        <f>FHD_NOTE_P_80</f>
        <v/>
      </c>
      <c r="K126" s="710"/>
      <c r="AF126" s="50">
        <v>0</v>
      </c>
    </row>
    <row r="127" ht="18.75" hidden="1" customHeight="1">
      <c r="A127" s="730"/>
      <c r="D127" s="126"/>
      <c r="E127" s="708" t="str">
        <f>FHD_NUM_P_81</f>
        <v/>
      </c>
      <c r="F127" s="314" t="str">
        <f>FHD_P_81</f>
        <v/>
      </c>
      <c r="G127" s="158" t="s">
        <v>595</v>
      </c>
      <c r="H127" s="728"/>
      <c r="I127" s="728"/>
      <c r="J127" s="486" t="str">
        <f>FHD_NOTE_P_81</f>
        <v/>
      </c>
      <c r="K127" s="710"/>
      <c r="AF127" s="50">
        <v>0</v>
      </c>
    </row>
    <row r="128" ht="18.75" hidden="1" customHeight="1">
      <c r="A128" s="730"/>
      <c r="C128" s="57" t="s">
        <v>582</v>
      </c>
      <c r="D128" s="126"/>
      <c r="E128" s="708" t="str">
        <f>FHD_NUM_P_82</f>
        <v/>
      </c>
      <c r="F128" s="314" t="str">
        <f>FHD_P_82</f>
        <v/>
      </c>
      <c r="G128" s="158" t="s">
        <v>300</v>
      </c>
      <c r="H128" s="759"/>
      <c r="I128" s="759"/>
      <c r="J128" s="486" t="str">
        <f>FHD_NOTE_P_82</f>
        <v/>
      </c>
      <c r="K128" s="710"/>
      <c r="AF128" s="50">
        <v>0</v>
      </c>
    </row>
    <row r="129" ht="18.75" hidden="1" customHeight="1">
      <c r="A129" s="730"/>
      <c r="C129" s="57" t="s">
        <v>582</v>
      </c>
      <c r="D129" s="126"/>
      <c r="E129" s="708" t="str">
        <f>FHD_NUM_P_83</f>
        <v/>
      </c>
      <c r="F129" s="674" t="str">
        <f>FHD_P_83</f>
        <v/>
      </c>
      <c r="G129" s="158" t="s">
        <v>300</v>
      </c>
      <c r="H129" s="759"/>
      <c r="I129" s="759"/>
      <c r="J129" s="486" t="str">
        <f>FHD_NOTE_P_83</f>
        <v/>
      </c>
      <c r="K129" s="710"/>
      <c r="AF129" s="50">
        <v>0</v>
      </c>
    </row>
    <row r="130" ht="18.75" hidden="1" customHeight="1">
      <c r="A130" s="730"/>
      <c r="C130" s="57" t="s">
        <v>582</v>
      </c>
      <c r="D130" s="126"/>
      <c r="E130" s="708" t="str">
        <f>FHD_NUM_P_84</f>
        <v/>
      </c>
      <c r="F130" s="674" t="str">
        <f>FHD_P_84</f>
        <v/>
      </c>
      <c r="G130" s="158" t="s">
        <v>300</v>
      </c>
      <c r="H130" s="759"/>
      <c r="I130" s="759"/>
      <c r="J130" s="486" t="str">
        <f>FHD_NOTE_P_84</f>
        <v/>
      </c>
      <c r="K130" s="710"/>
      <c r="AF130" s="50">
        <v>0</v>
      </c>
    </row>
    <row r="131" ht="11.5" customHeight="1">
      <c r="D131" s="126"/>
      <c r="AF131" s="50">
        <v>11</v>
      </c>
    </row>
    <row r="132" ht="13.5" customHeight="1">
      <c r="D132" s="126"/>
      <c r="E132" s="477"/>
      <c r="F132" s="396"/>
      <c r="G132" s="396"/>
      <c r="H132" s="396"/>
      <c r="I132" s="575"/>
      <c r="J132" s="86"/>
      <c r="AF132" s="50">
        <v>13</v>
      </c>
    </row>
    <row r="133" s="132" customFormat="1" ht="11.5" customHeight="1">
      <c r="A133" s="706"/>
      <c r="B133" s="57"/>
      <c r="C133" s="57"/>
      <c r="D133" s="132"/>
      <c r="F133" s="153"/>
      <c r="G133" s="50"/>
      <c r="H133" s="50"/>
      <c r="I133" s="50"/>
      <c r="K133" s="53"/>
      <c r="L133" s="57"/>
      <c r="M133" s="57"/>
      <c r="N133" s="53"/>
      <c r="O133" s="53"/>
      <c r="P133" s="53"/>
      <c r="Q133" s="53"/>
      <c r="R133" s="57"/>
      <c r="S133" s="53"/>
      <c r="T133" s="53"/>
      <c r="U133" s="707"/>
      <c r="V133" s="53"/>
      <c r="W133" s="53"/>
      <c r="X133" s="53"/>
      <c r="Y133" s="53"/>
      <c r="Z133" s="53"/>
      <c r="AA133" s="56"/>
      <c r="AB133" s="54"/>
      <c r="AC133" s="54"/>
      <c r="AD133" s="54"/>
      <c r="AE133" s="54"/>
      <c r="AF133" s="132">
        <v>11</v>
      </c>
    </row>
    <row r="134" s="132" customFormat="1" ht="11.5" customHeight="1">
      <c r="A134" s="706"/>
      <c r="B134" s="57"/>
      <c r="C134" s="57"/>
      <c r="D134" s="132"/>
      <c r="K134" s="53"/>
      <c r="L134" s="57"/>
      <c r="M134" s="57"/>
      <c r="N134" s="53"/>
      <c r="O134" s="53"/>
      <c r="P134" s="53"/>
      <c r="Q134" s="53"/>
      <c r="R134" s="57"/>
      <c r="S134" s="53"/>
      <c r="T134" s="53"/>
      <c r="U134" s="707"/>
      <c r="V134" s="53"/>
      <c r="W134" s="53"/>
      <c r="X134" s="53"/>
      <c r="Y134" s="53"/>
      <c r="Z134" s="53"/>
      <c r="AA134" s="56"/>
      <c r="AB134" s="54"/>
      <c r="AC134" s="54"/>
      <c r="AD134" s="54"/>
      <c r="AE134" s="54"/>
      <c r="AF134" s="132">
        <v>11</v>
      </c>
    </row>
    <row r="135" s="132" customFormat="1" ht="11.5" customHeight="1">
      <c r="A135" s="706"/>
      <c r="B135" s="57"/>
      <c r="C135" s="57"/>
      <c r="D135" s="132"/>
      <c r="K135" s="53"/>
      <c r="L135" s="57"/>
      <c r="M135" s="57"/>
      <c r="N135" s="53"/>
      <c r="O135" s="53"/>
      <c r="P135" s="53"/>
      <c r="Q135" s="53"/>
      <c r="R135" s="57"/>
      <c r="S135" s="53"/>
      <c r="T135" s="53"/>
      <c r="U135" s="707"/>
      <c r="V135" s="53"/>
      <c r="W135" s="53"/>
      <c r="X135" s="53"/>
      <c r="Y135" s="53"/>
      <c r="Z135" s="53"/>
      <c r="AA135" s="56"/>
      <c r="AB135" s="54"/>
      <c r="AC135" s="54"/>
      <c r="AD135" s="54"/>
      <c r="AE135" s="54"/>
      <c r="AF135" s="132">
        <v>11</v>
      </c>
    </row>
    <row r="136" s="132" customFormat="1" ht="11.5" customHeight="1">
      <c r="A136" s="706"/>
      <c r="B136" s="57"/>
      <c r="C136" s="57"/>
      <c r="D136" s="132"/>
      <c r="H136" s="54" t="str">
        <f>IF(H30-H31&lt;&gt;H72,"WARNING","")</f>
        <v/>
      </c>
      <c r="I136" s="54" t="str">
        <f>IF(I30-I31&lt;&gt;I72,"WARNING","")</f>
        <v/>
      </c>
      <c r="K136" s="53"/>
      <c r="L136" s="57"/>
      <c r="M136" s="57"/>
      <c r="N136" s="53"/>
      <c r="O136" s="53"/>
      <c r="P136" s="53"/>
      <c r="Q136" s="53"/>
      <c r="R136" s="57"/>
      <c r="S136" s="53"/>
      <c r="T136" s="53"/>
      <c r="U136" s="707"/>
      <c r="V136" s="53"/>
      <c r="W136" s="53"/>
      <c r="X136" s="53"/>
      <c r="Y136" s="53"/>
      <c r="Z136" s="53"/>
      <c r="AA136" s="56"/>
      <c r="AB136" s="54"/>
      <c r="AC136" s="54"/>
      <c r="AD136" s="54"/>
      <c r="AE136" s="54"/>
      <c r="AF136" s="132">
        <v>11</v>
      </c>
    </row>
    <row r="137" s="132" customFormat="1" ht="11.5" customHeight="1">
      <c r="A137" s="706"/>
      <c r="B137" s="57"/>
      <c r="C137" s="57"/>
      <c r="D137" s="132"/>
      <c r="K137" s="53"/>
      <c r="L137" s="57"/>
      <c r="M137" s="57"/>
      <c r="N137" s="53"/>
      <c r="O137" s="53"/>
      <c r="P137" s="53"/>
      <c r="Q137" s="53"/>
      <c r="R137" s="57"/>
      <c r="S137" s="53"/>
      <c r="T137" s="53"/>
      <c r="U137" s="707"/>
      <c r="V137" s="53"/>
      <c r="W137" s="53"/>
      <c r="X137" s="53"/>
      <c r="Y137" s="53"/>
      <c r="Z137" s="53"/>
      <c r="AA137" s="56"/>
      <c r="AB137" s="54"/>
      <c r="AC137" s="54"/>
      <c r="AD137" s="54"/>
      <c r="AE137" s="54"/>
      <c r="AF137" s="132">
        <v>11</v>
      </c>
    </row>
    <row r="138" s="132" customFormat="1" ht="11.5" customHeight="1">
      <c r="A138" s="706"/>
      <c r="B138" s="57"/>
      <c r="C138" s="57"/>
      <c r="D138" s="132"/>
      <c r="K138" s="53"/>
      <c r="L138" s="57"/>
      <c r="M138" s="57"/>
      <c r="N138" s="53"/>
      <c r="O138" s="53"/>
      <c r="P138" s="53"/>
      <c r="Q138" s="53"/>
      <c r="R138" s="57"/>
      <c r="S138" s="53"/>
      <c r="T138" s="53"/>
      <c r="U138" s="707"/>
      <c r="V138" s="53"/>
      <c r="W138" s="53"/>
      <c r="X138" s="53"/>
      <c r="Y138" s="53"/>
      <c r="Z138" s="53"/>
      <c r="AA138" s="56"/>
      <c r="AB138" s="54"/>
      <c r="AC138" s="54"/>
      <c r="AD138" s="54"/>
      <c r="AE138" s="54"/>
      <c r="AF138" s="132">
        <v>11</v>
      </c>
    </row>
    <row r="139" s="132" customFormat="1" ht="11.5" customHeight="1">
      <c r="A139" s="706"/>
      <c r="B139" s="57"/>
      <c r="C139" s="57"/>
      <c r="D139" s="132"/>
      <c r="K139" s="53"/>
      <c r="L139" s="57"/>
      <c r="M139" s="57"/>
      <c r="N139" s="53"/>
      <c r="O139" s="53"/>
      <c r="P139" s="53"/>
      <c r="Q139" s="53"/>
      <c r="R139" s="57"/>
      <c r="S139" s="53"/>
      <c r="T139" s="53"/>
      <c r="U139" s="707"/>
      <c r="V139" s="53"/>
      <c r="W139" s="53"/>
      <c r="X139" s="53"/>
      <c r="Y139" s="53"/>
      <c r="Z139" s="53"/>
      <c r="AA139" s="56"/>
      <c r="AB139" s="54"/>
      <c r="AC139" s="54"/>
      <c r="AD139" s="54"/>
      <c r="AE139" s="54"/>
      <c r="AF139" s="132">
        <v>11</v>
      </c>
    </row>
    <row r="140" s="132" customFormat="1" ht="11.5" customHeight="1">
      <c r="A140" s="706"/>
      <c r="B140" s="57"/>
      <c r="C140" s="57"/>
      <c r="D140" s="132"/>
      <c r="K140" s="53"/>
      <c r="L140" s="57"/>
      <c r="M140" s="57"/>
      <c r="N140" s="53"/>
      <c r="O140" s="53"/>
      <c r="P140" s="53"/>
      <c r="Q140" s="53"/>
      <c r="R140" s="57"/>
      <c r="S140" s="53"/>
      <c r="T140" s="53"/>
      <c r="U140" s="707"/>
      <c r="V140" s="53"/>
      <c r="W140" s="53"/>
      <c r="X140" s="53"/>
      <c r="Y140" s="53"/>
      <c r="Z140" s="53"/>
      <c r="AA140" s="56"/>
      <c r="AB140" s="54"/>
      <c r="AC140" s="54"/>
      <c r="AD140" s="54"/>
      <c r="AE140" s="54"/>
      <c r="AF140" s="132">
        <v>11</v>
      </c>
    </row>
    <row r="141" s="132" customFormat="1" ht="11.5" customHeight="1">
      <c r="A141" s="706"/>
      <c r="B141" s="57"/>
      <c r="C141" s="57"/>
      <c r="D141" s="132"/>
      <c r="K141" s="53"/>
      <c r="L141" s="57"/>
      <c r="M141" s="57"/>
      <c r="N141" s="53"/>
      <c r="O141" s="53"/>
      <c r="P141" s="53"/>
      <c r="Q141" s="53"/>
      <c r="R141" s="57"/>
      <c r="S141" s="53"/>
      <c r="T141" s="53"/>
      <c r="U141" s="707"/>
      <c r="V141" s="53"/>
      <c r="W141" s="53"/>
      <c r="X141" s="53"/>
      <c r="Y141" s="53"/>
      <c r="Z141" s="53"/>
      <c r="AA141" s="56"/>
      <c r="AB141" s="54"/>
      <c r="AC141" s="54"/>
      <c r="AD141" s="54"/>
      <c r="AE141" s="54"/>
      <c r="AF141" s="132">
        <v>11</v>
      </c>
    </row>
    <row r="142" s="132" customFormat="1" ht="11.5" customHeight="1">
      <c r="A142" s="706"/>
      <c r="B142" s="57"/>
      <c r="C142" s="57"/>
      <c r="D142" s="132"/>
      <c r="K142" s="53"/>
      <c r="L142" s="57"/>
      <c r="M142" s="57"/>
      <c r="N142" s="53"/>
      <c r="O142" s="53"/>
      <c r="P142" s="53"/>
      <c r="Q142" s="53"/>
      <c r="R142" s="57"/>
      <c r="S142" s="53"/>
      <c r="T142" s="53"/>
      <c r="U142" s="707"/>
      <c r="V142" s="53"/>
      <c r="W142" s="53"/>
      <c r="X142" s="53"/>
      <c r="Y142" s="53"/>
      <c r="Z142" s="53"/>
      <c r="AA142" s="56"/>
      <c r="AB142" s="54"/>
      <c r="AC142" s="54"/>
      <c r="AD142" s="54"/>
      <c r="AE142" s="54"/>
      <c r="AF142" s="132">
        <v>11</v>
      </c>
    </row>
    <row r="143" s="132" customFormat="1" ht="11.5" customHeight="1">
      <c r="A143" s="706"/>
      <c r="B143" s="57"/>
      <c r="C143" s="57"/>
      <c r="D143" s="132"/>
      <c r="K143" s="53"/>
      <c r="L143" s="57"/>
      <c r="M143" s="57"/>
      <c r="N143" s="53"/>
      <c r="O143" s="53"/>
      <c r="P143" s="53"/>
      <c r="Q143" s="53"/>
      <c r="R143" s="57"/>
      <c r="S143" s="53"/>
      <c r="T143" s="53"/>
      <c r="U143" s="707"/>
      <c r="V143" s="53"/>
      <c r="W143" s="53"/>
      <c r="X143" s="53"/>
      <c r="Y143" s="53"/>
      <c r="Z143" s="53"/>
      <c r="AA143" s="56"/>
      <c r="AB143" s="54"/>
      <c r="AC143" s="54"/>
      <c r="AD143" s="54"/>
      <c r="AE143" s="54"/>
      <c r="AF143" s="132">
        <v>11</v>
      </c>
    </row>
    <row r="144" s="132" customFormat="1" ht="11.5" customHeight="1">
      <c r="A144" s="706"/>
      <c r="B144" s="57"/>
      <c r="C144" s="57"/>
      <c r="D144" s="132"/>
      <c r="K144" s="53"/>
      <c r="L144" s="57"/>
      <c r="M144" s="57"/>
      <c r="N144" s="53"/>
      <c r="O144" s="53"/>
      <c r="P144" s="53"/>
      <c r="Q144" s="53"/>
      <c r="R144" s="57"/>
      <c r="S144" s="53"/>
      <c r="T144" s="53"/>
      <c r="U144" s="707"/>
      <c r="V144" s="53"/>
      <c r="W144" s="53"/>
      <c r="X144" s="53"/>
      <c r="Y144" s="53"/>
      <c r="Z144" s="53"/>
      <c r="AA144" s="56"/>
      <c r="AB144" s="54"/>
      <c r="AC144" s="54"/>
      <c r="AD144" s="54"/>
      <c r="AE144" s="54"/>
      <c r="AF144" s="132">
        <v>11</v>
      </c>
    </row>
    <row r="145" s="132" customFormat="1" ht="11.5" customHeight="1">
      <c r="A145" s="706"/>
      <c r="B145" s="57"/>
      <c r="C145" s="57"/>
      <c r="D145" s="132"/>
      <c r="K145" s="53"/>
      <c r="L145" s="57"/>
      <c r="M145" s="57"/>
      <c r="N145" s="53"/>
      <c r="O145" s="53"/>
      <c r="P145" s="53"/>
      <c r="Q145" s="53"/>
      <c r="R145" s="57"/>
      <c r="S145" s="53"/>
      <c r="T145" s="53"/>
      <c r="U145" s="707"/>
      <c r="V145" s="53"/>
      <c r="W145" s="53"/>
      <c r="X145" s="53"/>
      <c r="Y145" s="53"/>
      <c r="Z145" s="53"/>
      <c r="AA145" s="56"/>
      <c r="AB145" s="54"/>
      <c r="AC145" s="54"/>
      <c r="AD145" s="54"/>
      <c r="AE145" s="54"/>
      <c r="AF145" s="132">
        <v>11</v>
      </c>
    </row>
    <row r="146" s="132" customFormat="1" ht="11.5" customHeight="1">
      <c r="A146" s="706"/>
      <c r="B146" s="57"/>
      <c r="C146" s="57"/>
      <c r="D146" s="132"/>
      <c r="K146" s="53"/>
      <c r="L146" s="57"/>
      <c r="M146" s="57"/>
      <c r="N146" s="53"/>
      <c r="O146" s="53"/>
      <c r="P146" s="53"/>
      <c r="Q146" s="53"/>
      <c r="R146" s="57"/>
      <c r="S146" s="53"/>
      <c r="T146" s="53"/>
      <c r="U146" s="707"/>
      <c r="V146" s="53"/>
      <c r="W146" s="53"/>
      <c r="X146" s="53"/>
      <c r="Y146" s="53"/>
      <c r="Z146" s="53"/>
      <c r="AA146" s="56"/>
      <c r="AB146" s="54"/>
      <c r="AC146" s="54"/>
      <c r="AD146" s="54"/>
      <c r="AE146" s="54"/>
      <c r="AF146" s="132">
        <v>11</v>
      </c>
    </row>
    <row r="147" s="132" customFormat="1" ht="11.5" customHeight="1">
      <c r="A147" s="706"/>
      <c r="B147" s="57"/>
      <c r="C147" s="57"/>
      <c r="D147" s="132"/>
      <c r="K147" s="53"/>
      <c r="L147" s="57"/>
      <c r="M147" s="57"/>
      <c r="N147" s="53"/>
      <c r="O147" s="53"/>
      <c r="P147" s="53"/>
      <c r="Q147" s="53"/>
      <c r="R147" s="57"/>
      <c r="S147" s="53"/>
      <c r="T147" s="53"/>
      <c r="U147" s="707"/>
      <c r="V147" s="53"/>
      <c r="W147" s="53"/>
      <c r="X147" s="53"/>
      <c r="Y147" s="53"/>
      <c r="Z147" s="53"/>
      <c r="AA147" s="56"/>
      <c r="AB147" s="54"/>
      <c r="AC147" s="54"/>
      <c r="AD147" s="54"/>
      <c r="AE147" s="54"/>
      <c r="AF147" s="132">
        <v>11</v>
      </c>
    </row>
    <row r="148" s="132" customFormat="1" ht="11.5" customHeight="1">
      <c r="A148" s="706"/>
      <c r="B148" s="57"/>
      <c r="C148" s="57"/>
      <c r="D148" s="132"/>
      <c r="K148" s="53"/>
      <c r="L148" s="57"/>
      <c r="M148" s="57"/>
      <c r="N148" s="53"/>
      <c r="O148" s="53"/>
      <c r="P148" s="53"/>
      <c r="Q148" s="53"/>
      <c r="R148" s="57"/>
      <c r="S148" s="53"/>
      <c r="T148" s="53"/>
      <c r="U148" s="707"/>
      <c r="V148" s="53"/>
      <c r="W148" s="53"/>
      <c r="X148" s="53"/>
      <c r="Y148" s="53"/>
      <c r="Z148" s="53"/>
      <c r="AA148" s="56"/>
      <c r="AB148" s="54"/>
      <c r="AC148" s="54"/>
      <c r="AD148" s="54"/>
      <c r="AE148" s="54"/>
      <c r="AF148" s="132">
        <v>11</v>
      </c>
    </row>
    <row r="149" s="132" customFormat="1" ht="11.5" customHeight="1">
      <c r="A149" s="706"/>
      <c r="B149" s="57"/>
      <c r="C149" s="57"/>
      <c r="D149" s="132"/>
      <c r="K149" s="53"/>
      <c r="L149" s="57"/>
      <c r="M149" s="57"/>
      <c r="N149" s="53"/>
      <c r="O149" s="53"/>
      <c r="P149" s="53"/>
      <c r="Q149" s="53"/>
      <c r="R149" s="57"/>
      <c r="S149" s="53"/>
      <c r="T149" s="53"/>
      <c r="U149" s="707"/>
      <c r="V149" s="53"/>
      <c r="W149" s="53"/>
      <c r="X149" s="53"/>
      <c r="Y149" s="53"/>
      <c r="Z149" s="53"/>
      <c r="AA149" s="56"/>
      <c r="AB149" s="54"/>
      <c r="AC149" s="54"/>
      <c r="AD149" s="54"/>
      <c r="AE149" s="54"/>
      <c r="AF149" s="132">
        <v>11</v>
      </c>
    </row>
    <row r="150" s="132" customFormat="1" ht="11.5" customHeight="1">
      <c r="A150" s="706"/>
      <c r="B150" s="57"/>
      <c r="C150" s="57"/>
      <c r="D150" s="132"/>
      <c r="K150" s="53"/>
      <c r="L150" s="57"/>
      <c r="M150" s="57"/>
      <c r="N150" s="53"/>
      <c r="O150" s="53"/>
      <c r="P150" s="53"/>
      <c r="Q150" s="53"/>
      <c r="R150" s="57"/>
      <c r="S150" s="53"/>
      <c r="T150" s="53"/>
      <c r="U150" s="707"/>
      <c r="V150" s="53"/>
      <c r="W150" s="53"/>
      <c r="X150" s="53"/>
      <c r="Y150" s="53"/>
      <c r="Z150" s="53"/>
      <c r="AA150" s="56"/>
      <c r="AB150" s="54"/>
      <c r="AC150" s="54"/>
      <c r="AD150" s="54"/>
      <c r="AE150" s="54"/>
      <c r="AF150" s="132">
        <v>11</v>
      </c>
    </row>
    <row r="151" s="132" customFormat="1" ht="11.5" customHeight="1">
      <c r="A151" s="706"/>
      <c r="B151" s="57"/>
      <c r="C151" s="57"/>
      <c r="D151" s="132"/>
      <c r="K151" s="53"/>
      <c r="L151" s="57"/>
      <c r="M151" s="57"/>
      <c r="N151" s="53"/>
      <c r="O151" s="53"/>
      <c r="P151" s="53"/>
      <c r="Q151" s="53"/>
      <c r="R151" s="57"/>
      <c r="S151" s="53"/>
      <c r="T151" s="53"/>
      <c r="U151" s="707"/>
      <c r="V151" s="53"/>
      <c r="W151" s="53"/>
      <c r="X151" s="53"/>
      <c r="Y151" s="53"/>
      <c r="Z151" s="53"/>
      <c r="AA151" s="56"/>
      <c r="AB151" s="54"/>
      <c r="AC151" s="54"/>
      <c r="AD151" s="54"/>
      <c r="AE151" s="54"/>
      <c r="AF151" s="132">
        <v>11</v>
      </c>
    </row>
    <row r="152" s="132" customFormat="1" ht="11.5" customHeight="1">
      <c r="A152" s="706"/>
      <c r="B152" s="57"/>
      <c r="C152" s="57"/>
      <c r="D152" s="132"/>
      <c r="K152" s="53"/>
      <c r="L152" s="57"/>
      <c r="M152" s="57"/>
      <c r="N152" s="53"/>
      <c r="O152" s="53"/>
      <c r="P152" s="53"/>
      <c r="Q152" s="53"/>
      <c r="R152" s="57"/>
      <c r="S152" s="53"/>
      <c r="T152" s="53"/>
      <c r="U152" s="707"/>
      <c r="V152" s="53"/>
      <c r="W152" s="53"/>
      <c r="X152" s="53"/>
      <c r="Y152" s="53"/>
      <c r="Z152" s="53"/>
      <c r="AA152" s="56"/>
      <c r="AB152" s="54"/>
      <c r="AC152" s="54"/>
      <c r="AD152" s="54"/>
      <c r="AE152" s="54"/>
      <c r="AF152" s="132">
        <v>11</v>
      </c>
    </row>
    <row r="153" s="132" customFormat="1" ht="11.5" customHeight="1">
      <c r="A153" s="706"/>
      <c r="B153" s="57"/>
      <c r="C153" s="57"/>
      <c r="D153" s="132"/>
      <c r="K153" s="53"/>
      <c r="L153" s="57"/>
      <c r="M153" s="57"/>
      <c r="N153" s="53"/>
      <c r="O153" s="53"/>
      <c r="P153" s="53"/>
      <c r="Q153" s="53"/>
      <c r="R153" s="57"/>
      <c r="S153" s="53"/>
      <c r="T153" s="53"/>
      <c r="U153" s="707"/>
      <c r="V153" s="53"/>
      <c r="W153" s="53"/>
      <c r="X153" s="53"/>
      <c r="Y153" s="53"/>
      <c r="Z153" s="53"/>
      <c r="AA153" s="56"/>
      <c r="AB153" s="54"/>
      <c r="AC153" s="54"/>
      <c r="AD153" s="54"/>
      <c r="AE153" s="54"/>
      <c r="AF153" s="132">
        <v>11</v>
      </c>
    </row>
    <row r="154" s="132" customFormat="1" ht="11.5" customHeight="1">
      <c r="A154" s="706"/>
      <c r="B154" s="57"/>
      <c r="C154" s="57"/>
      <c r="D154" s="132"/>
      <c r="K154" s="53"/>
      <c r="L154" s="57"/>
      <c r="M154" s="57"/>
      <c r="N154" s="53"/>
      <c r="O154" s="53"/>
      <c r="P154" s="53"/>
      <c r="Q154" s="53"/>
      <c r="R154" s="57"/>
      <c r="S154" s="53"/>
      <c r="T154" s="53"/>
      <c r="U154" s="707"/>
      <c r="V154" s="53"/>
      <c r="W154" s="53"/>
      <c r="X154" s="53"/>
      <c r="Y154" s="53"/>
      <c r="Z154" s="53"/>
      <c r="AA154" s="56"/>
      <c r="AB154" s="54"/>
      <c r="AC154" s="54"/>
      <c r="AD154" s="54"/>
      <c r="AE154" s="54"/>
      <c r="AF154" s="132">
        <v>11</v>
      </c>
    </row>
    <row r="155" s="132" customFormat="1" ht="11.5" customHeight="1">
      <c r="A155" s="706"/>
      <c r="B155" s="57"/>
      <c r="C155" s="57"/>
      <c r="D155" s="132"/>
      <c r="K155" s="53"/>
      <c r="L155" s="57"/>
      <c r="M155" s="57"/>
      <c r="N155" s="53"/>
      <c r="O155" s="53"/>
      <c r="P155" s="53"/>
      <c r="Q155" s="53"/>
      <c r="R155" s="57"/>
      <c r="S155" s="53"/>
      <c r="T155" s="53"/>
      <c r="U155" s="707"/>
      <c r="V155" s="53"/>
      <c r="W155" s="53"/>
      <c r="X155" s="53"/>
      <c r="Y155" s="53"/>
      <c r="Z155" s="53"/>
      <c r="AA155" s="56"/>
      <c r="AB155" s="54"/>
      <c r="AC155" s="54"/>
      <c r="AD155" s="54"/>
      <c r="AE155" s="54"/>
      <c r="AF155" s="132">
        <v>11</v>
      </c>
    </row>
    <row r="156" s="132" customFormat="1" ht="11.5" customHeight="1">
      <c r="A156" s="706"/>
      <c r="B156" s="57"/>
      <c r="C156" s="57"/>
      <c r="D156" s="132"/>
      <c r="K156" s="53"/>
      <c r="L156" s="57"/>
      <c r="M156" s="57"/>
      <c r="N156" s="53"/>
      <c r="O156" s="53"/>
      <c r="P156" s="53"/>
      <c r="Q156" s="53"/>
      <c r="R156" s="57"/>
      <c r="S156" s="53"/>
      <c r="T156" s="53"/>
      <c r="U156" s="707"/>
      <c r="V156" s="53"/>
      <c r="W156" s="53"/>
      <c r="X156" s="53"/>
      <c r="Y156" s="53"/>
      <c r="Z156" s="53"/>
      <c r="AA156" s="56"/>
      <c r="AB156" s="54"/>
      <c r="AC156" s="54"/>
      <c r="AD156" s="54"/>
      <c r="AE156" s="54"/>
      <c r="AF156" s="132">
        <v>11</v>
      </c>
    </row>
    <row r="157" s="132" customFormat="1" ht="11.5" customHeight="1">
      <c r="A157" s="706"/>
      <c r="B157" s="57"/>
      <c r="C157" s="57"/>
      <c r="D157" s="132"/>
      <c r="K157" s="53"/>
      <c r="L157" s="57"/>
      <c r="M157" s="57"/>
      <c r="N157" s="53"/>
      <c r="O157" s="53"/>
      <c r="P157" s="53"/>
      <c r="Q157" s="53"/>
      <c r="R157" s="57"/>
      <c r="S157" s="53"/>
      <c r="T157" s="53"/>
      <c r="U157" s="707"/>
      <c r="V157" s="53"/>
      <c r="W157" s="53"/>
      <c r="X157" s="53"/>
      <c r="Y157" s="53"/>
      <c r="Z157" s="53"/>
      <c r="AA157" s="56"/>
      <c r="AB157" s="54"/>
      <c r="AC157" s="54"/>
      <c r="AD157" s="54"/>
      <c r="AE157" s="54"/>
      <c r="AF157" s="132">
        <v>11</v>
      </c>
    </row>
    <row r="158" s="132" customFormat="1" ht="11.5" customHeight="1">
      <c r="A158" s="706"/>
      <c r="B158" s="57"/>
      <c r="C158" s="57"/>
      <c r="D158" s="132"/>
      <c r="K158" s="53"/>
      <c r="L158" s="57"/>
      <c r="M158" s="57"/>
      <c r="N158" s="53"/>
      <c r="O158" s="53"/>
      <c r="P158" s="53"/>
      <c r="Q158" s="53"/>
      <c r="R158" s="57"/>
      <c r="S158" s="53"/>
      <c r="T158" s="53"/>
      <c r="U158" s="707"/>
      <c r="V158" s="53"/>
      <c r="W158" s="53"/>
      <c r="X158" s="53"/>
      <c r="Y158" s="53"/>
      <c r="Z158" s="53"/>
      <c r="AA158" s="56"/>
      <c r="AB158" s="54"/>
      <c r="AC158" s="54"/>
      <c r="AD158" s="54"/>
      <c r="AE158" s="54"/>
      <c r="AF158" s="132">
        <v>11</v>
      </c>
    </row>
    <row r="159" s="132" customFormat="1" ht="11.5" customHeight="1">
      <c r="A159" s="706"/>
      <c r="B159" s="57"/>
      <c r="C159" s="57"/>
      <c r="D159" s="132"/>
      <c r="K159" s="53"/>
      <c r="L159" s="57"/>
      <c r="M159" s="57"/>
      <c r="N159" s="53"/>
      <c r="O159" s="53"/>
      <c r="P159" s="53"/>
      <c r="Q159" s="53"/>
      <c r="R159" s="57"/>
      <c r="S159" s="53"/>
      <c r="T159" s="53"/>
      <c r="U159" s="707"/>
      <c r="V159" s="53"/>
      <c r="W159" s="53"/>
      <c r="X159" s="53"/>
      <c r="Y159" s="53"/>
      <c r="Z159" s="53"/>
      <c r="AA159" s="56"/>
      <c r="AB159" s="54"/>
      <c r="AC159" s="54"/>
      <c r="AD159" s="54"/>
      <c r="AE159" s="54"/>
      <c r="AF159" s="132">
        <v>11</v>
      </c>
    </row>
    <row r="160" s="132" customFormat="1" ht="11.5" customHeight="1">
      <c r="A160" s="706"/>
      <c r="B160" s="57"/>
      <c r="C160" s="57"/>
      <c r="D160" s="132"/>
      <c r="K160" s="53"/>
      <c r="L160" s="57"/>
      <c r="M160" s="57"/>
      <c r="N160" s="53"/>
      <c r="O160" s="53"/>
      <c r="P160" s="53"/>
      <c r="Q160" s="53"/>
      <c r="R160" s="57"/>
      <c r="S160" s="53"/>
      <c r="T160" s="53"/>
      <c r="U160" s="707"/>
      <c r="V160" s="53"/>
      <c r="W160" s="53"/>
      <c r="X160" s="53"/>
      <c r="Y160" s="53"/>
      <c r="Z160" s="53"/>
      <c r="AA160" s="56"/>
      <c r="AB160" s="54"/>
      <c r="AC160" s="54"/>
      <c r="AD160" s="54"/>
      <c r="AE160" s="54"/>
      <c r="AF160" s="132">
        <v>11</v>
      </c>
    </row>
    <row r="161" s="132" customFormat="1" ht="11.5" customHeight="1">
      <c r="A161" s="706"/>
      <c r="B161" s="57"/>
      <c r="C161" s="57"/>
      <c r="D161" s="132"/>
      <c r="K161" s="53"/>
      <c r="L161" s="57"/>
      <c r="M161" s="57"/>
      <c r="N161" s="53"/>
      <c r="O161" s="53"/>
      <c r="P161" s="53"/>
      <c r="Q161" s="53"/>
      <c r="R161" s="57"/>
      <c r="S161" s="53"/>
      <c r="T161" s="53"/>
      <c r="U161" s="707"/>
      <c r="V161" s="53"/>
      <c r="W161" s="53"/>
      <c r="X161" s="53"/>
      <c r="Y161" s="53"/>
      <c r="Z161" s="53"/>
      <c r="AA161" s="56"/>
      <c r="AB161" s="54"/>
      <c r="AC161" s="54"/>
      <c r="AD161" s="54"/>
      <c r="AE161" s="54"/>
      <c r="AF161" s="132">
        <v>11</v>
      </c>
    </row>
    <row r="162" s="132" customFormat="1" ht="11.5" customHeight="1">
      <c r="A162" s="706"/>
      <c r="B162" s="57"/>
      <c r="C162" s="57"/>
      <c r="D162" s="132"/>
      <c r="K162" s="53"/>
      <c r="L162" s="57"/>
      <c r="M162" s="57"/>
      <c r="N162" s="53"/>
      <c r="O162" s="53"/>
      <c r="P162" s="53"/>
      <c r="Q162" s="53"/>
      <c r="R162" s="57"/>
      <c r="S162" s="53"/>
      <c r="T162" s="53"/>
      <c r="U162" s="707"/>
      <c r="V162" s="53"/>
      <c r="W162" s="53"/>
      <c r="X162" s="53"/>
      <c r="Y162" s="53"/>
      <c r="Z162" s="53"/>
      <c r="AA162" s="56"/>
      <c r="AB162" s="54"/>
      <c r="AC162" s="54"/>
      <c r="AD162" s="54"/>
      <c r="AE162" s="54"/>
      <c r="AF162" s="132">
        <v>11</v>
      </c>
    </row>
    <row r="163" s="132" customFormat="1" ht="11.5" customHeight="1">
      <c r="A163" s="706"/>
      <c r="B163" s="57"/>
      <c r="C163" s="57"/>
      <c r="D163" s="132"/>
      <c r="K163" s="53"/>
      <c r="L163" s="57"/>
      <c r="M163" s="57"/>
      <c r="N163" s="53"/>
      <c r="O163" s="53"/>
      <c r="P163" s="53"/>
      <c r="Q163" s="53"/>
      <c r="R163" s="57"/>
      <c r="S163" s="53"/>
      <c r="T163" s="53"/>
      <c r="U163" s="707"/>
      <c r="V163" s="53"/>
      <c r="W163" s="53"/>
      <c r="X163" s="53"/>
      <c r="Y163" s="53"/>
      <c r="Z163" s="53"/>
      <c r="AA163" s="56"/>
      <c r="AB163" s="54"/>
      <c r="AC163" s="54"/>
      <c r="AD163" s="54"/>
      <c r="AE163" s="54"/>
      <c r="AF163" s="132">
        <v>11</v>
      </c>
    </row>
    <row r="164" s="132" customFormat="1" ht="11.5" customHeight="1">
      <c r="A164" s="706"/>
      <c r="B164" s="57"/>
      <c r="C164" s="57"/>
      <c r="D164" s="132"/>
      <c r="K164" s="53"/>
      <c r="L164" s="57"/>
      <c r="M164" s="57"/>
      <c r="N164" s="53"/>
      <c r="O164" s="53"/>
      <c r="P164" s="53"/>
      <c r="Q164" s="53"/>
      <c r="R164" s="57"/>
      <c r="S164" s="53"/>
      <c r="T164" s="53"/>
      <c r="U164" s="707"/>
      <c r="V164" s="53"/>
      <c r="W164" s="53"/>
      <c r="X164" s="53"/>
      <c r="Y164" s="53"/>
      <c r="Z164" s="53"/>
      <c r="AA164" s="56"/>
      <c r="AB164" s="54"/>
      <c r="AC164" s="54"/>
      <c r="AD164" s="54"/>
      <c r="AE164" s="54"/>
      <c r="AF164" s="132">
        <v>11</v>
      </c>
    </row>
    <row r="165" s="132" customFormat="1" ht="11.5" customHeight="1">
      <c r="A165" s="706"/>
      <c r="B165" s="57"/>
      <c r="C165" s="57"/>
      <c r="D165" s="132"/>
      <c r="K165" s="53"/>
      <c r="L165" s="57"/>
      <c r="M165" s="57"/>
      <c r="N165" s="53"/>
      <c r="O165" s="53"/>
      <c r="P165" s="53"/>
      <c r="Q165" s="53"/>
      <c r="R165" s="57"/>
      <c r="S165" s="53"/>
      <c r="T165" s="53"/>
      <c r="U165" s="707"/>
      <c r="V165" s="53"/>
      <c r="W165" s="53"/>
      <c r="X165" s="53"/>
      <c r="Y165" s="53"/>
      <c r="Z165" s="53"/>
      <c r="AA165" s="56"/>
      <c r="AB165" s="54"/>
      <c r="AC165" s="54"/>
      <c r="AD165" s="54"/>
      <c r="AE165" s="54"/>
      <c r="AF165" s="132">
        <v>11</v>
      </c>
    </row>
    <row r="166" s="132" customFormat="1" ht="11.5" customHeight="1">
      <c r="A166" s="706"/>
      <c r="B166" s="57"/>
      <c r="C166" s="57"/>
      <c r="D166" s="132"/>
      <c r="K166" s="53"/>
      <c r="L166" s="57"/>
      <c r="M166" s="57"/>
      <c r="N166" s="53"/>
      <c r="O166" s="53"/>
      <c r="P166" s="53"/>
      <c r="Q166" s="53"/>
      <c r="R166" s="57"/>
      <c r="S166" s="53"/>
      <c r="T166" s="53"/>
      <c r="U166" s="707"/>
      <c r="V166" s="53"/>
      <c r="W166" s="53"/>
      <c r="X166" s="53"/>
      <c r="Y166" s="53"/>
      <c r="Z166" s="53"/>
      <c r="AA166" s="56"/>
      <c r="AB166" s="54"/>
      <c r="AC166" s="54"/>
      <c r="AD166" s="54"/>
      <c r="AE166" s="54"/>
      <c r="AF166" s="132">
        <v>11</v>
      </c>
    </row>
    <row r="167" s="132" customFormat="1" ht="11.5" customHeight="1">
      <c r="A167" s="706"/>
      <c r="B167" s="57"/>
      <c r="C167" s="57"/>
      <c r="D167" s="132"/>
      <c r="K167" s="53"/>
      <c r="L167" s="57"/>
      <c r="M167" s="57"/>
      <c r="N167" s="53"/>
      <c r="O167" s="53"/>
      <c r="P167" s="53"/>
      <c r="Q167" s="53"/>
      <c r="R167" s="57"/>
      <c r="S167" s="53"/>
      <c r="T167" s="53"/>
      <c r="U167" s="707"/>
      <c r="V167" s="53"/>
      <c r="W167" s="53"/>
      <c r="X167" s="53"/>
      <c r="Y167" s="53"/>
      <c r="Z167" s="53"/>
      <c r="AA167" s="56"/>
      <c r="AB167" s="54"/>
      <c r="AC167" s="54"/>
      <c r="AD167" s="54"/>
      <c r="AE167" s="54"/>
      <c r="AF167" s="132">
        <v>11</v>
      </c>
    </row>
    <row r="168" s="132" customFormat="1" ht="11.5" customHeight="1">
      <c r="A168" s="706"/>
      <c r="B168" s="57"/>
      <c r="C168" s="57"/>
      <c r="D168" s="132"/>
      <c r="K168" s="53"/>
      <c r="L168" s="57"/>
      <c r="M168" s="57"/>
      <c r="N168" s="53"/>
      <c r="O168" s="53"/>
      <c r="P168" s="53"/>
      <c r="Q168" s="53"/>
      <c r="R168" s="57"/>
      <c r="S168" s="53"/>
      <c r="T168" s="53"/>
      <c r="U168" s="707"/>
      <c r="V168" s="53"/>
      <c r="W168" s="53"/>
      <c r="X168" s="53"/>
      <c r="Y168" s="53"/>
      <c r="Z168" s="53"/>
      <c r="AA168" s="56"/>
      <c r="AB168" s="54"/>
      <c r="AC168" s="54"/>
      <c r="AD168" s="54"/>
      <c r="AE168" s="54"/>
      <c r="AF168" s="132">
        <v>11</v>
      </c>
    </row>
    <row r="169" s="132" customFormat="1" ht="11.5" customHeight="1">
      <c r="A169" s="706"/>
      <c r="B169" s="57"/>
      <c r="C169" s="57"/>
      <c r="D169" s="132"/>
      <c r="K169" s="53"/>
      <c r="L169" s="57"/>
      <c r="M169" s="57"/>
      <c r="N169" s="53"/>
      <c r="O169" s="53"/>
      <c r="P169" s="53"/>
      <c r="Q169" s="53"/>
      <c r="R169" s="57"/>
      <c r="S169" s="53"/>
      <c r="T169" s="53"/>
      <c r="U169" s="707"/>
      <c r="V169" s="53"/>
      <c r="W169" s="53"/>
      <c r="X169" s="53"/>
      <c r="Y169" s="53"/>
      <c r="Z169" s="53"/>
      <c r="AA169" s="56"/>
      <c r="AB169" s="54"/>
      <c r="AC169" s="54"/>
      <c r="AD169" s="54"/>
      <c r="AE169" s="54"/>
      <c r="AF169" s="132">
        <v>11</v>
      </c>
    </row>
    <row r="170" s="132" customFormat="1" ht="11.5" customHeight="1">
      <c r="A170" s="706"/>
      <c r="B170" s="57"/>
      <c r="C170" s="57"/>
      <c r="D170" s="132"/>
      <c r="K170" s="53"/>
      <c r="L170" s="57"/>
      <c r="M170" s="57"/>
      <c r="N170" s="53"/>
      <c r="O170" s="53"/>
      <c r="P170" s="53"/>
      <c r="Q170" s="53"/>
      <c r="R170" s="57"/>
      <c r="S170" s="53"/>
      <c r="T170" s="53"/>
      <c r="U170" s="707"/>
      <c r="V170" s="53"/>
      <c r="W170" s="53"/>
      <c r="X170" s="53"/>
      <c r="Y170" s="53"/>
      <c r="Z170" s="53"/>
      <c r="AA170" s="56"/>
      <c r="AB170" s="54"/>
      <c r="AC170" s="54"/>
      <c r="AD170" s="54"/>
      <c r="AE170" s="54"/>
      <c r="AF170" s="132">
        <v>11</v>
      </c>
    </row>
    <row r="171" s="132" customFormat="1" ht="11.5" customHeight="1">
      <c r="A171" s="706"/>
      <c r="B171" s="57"/>
      <c r="C171" s="57"/>
      <c r="D171" s="132"/>
      <c r="K171" s="53"/>
      <c r="L171" s="57"/>
      <c r="M171" s="57"/>
      <c r="N171" s="53"/>
      <c r="O171" s="53"/>
      <c r="P171" s="53"/>
      <c r="Q171" s="53"/>
      <c r="R171" s="57"/>
      <c r="S171" s="53"/>
      <c r="T171" s="53"/>
      <c r="U171" s="707"/>
      <c r="V171" s="53"/>
      <c r="W171" s="53"/>
      <c r="X171" s="53"/>
      <c r="Y171" s="53"/>
      <c r="Z171" s="53"/>
      <c r="AA171" s="56"/>
      <c r="AB171" s="54"/>
      <c r="AC171" s="54"/>
      <c r="AD171" s="54"/>
      <c r="AE171" s="54"/>
      <c r="AF171" s="132">
        <v>11</v>
      </c>
    </row>
    <row r="172" s="132" customFormat="1" ht="11.5" customHeight="1">
      <c r="A172" s="706"/>
      <c r="B172" s="57"/>
      <c r="C172" s="57"/>
      <c r="D172" s="132"/>
      <c r="K172" s="53"/>
      <c r="L172" s="57"/>
      <c r="M172" s="57"/>
      <c r="N172" s="53"/>
      <c r="O172" s="53"/>
      <c r="P172" s="53"/>
      <c r="Q172" s="53"/>
      <c r="R172" s="57"/>
      <c r="S172" s="53"/>
      <c r="T172" s="53"/>
      <c r="U172" s="707"/>
      <c r="V172" s="53"/>
      <c r="W172" s="53"/>
      <c r="X172" s="53"/>
      <c r="Y172" s="53"/>
      <c r="Z172" s="53"/>
      <c r="AA172" s="56"/>
      <c r="AB172" s="54"/>
      <c r="AC172" s="54"/>
      <c r="AD172" s="54"/>
      <c r="AE172" s="54"/>
      <c r="AF172" s="132">
        <v>11</v>
      </c>
    </row>
    <row r="173" s="132" customFormat="1" ht="11.5" customHeight="1">
      <c r="A173" s="706"/>
      <c r="B173" s="57"/>
      <c r="C173" s="57"/>
      <c r="D173" s="132"/>
      <c r="K173" s="53"/>
      <c r="L173" s="57"/>
      <c r="M173" s="57"/>
      <c r="N173" s="53"/>
      <c r="O173" s="53"/>
      <c r="P173" s="53"/>
      <c r="Q173" s="53"/>
      <c r="R173" s="57"/>
      <c r="S173" s="53"/>
      <c r="T173" s="53"/>
      <c r="U173" s="707"/>
      <c r="V173" s="53"/>
      <c r="W173" s="53"/>
      <c r="X173" s="53"/>
      <c r="Y173" s="53"/>
      <c r="Z173" s="53"/>
      <c r="AA173" s="56"/>
      <c r="AB173" s="54"/>
      <c r="AC173" s="54"/>
      <c r="AD173" s="54"/>
      <c r="AE173" s="54"/>
      <c r="AF173" s="132">
        <v>11</v>
      </c>
    </row>
    <row r="174" s="132" customFormat="1" ht="11.5" customHeight="1">
      <c r="A174" s="706"/>
      <c r="B174" s="57"/>
      <c r="C174" s="57"/>
      <c r="D174" s="132"/>
      <c r="K174" s="53"/>
      <c r="L174" s="57"/>
      <c r="M174" s="57"/>
      <c r="N174" s="53"/>
      <c r="O174" s="53"/>
      <c r="P174" s="53"/>
      <c r="Q174" s="53"/>
      <c r="R174" s="57"/>
      <c r="S174" s="53"/>
      <c r="T174" s="53"/>
      <c r="U174" s="707"/>
      <c r="V174" s="53"/>
      <c r="W174" s="53"/>
      <c r="X174" s="53"/>
      <c r="Y174" s="53"/>
      <c r="Z174" s="53"/>
      <c r="AA174" s="56"/>
      <c r="AB174" s="54"/>
      <c r="AC174" s="54"/>
      <c r="AD174" s="54"/>
      <c r="AE174" s="54"/>
      <c r="AF174" s="132">
        <v>11</v>
      </c>
    </row>
    <row r="175" s="132" customFormat="1" ht="11.5" customHeight="1">
      <c r="A175" s="706"/>
      <c r="B175" s="57"/>
      <c r="C175" s="57"/>
      <c r="D175" s="132"/>
      <c r="K175" s="53"/>
      <c r="L175" s="57"/>
      <c r="M175" s="57"/>
      <c r="N175" s="53"/>
      <c r="O175" s="53"/>
      <c r="P175" s="53"/>
      <c r="Q175" s="53"/>
      <c r="R175" s="57"/>
      <c r="S175" s="53"/>
      <c r="T175" s="53"/>
      <c r="U175" s="707"/>
      <c r="V175" s="53"/>
      <c r="W175" s="53"/>
      <c r="X175" s="53"/>
      <c r="Y175" s="53"/>
      <c r="Z175" s="53"/>
      <c r="AA175" s="56"/>
      <c r="AB175" s="54"/>
      <c r="AC175" s="54"/>
      <c r="AD175" s="54"/>
      <c r="AE175" s="54"/>
      <c r="AF175" s="132">
        <v>11</v>
      </c>
    </row>
    <row r="176" s="132" customFormat="1" ht="11.5" customHeight="1">
      <c r="A176" s="706"/>
      <c r="B176" s="57"/>
      <c r="C176" s="57"/>
      <c r="D176" s="132"/>
      <c r="K176" s="53"/>
      <c r="L176" s="57"/>
      <c r="M176" s="57"/>
      <c r="N176" s="53"/>
      <c r="O176" s="53"/>
      <c r="P176" s="53"/>
      <c r="Q176" s="53"/>
      <c r="R176" s="57"/>
      <c r="S176" s="53"/>
      <c r="T176" s="53"/>
      <c r="U176" s="707"/>
      <c r="V176" s="53"/>
      <c r="W176" s="53"/>
      <c r="X176" s="53"/>
      <c r="Y176" s="53"/>
      <c r="Z176" s="53"/>
      <c r="AA176" s="56"/>
      <c r="AB176" s="54"/>
      <c r="AC176" s="54"/>
      <c r="AD176" s="54"/>
      <c r="AE176" s="54"/>
      <c r="AF176" s="132">
        <v>11</v>
      </c>
    </row>
    <row r="177" s="132" customFormat="1" ht="11.5" customHeight="1">
      <c r="A177" s="706"/>
      <c r="B177" s="57"/>
      <c r="C177" s="57"/>
      <c r="D177" s="132"/>
      <c r="K177" s="53"/>
      <c r="L177" s="57"/>
      <c r="M177" s="57"/>
      <c r="N177" s="53"/>
      <c r="O177" s="53"/>
      <c r="P177" s="53"/>
      <c r="Q177" s="53"/>
      <c r="R177" s="57"/>
      <c r="S177" s="53"/>
      <c r="T177" s="53"/>
      <c r="U177" s="707"/>
      <c r="V177" s="53"/>
      <c r="W177" s="53"/>
      <c r="X177" s="53"/>
      <c r="Y177" s="53"/>
      <c r="Z177" s="53"/>
      <c r="AA177" s="56"/>
      <c r="AB177" s="54"/>
      <c r="AC177" s="54"/>
      <c r="AD177" s="54"/>
      <c r="AE177" s="54"/>
      <c r="AF177" s="132">
        <v>11</v>
      </c>
    </row>
    <row r="178" s="132" customFormat="1" ht="11.5" customHeight="1">
      <c r="A178" s="706"/>
      <c r="B178" s="57"/>
      <c r="C178" s="57"/>
      <c r="D178" s="132"/>
      <c r="K178" s="53"/>
      <c r="L178" s="57"/>
      <c r="M178" s="57"/>
      <c r="N178" s="53"/>
      <c r="O178" s="53"/>
      <c r="P178" s="53"/>
      <c r="Q178" s="53"/>
      <c r="R178" s="57"/>
      <c r="S178" s="53"/>
      <c r="T178" s="53"/>
      <c r="U178" s="707"/>
      <c r="V178" s="53"/>
      <c r="W178" s="53"/>
      <c r="X178" s="53"/>
      <c r="Y178" s="53"/>
      <c r="Z178" s="53"/>
      <c r="AA178" s="56"/>
      <c r="AB178" s="54"/>
      <c r="AC178" s="54"/>
      <c r="AD178" s="54"/>
      <c r="AE178" s="54"/>
      <c r="AF178" s="132">
        <v>11</v>
      </c>
    </row>
    <row r="179" s="132" customFormat="1" ht="11.5" customHeight="1">
      <c r="A179" s="706"/>
      <c r="B179" s="57"/>
      <c r="C179" s="57"/>
      <c r="D179" s="132"/>
      <c r="K179" s="53"/>
      <c r="L179" s="57"/>
      <c r="M179" s="57"/>
      <c r="N179" s="53"/>
      <c r="O179" s="53"/>
      <c r="P179" s="53"/>
      <c r="Q179" s="53"/>
      <c r="R179" s="57"/>
      <c r="S179" s="53"/>
      <c r="T179" s="53"/>
      <c r="U179" s="707"/>
      <c r="V179" s="53"/>
      <c r="W179" s="53"/>
      <c r="X179" s="53"/>
      <c r="Y179" s="53"/>
      <c r="Z179" s="53"/>
      <c r="AA179" s="56"/>
      <c r="AB179" s="54"/>
      <c r="AC179" s="54"/>
      <c r="AD179" s="54"/>
      <c r="AE179" s="54"/>
      <c r="AF179" s="132">
        <v>11</v>
      </c>
    </row>
    <row r="180" s="132" customFormat="1" ht="11.5" customHeight="1">
      <c r="A180" s="706"/>
      <c r="B180" s="57"/>
      <c r="C180" s="57"/>
      <c r="D180" s="132"/>
      <c r="K180" s="53"/>
      <c r="L180" s="57"/>
      <c r="M180" s="57"/>
      <c r="N180" s="53"/>
      <c r="O180" s="53"/>
      <c r="P180" s="53"/>
      <c r="Q180" s="53"/>
      <c r="R180" s="57"/>
      <c r="S180" s="53"/>
      <c r="T180" s="53"/>
      <c r="U180" s="707"/>
      <c r="V180" s="53"/>
      <c r="W180" s="53"/>
      <c r="X180" s="53"/>
      <c r="Y180" s="53"/>
      <c r="Z180" s="53"/>
      <c r="AA180" s="56"/>
      <c r="AB180" s="54"/>
      <c r="AC180" s="54"/>
      <c r="AD180" s="54"/>
      <c r="AE180" s="54"/>
      <c r="AF180" s="132">
        <v>11</v>
      </c>
    </row>
    <row r="181" s="132" customFormat="1" ht="11.5" customHeight="1">
      <c r="A181" s="706"/>
      <c r="B181" s="57"/>
      <c r="C181" s="57"/>
      <c r="D181" s="132"/>
      <c r="K181" s="53"/>
      <c r="L181" s="57"/>
      <c r="M181" s="57"/>
      <c r="N181" s="53"/>
      <c r="O181" s="53"/>
      <c r="P181" s="53"/>
      <c r="Q181" s="53"/>
      <c r="R181" s="57"/>
      <c r="S181" s="53"/>
      <c r="T181" s="53"/>
      <c r="U181" s="707"/>
      <c r="V181" s="53"/>
      <c r="W181" s="53"/>
      <c r="X181" s="53"/>
      <c r="Y181" s="53"/>
      <c r="Z181" s="53"/>
      <c r="AA181" s="56"/>
      <c r="AB181" s="54"/>
      <c r="AC181" s="54"/>
      <c r="AD181" s="54"/>
      <c r="AE181" s="54"/>
      <c r="AF181" s="132">
        <v>11</v>
      </c>
    </row>
    <row r="182" s="132" customFormat="1" ht="11.5" customHeight="1">
      <c r="A182" s="706"/>
      <c r="B182" s="57"/>
      <c r="C182" s="57"/>
      <c r="D182" s="132"/>
      <c r="K182" s="53"/>
      <c r="L182" s="57"/>
      <c r="M182" s="57"/>
      <c r="N182" s="53"/>
      <c r="O182" s="53"/>
      <c r="P182" s="53"/>
      <c r="Q182" s="53"/>
      <c r="R182" s="57"/>
      <c r="S182" s="53"/>
      <c r="T182" s="53"/>
      <c r="U182" s="707"/>
      <c r="V182" s="53"/>
      <c r="W182" s="53"/>
      <c r="X182" s="53"/>
      <c r="Y182" s="53"/>
      <c r="Z182" s="53"/>
      <c r="AA182" s="56"/>
      <c r="AB182" s="54"/>
      <c r="AC182" s="54"/>
      <c r="AD182" s="54"/>
      <c r="AE182" s="54"/>
      <c r="AF182" s="132">
        <v>11</v>
      </c>
    </row>
    <row r="183" s="132" customFormat="1" ht="11.5" customHeight="1">
      <c r="A183" s="706"/>
      <c r="B183" s="57"/>
      <c r="C183" s="57"/>
      <c r="D183" s="132"/>
      <c r="K183" s="53"/>
      <c r="L183" s="57"/>
      <c r="M183" s="57"/>
      <c r="N183" s="53"/>
      <c r="O183" s="53"/>
      <c r="P183" s="53"/>
      <c r="Q183" s="53"/>
      <c r="R183" s="57"/>
      <c r="S183" s="53"/>
      <c r="T183" s="53"/>
      <c r="U183" s="707"/>
      <c r="V183" s="53"/>
      <c r="W183" s="53"/>
      <c r="X183" s="53"/>
      <c r="Y183" s="53"/>
      <c r="Z183" s="53"/>
      <c r="AA183" s="56"/>
      <c r="AB183" s="54"/>
      <c r="AC183" s="54"/>
      <c r="AD183" s="54"/>
      <c r="AE183" s="54"/>
      <c r="AF183" s="132">
        <v>11</v>
      </c>
    </row>
    <row r="184" s="132" customFormat="1" ht="11.5" customHeight="1">
      <c r="A184" s="706"/>
      <c r="B184" s="57"/>
      <c r="C184" s="57"/>
      <c r="D184" s="132"/>
      <c r="K184" s="53"/>
      <c r="L184" s="57"/>
      <c r="M184" s="57"/>
      <c r="N184" s="53"/>
      <c r="O184" s="53"/>
      <c r="P184" s="53"/>
      <c r="Q184" s="53"/>
      <c r="R184" s="57"/>
      <c r="S184" s="53"/>
      <c r="T184" s="53"/>
      <c r="U184" s="707"/>
      <c r="V184" s="53"/>
      <c r="W184" s="53"/>
      <c r="X184" s="53"/>
      <c r="Y184" s="53"/>
      <c r="Z184" s="53"/>
      <c r="AA184" s="56"/>
      <c r="AB184" s="54"/>
      <c r="AC184" s="54"/>
      <c r="AD184" s="54"/>
      <c r="AE184" s="54"/>
      <c r="AF184" s="132">
        <v>11</v>
      </c>
    </row>
    <row r="185" s="132" customFormat="1" ht="11.5" customHeight="1">
      <c r="A185" s="706"/>
      <c r="B185" s="57"/>
      <c r="C185" s="57"/>
      <c r="D185" s="132"/>
      <c r="K185" s="53"/>
      <c r="L185" s="57"/>
      <c r="M185" s="57"/>
      <c r="N185" s="53"/>
      <c r="O185" s="53"/>
      <c r="P185" s="53"/>
      <c r="Q185" s="53"/>
      <c r="R185" s="57"/>
      <c r="S185" s="53"/>
      <c r="T185" s="53"/>
      <c r="U185" s="707"/>
      <c r="V185" s="53"/>
      <c r="W185" s="53"/>
      <c r="X185" s="53"/>
      <c r="Y185" s="53"/>
      <c r="Z185" s="53"/>
      <c r="AA185" s="56"/>
      <c r="AB185" s="54"/>
      <c r="AC185" s="54"/>
      <c r="AD185" s="54"/>
      <c r="AE185" s="54"/>
      <c r="AF185" s="132">
        <v>11</v>
      </c>
    </row>
    <row r="186" s="132" customFormat="1" ht="11.5" customHeight="1">
      <c r="A186" s="706"/>
      <c r="B186" s="57"/>
      <c r="C186" s="57"/>
      <c r="D186" s="132"/>
      <c r="K186" s="53"/>
      <c r="L186" s="57"/>
      <c r="M186" s="57"/>
      <c r="N186" s="53"/>
      <c r="O186" s="53"/>
      <c r="P186" s="53"/>
      <c r="Q186" s="53"/>
      <c r="R186" s="57"/>
      <c r="S186" s="53"/>
      <c r="T186" s="53"/>
      <c r="U186" s="707"/>
      <c r="V186" s="53"/>
      <c r="W186" s="53"/>
      <c r="X186" s="53"/>
      <c r="Y186" s="53"/>
      <c r="Z186" s="53"/>
      <c r="AA186" s="56"/>
      <c r="AB186" s="54"/>
      <c r="AC186" s="54"/>
      <c r="AD186" s="54"/>
      <c r="AE186" s="54"/>
      <c r="AF186" s="132">
        <v>11</v>
      </c>
    </row>
    <row r="187" s="132" customFormat="1" ht="11.5" customHeight="1">
      <c r="A187" s="706"/>
      <c r="B187" s="57"/>
      <c r="C187" s="57"/>
      <c r="D187" s="132"/>
      <c r="K187" s="53"/>
      <c r="L187" s="57"/>
      <c r="M187" s="57"/>
      <c r="N187" s="53"/>
      <c r="O187" s="53"/>
      <c r="P187" s="53"/>
      <c r="Q187" s="53"/>
      <c r="R187" s="57"/>
      <c r="S187" s="53"/>
      <c r="T187" s="53"/>
      <c r="U187" s="707"/>
      <c r="V187" s="53"/>
      <c r="W187" s="53"/>
      <c r="X187" s="53"/>
      <c r="Y187" s="53"/>
      <c r="Z187" s="53"/>
      <c r="AA187" s="56"/>
      <c r="AB187" s="54"/>
      <c r="AC187" s="54"/>
      <c r="AD187" s="54"/>
      <c r="AE187" s="54"/>
      <c r="AF187" s="132">
        <v>11</v>
      </c>
    </row>
    <row r="188" s="132" customFormat="1" ht="11.5" customHeight="1">
      <c r="A188" s="706"/>
      <c r="B188" s="57"/>
      <c r="C188" s="57"/>
      <c r="D188" s="132"/>
      <c r="K188" s="53"/>
      <c r="L188" s="57"/>
      <c r="M188" s="57"/>
      <c r="N188" s="53"/>
      <c r="O188" s="53"/>
      <c r="P188" s="53"/>
      <c r="Q188" s="53"/>
      <c r="R188" s="57"/>
      <c r="S188" s="53"/>
      <c r="T188" s="53"/>
      <c r="U188" s="707"/>
      <c r="V188" s="53"/>
      <c r="W188" s="53"/>
      <c r="X188" s="53"/>
      <c r="Y188" s="53"/>
      <c r="Z188" s="53"/>
      <c r="AA188" s="56"/>
      <c r="AB188" s="54"/>
      <c r="AC188" s="54"/>
      <c r="AD188" s="54"/>
      <c r="AE188" s="54"/>
      <c r="AF188" s="132">
        <v>11</v>
      </c>
    </row>
    <row r="189" s="132" customFormat="1" ht="11.5" customHeight="1">
      <c r="A189" s="706"/>
      <c r="B189" s="57"/>
      <c r="C189" s="57"/>
      <c r="D189" s="132"/>
      <c r="K189" s="53"/>
      <c r="L189" s="57"/>
      <c r="M189" s="57"/>
      <c r="N189" s="53"/>
      <c r="O189" s="53"/>
      <c r="P189" s="53"/>
      <c r="Q189" s="53"/>
      <c r="R189" s="57"/>
      <c r="S189" s="53"/>
      <c r="T189" s="53"/>
      <c r="U189" s="707"/>
      <c r="V189" s="53"/>
      <c r="W189" s="53"/>
      <c r="X189" s="53"/>
      <c r="Y189" s="53"/>
      <c r="Z189" s="53"/>
      <c r="AA189" s="56"/>
      <c r="AB189" s="54"/>
      <c r="AC189" s="54"/>
      <c r="AD189" s="54"/>
      <c r="AE189" s="54"/>
      <c r="AF189" s="132">
        <v>11</v>
      </c>
    </row>
    <row r="190" s="132" customFormat="1" ht="11.5" customHeight="1">
      <c r="A190" s="706"/>
      <c r="B190" s="57"/>
      <c r="C190" s="57"/>
      <c r="D190" s="132"/>
      <c r="K190" s="53"/>
      <c r="L190" s="57"/>
      <c r="M190" s="57"/>
      <c r="N190" s="53"/>
      <c r="O190" s="53"/>
      <c r="P190" s="53"/>
      <c r="Q190" s="53"/>
      <c r="R190" s="57"/>
      <c r="S190" s="53"/>
      <c r="T190" s="53"/>
      <c r="U190" s="707"/>
      <c r="V190" s="53"/>
      <c r="W190" s="53"/>
      <c r="X190" s="53"/>
      <c r="Y190" s="53"/>
      <c r="Z190" s="53"/>
      <c r="AA190" s="56"/>
      <c r="AB190" s="54"/>
      <c r="AC190" s="54"/>
      <c r="AD190" s="54"/>
      <c r="AE190" s="54"/>
      <c r="AF190" s="132">
        <v>11</v>
      </c>
    </row>
    <row r="191" s="132" customFormat="1" ht="11.5" customHeight="1">
      <c r="A191" s="706"/>
      <c r="B191" s="57"/>
      <c r="C191" s="57"/>
      <c r="D191" s="132"/>
      <c r="K191" s="53"/>
      <c r="L191" s="57"/>
      <c r="M191" s="57"/>
      <c r="N191" s="53"/>
      <c r="O191" s="53"/>
      <c r="P191" s="53"/>
      <c r="Q191" s="53"/>
      <c r="R191" s="57"/>
      <c r="S191" s="53"/>
      <c r="T191" s="53"/>
      <c r="U191" s="707"/>
      <c r="V191" s="53"/>
      <c r="W191" s="53"/>
      <c r="X191" s="53"/>
      <c r="Y191" s="53"/>
      <c r="Z191" s="53"/>
      <c r="AA191" s="56"/>
      <c r="AB191" s="54"/>
      <c r="AC191" s="54"/>
      <c r="AD191" s="54"/>
      <c r="AE191" s="54"/>
      <c r="AF191" s="132">
        <v>11</v>
      </c>
    </row>
    <row r="192" s="132" customFormat="1" ht="11.5" customHeight="1">
      <c r="A192" s="706"/>
      <c r="B192" s="57"/>
      <c r="C192" s="57"/>
      <c r="D192" s="132"/>
      <c r="K192" s="53"/>
      <c r="L192" s="57"/>
      <c r="M192" s="57"/>
      <c r="N192" s="53"/>
      <c r="O192" s="53"/>
      <c r="P192" s="53"/>
      <c r="Q192" s="53"/>
      <c r="R192" s="57"/>
      <c r="S192" s="53"/>
      <c r="T192" s="53"/>
      <c r="U192" s="707"/>
      <c r="V192" s="53"/>
      <c r="W192" s="53"/>
      <c r="X192" s="53"/>
      <c r="Y192" s="53"/>
      <c r="Z192" s="53"/>
      <c r="AA192" s="56"/>
      <c r="AB192" s="54"/>
      <c r="AC192" s="54"/>
      <c r="AD192" s="54"/>
      <c r="AE192" s="54"/>
      <c r="AF192" s="132">
        <v>11</v>
      </c>
    </row>
    <row r="193" s="132" customFormat="1" ht="11.5" customHeight="1">
      <c r="A193" s="706"/>
      <c r="B193" s="57"/>
      <c r="C193" s="57"/>
      <c r="D193" s="132"/>
      <c r="K193" s="53"/>
      <c r="L193" s="57"/>
      <c r="M193" s="57"/>
      <c r="N193" s="53"/>
      <c r="O193" s="53"/>
      <c r="P193" s="53"/>
      <c r="Q193" s="53"/>
      <c r="R193" s="57"/>
      <c r="S193" s="53"/>
      <c r="T193" s="53"/>
      <c r="U193" s="707"/>
      <c r="V193" s="53"/>
      <c r="W193" s="53"/>
      <c r="X193" s="53"/>
      <c r="Y193" s="53"/>
      <c r="Z193" s="53"/>
      <c r="AA193" s="56"/>
      <c r="AB193" s="54"/>
      <c r="AC193" s="54"/>
      <c r="AD193" s="54"/>
      <c r="AE193" s="54"/>
      <c r="AF193" s="132">
        <v>11</v>
      </c>
    </row>
    <row r="194" s="132" customFormat="1" ht="11.5" customHeight="1">
      <c r="A194" s="706"/>
      <c r="B194" s="57"/>
      <c r="C194" s="57"/>
      <c r="D194" s="132"/>
      <c r="K194" s="53"/>
      <c r="L194" s="57"/>
      <c r="M194" s="57"/>
      <c r="N194" s="53"/>
      <c r="O194" s="53"/>
      <c r="P194" s="53"/>
      <c r="Q194" s="53"/>
      <c r="R194" s="57"/>
      <c r="S194" s="53"/>
      <c r="T194" s="53"/>
      <c r="U194" s="707"/>
      <c r="V194" s="53"/>
      <c r="W194" s="53"/>
      <c r="X194" s="53"/>
      <c r="Y194" s="53"/>
      <c r="Z194" s="53"/>
      <c r="AA194" s="56"/>
      <c r="AB194" s="54"/>
      <c r="AC194" s="54"/>
      <c r="AD194" s="54"/>
      <c r="AE194" s="54"/>
      <c r="AF194" s="132">
        <v>11</v>
      </c>
    </row>
    <row r="195" s="132" customFormat="1" ht="11.5" customHeight="1">
      <c r="A195" s="706"/>
      <c r="B195" s="57"/>
      <c r="C195" s="57"/>
      <c r="D195" s="132"/>
      <c r="K195" s="53"/>
      <c r="L195" s="57"/>
      <c r="M195" s="57"/>
      <c r="N195" s="53"/>
      <c r="O195" s="53"/>
      <c r="P195" s="53"/>
      <c r="Q195" s="53"/>
      <c r="R195" s="57"/>
      <c r="S195" s="53"/>
      <c r="T195" s="53"/>
      <c r="U195" s="707"/>
      <c r="V195" s="53"/>
      <c r="W195" s="53"/>
      <c r="X195" s="53"/>
      <c r="Y195" s="53"/>
      <c r="Z195" s="53"/>
      <c r="AA195" s="56"/>
      <c r="AB195" s="54"/>
      <c r="AC195" s="54"/>
      <c r="AD195" s="54"/>
      <c r="AE195" s="54"/>
      <c r="AF195" s="132">
        <v>11</v>
      </c>
    </row>
    <row r="196" s="132" customFormat="1" ht="11.5" customHeight="1">
      <c r="A196" s="706"/>
      <c r="B196" s="57"/>
      <c r="C196" s="57"/>
      <c r="D196" s="132"/>
      <c r="K196" s="53"/>
      <c r="L196" s="57"/>
      <c r="M196" s="57"/>
      <c r="N196" s="53"/>
      <c r="O196" s="53"/>
      <c r="P196" s="53"/>
      <c r="Q196" s="53"/>
      <c r="R196" s="57"/>
      <c r="S196" s="53"/>
      <c r="T196" s="53"/>
      <c r="U196" s="707"/>
      <c r="V196" s="53"/>
      <c r="W196" s="53"/>
      <c r="X196" s="53"/>
      <c r="Y196" s="53"/>
      <c r="Z196" s="53"/>
      <c r="AA196" s="56"/>
      <c r="AB196" s="54"/>
      <c r="AC196" s="54"/>
      <c r="AD196" s="54"/>
      <c r="AE196" s="54"/>
      <c r="AF196" s="132">
        <v>11</v>
      </c>
    </row>
    <row r="197" s="132" customFormat="1" ht="11.5" customHeight="1">
      <c r="A197" s="706"/>
      <c r="B197" s="57"/>
      <c r="C197" s="57"/>
      <c r="D197" s="132"/>
      <c r="K197" s="53"/>
      <c r="L197" s="57"/>
      <c r="M197" s="57"/>
      <c r="N197" s="53"/>
      <c r="O197" s="53"/>
      <c r="P197" s="53"/>
      <c r="Q197" s="53"/>
      <c r="R197" s="57"/>
      <c r="S197" s="53"/>
      <c r="T197" s="53"/>
      <c r="U197" s="707"/>
      <c r="V197" s="53"/>
      <c r="W197" s="53"/>
      <c r="X197" s="53"/>
      <c r="Y197" s="53"/>
      <c r="Z197" s="53"/>
      <c r="AA197" s="56"/>
      <c r="AB197" s="54"/>
      <c r="AC197" s="54"/>
      <c r="AD197" s="54"/>
      <c r="AE197" s="54"/>
      <c r="AF197" s="132">
        <v>11</v>
      </c>
    </row>
    <row r="198" s="132" customFormat="1" ht="11.5" customHeight="1">
      <c r="A198" s="706"/>
      <c r="B198" s="57"/>
      <c r="C198" s="57"/>
      <c r="D198" s="132"/>
      <c r="K198" s="53"/>
      <c r="L198" s="57"/>
      <c r="M198" s="57"/>
      <c r="N198" s="53"/>
      <c r="O198" s="53"/>
      <c r="P198" s="53"/>
      <c r="Q198" s="53"/>
      <c r="R198" s="57"/>
      <c r="S198" s="53"/>
      <c r="T198" s="53"/>
      <c r="U198" s="707"/>
      <c r="V198" s="53"/>
      <c r="W198" s="53"/>
      <c r="X198" s="53"/>
      <c r="Y198" s="53"/>
      <c r="Z198" s="53"/>
      <c r="AA198" s="56"/>
      <c r="AB198" s="54"/>
      <c r="AC198" s="54"/>
      <c r="AD198" s="54"/>
      <c r="AE198" s="54"/>
      <c r="AF198" s="132">
        <v>11</v>
      </c>
    </row>
    <row r="199" s="132" customFormat="1" ht="11.5" customHeight="1">
      <c r="A199" s="706"/>
      <c r="B199" s="57"/>
      <c r="C199" s="57"/>
      <c r="D199" s="132"/>
      <c r="K199" s="53"/>
      <c r="L199" s="57"/>
      <c r="M199" s="57"/>
      <c r="N199" s="53"/>
      <c r="O199" s="53"/>
      <c r="P199" s="53"/>
      <c r="Q199" s="53"/>
      <c r="R199" s="57"/>
      <c r="S199" s="53"/>
      <c r="T199" s="53"/>
      <c r="U199" s="707"/>
      <c r="V199" s="53"/>
      <c r="W199" s="53"/>
      <c r="X199" s="53"/>
      <c r="Y199" s="53"/>
      <c r="Z199" s="53"/>
      <c r="AA199" s="56"/>
      <c r="AB199" s="54"/>
      <c r="AC199" s="54"/>
      <c r="AD199" s="54"/>
      <c r="AE199" s="54"/>
      <c r="AF199" s="132">
        <v>11</v>
      </c>
    </row>
    <row r="200" s="132" customFormat="1" ht="11.5" customHeight="1">
      <c r="A200" s="706"/>
      <c r="B200" s="57"/>
      <c r="C200" s="57"/>
      <c r="D200" s="132"/>
      <c r="K200" s="53"/>
      <c r="L200" s="57"/>
      <c r="M200" s="57"/>
      <c r="N200" s="53"/>
      <c r="O200" s="53"/>
      <c r="P200" s="53"/>
      <c r="Q200" s="53"/>
      <c r="R200" s="57"/>
      <c r="S200" s="53"/>
      <c r="T200" s="53"/>
      <c r="U200" s="707"/>
      <c r="V200" s="53"/>
      <c r="W200" s="53"/>
      <c r="X200" s="53"/>
      <c r="Y200" s="53"/>
      <c r="Z200" s="53"/>
      <c r="AA200" s="56"/>
      <c r="AB200" s="54"/>
      <c r="AC200" s="54"/>
      <c r="AD200" s="54"/>
      <c r="AE200" s="54"/>
      <c r="AF200" s="132">
        <v>11</v>
      </c>
    </row>
    <row r="201" s="132" customFormat="1" ht="11.5" customHeight="1">
      <c r="A201" s="706"/>
      <c r="B201" s="57"/>
      <c r="C201" s="57"/>
      <c r="D201" s="132"/>
      <c r="K201" s="53"/>
      <c r="L201" s="57"/>
      <c r="M201" s="57"/>
      <c r="N201" s="53"/>
      <c r="O201" s="53"/>
      <c r="P201" s="53"/>
      <c r="Q201" s="53"/>
      <c r="R201" s="57"/>
      <c r="S201" s="53"/>
      <c r="T201" s="53"/>
      <c r="U201" s="707"/>
      <c r="V201" s="53"/>
      <c r="W201" s="53"/>
      <c r="X201" s="53"/>
      <c r="Y201" s="53"/>
      <c r="Z201" s="53"/>
      <c r="AA201" s="56"/>
      <c r="AB201" s="54"/>
      <c r="AC201" s="54"/>
      <c r="AD201" s="54"/>
      <c r="AE201" s="54"/>
      <c r="AF201" s="132">
        <v>11</v>
      </c>
    </row>
    <row r="202" s="132" customFormat="1" ht="11.5" customHeight="1">
      <c r="A202" s="706"/>
      <c r="B202" s="57"/>
      <c r="C202" s="57"/>
      <c r="D202" s="132"/>
      <c r="K202" s="53"/>
      <c r="L202" s="57"/>
      <c r="M202" s="57"/>
      <c r="N202" s="53"/>
      <c r="O202" s="53"/>
      <c r="P202" s="53"/>
      <c r="Q202" s="53"/>
      <c r="R202" s="57"/>
      <c r="S202" s="53"/>
      <c r="T202" s="53"/>
      <c r="U202" s="707"/>
      <c r="V202" s="53"/>
      <c r="W202" s="53"/>
      <c r="X202" s="53"/>
      <c r="Y202" s="53"/>
      <c r="Z202" s="53"/>
      <c r="AA202" s="56"/>
      <c r="AB202" s="54"/>
      <c r="AC202" s="54"/>
      <c r="AD202" s="54"/>
      <c r="AE202" s="54"/>
      <c r="AF202" s="132">
        <v>11</v>
      </c>
    </row>
    <row r="203" s="132" customFormat="1" ht="11.5" customHeight="1">
      <c r="A203" s="706"/>
      <c r="B203" s="57"/>
      <c r="C203" s="57"/>
      <c r="D203" s="132"/>
      <c r="K203" s="53"/>
      <c r="L203" s="57"/>
      <c r="M203" s="57"/>
      <c r="N203" s="53"/>
      <c r="O203" s="53"/>
      <c r="P203" s="53"/>
      <c r="Q203" s="53"/>
      <c r="R203" s="57"/>
      <c r="S203" s="53"/>
      <c r="T203" s="53"/>
      <c r="U203" s="707"/>
      <c r="V203" s="53"/>
      <c r="W203" s="53"/>
      <c r="X203" s="53"/>
      <c r="Y203" s="53"/>
      <c r="Z203" s="53"/>
      <c r="AA203" s="56"/>
      <c r="AB203" s="54"/>
      <c r="AC203" s="54"/>
      <c r="AD203" s="54"/>
      <c r="AE203" s="54"/>
      <c r="AF203" s="132">
        <v>11</v>
      </c>
    </row>
    <row r="204" s="132" customFormat="1" ht="11.5" customHeight="1">
      <c r="A204" s="706"/>
      <c r="B204" s="57"/>
      <c r="C204" s="57"/>
      <c r="D204" s="132"/>
      <c r="K204" s="53"/>
      <c r="L204" s="57"/>
      <c r="M204" s="57"/>
      <c r="N204" s="53"/>
      <c r="O204" s="53"/>
      <c r="P204" s="53"/>
      <c r="Q204" s="53"/>
      <c r="R204" s="57"/>
      <c r="S204" s="53"/>
      <c r="T204" s="53"/>
      <c r="U204" s="707"/>
      <c r="V204" s="53"/>
      <c r="W204" s="53"/>
      <c r="X204" s="53"/>
      <c r="Y204" s="53"/>
      <c r="Z204" s="53"/>
      <c r="AA204" s="56"/>
      <c r="AB204" s="54"/>
      <c r="AC204" s="54"/>
      <c r="AD204" s="54"/>
      <c r="AE204" s="54"/>
      <c r="AF204" s="132">
        <v>11</v>
      </c>
    </row>
    <row r="205" s="132" customFormat="1" ht="11.5" customHeight="1">
      <c r="A205" s="706"/>
      <c r="B205" s="57"/>
      <c r="C205" s="57"/>
      <c r="D205" s="132"/>
      <c r="K205" s="53"/>
      <c r="L205" s="57"/>
      <c r="M205" s="57"/>
      <c r="N205" s="53"/>
      <c r="O205" s="53"/>
      <c r="P205" s="53"/>
      <c r="Q205" s="53"/>
      <c r="R205" s="57"/>
      <c r="S205" s="53"/>
      <c r="T205" s="53"/>
      <c r="U205" s="707"/>
      <c r="V205" s="53"/>
      <c r="W205" s="53"/>
      <c r="X205" s="53"/>
      <c r="Y205" s="53"/>
      <c r="Z205" s="53"/>
      <c r="AA205" s="56"/>
      <c r="AB205" s="54"/>
      <c r="AC205" s="54"/>
      <c r="AD205" s="54"/>
      <c r="AE205" s="54"/>
      <c r="AF205" s="132">
        <v>11</v>
      </c>
    </row>
    <row r="206" s="132" customFormat="1" ht="11.5" customHeight="1">
      <c r="A206" s="706"/>
      <c r="B206" s="57"/>
      <c r="C206" s="57"/>
      <c r="D206" s="132"/>
      <c r="K206" s="53"/>
      <c r="L206" s="57"/>
      <c r="M206" s="57"/>
      <c r="N206" s="53"/>
      <c r="O206" s="53"/>
      <c r="P206" s="53"/>
      <c r="Q206" s="53"/>
      <c r="R206" s="57"/>
      <c r="S206" s="53"/>
      <c r="T206" s="53"/>
      <c r="U206" s="707"/>
      <c r="V206" s="53"/>
      <c r="W206" s="53"/>
      <c r="X206" s="53"/>
      <c r="Y206" s="53"/>
      <c r="Z206" s="53"/>
      <c r="AA206" s="56"/>
      <c r="AB206" s="54"/>
      <c r="AC206" s="54"/>
      <c r="AD206" s="54"/>
      <c r="AE206" s="54"/>
      <c r="AF206" s="132">
        <v>11</v>
      </c>
    </row>
    <row r="207" s="132" customFormat="1" ht="11.5" customHeight="1">
      <c r="A207" s="706"/>
      <c r="B207" s="57"/>
      <c r="C207" s="57"/>
      <c r="D207" s="132"/>
      <c r="K207" s="53"/>
      <c r="L207" s="57"/>
      <c r="M207" s="57"/>
      <c r="N207" s="53"/>
      <c r="O207" s="53"/>
      <c r="P207" s="53"/>
      <c r="Q207" s="53"/>
      <c r="R207" s="57"/>
      <c r="S207" s="53"/>
      <c r="T207" s="53"/>
      <c r="U207" s="707"/>
      <c r="V207" s="53"/>
      <c r="W207" s="53"/>
      <c r="X207" s="53"/>
      <c r="Y207" s="53"/>
      <c r="Z207" s="53"/>
      <c r="AA207" s="56"/>
      <c r="AB207" s="54"/>
      <c r="AC207" s="54"/>
      <c r="AD207" s="54"/>
      <c r="AE207" s="54"/>
      <c r="AF207" s="132">
        <v>11</v>
      </c>
    </row>
    <row r="208" s="132" customFormat="1" ht="11.5" customHeight="1">
      <c r="A208" s="706"/>
      <c r="B208" s="57"/>
      <c r="C208" s="57"/>
      <c r="D208" s="132"/>
      <c r="K208" s="53"/>
      <c r="L208" s="57"/>
      <c r="M208" s="57"/>
      <c r="N208" s="53"/>
      <c r="O208" s="53"/>
      <c r="P208" s="53"/>
      <c r="Q208" s="53"/>
      <c r="R208" s="57"/>
      <c r="S208" s="53"/>
      <c r="T208" s="53"/>
      <c r="U208" s="707"/>
      <c r="V208" s="53"/>
      <c r="W208" s="53"/>
      <c r="X208" s="53"/>
      <c r="Y208" s="53"/>
      <c r="Z208" s="53"/>
      <c r="AA208" s="56"/>
      <c r="AB208" s="54"/>
      <c r="AC208" s="54"/>
      <c r="AD208" s="54"/>
      <c r="AE208" s="54"/>
      <c r="AF208" s="132">
        <v>11</v>
      </c>
    </row>
    <row r="209" s="132" customFormat="1" ht="11.5" customHeight="1">
      <c r="A209" s="706"/>
      <c r="B209" s="57"/>
      <c r="C209" s="57"/>
      <c r="D209" s="132"/>
      <c r="K209" s="53"/>
      <c r="L209" s="57"/>
      <c r="M209" s="57"/>
      <c r="N209" s="53"/>
      <c r="O209" s="53"/>
      <c r="P209" s="53"/>
      <c r="Q209" s="53"/>
      <c r="R209" s="57"/>
      <c r="S209" s="53"/>
      <c r="T209" s="53"/>
      <c r="U209" s="707"/>
      <c r="V209" s="53"/>
      <c r="W209" s="53"/>
      <c r="X209" s="53"/>
      <c r="Y209" s="53"/>
      <c r="Z209" s="53"/>
      <c r="AA209" s="56"/>
      <c r="AB209" s="54"/>
      <c r="AC209" s="54"/>
      <c r="AD209" s="54"/>
      <c r="AE209" s="54"/>
      <c r="AF209" s="132">
        <v>11</v>
      </c>
    </row>
    <row r="210" s="132" customFormat="1" ht="11.5" customHeight="1">
      <c r="A210" s="706"/>
      <c r="B210" s="57"/>
      <c r="C210" s="57"/>
      <c r="D210" s="132"/>
      <c r="K210" s="53"/>
      <c r="L210" s="57"/>
      <c r="M210" s="57"/>
      <c r="N210" s="53"/>
      <c r="O210" s="53"/>
      <c r="P210" s="53"/>
      <c r="Q210" s="53"/>
      <c r="R210" s="57"/>
      <c r="S210" s="53"/>
      <c r="T210" s="53"/>
      <c r="U210" s="707"/>
      <c r="V210" s="53"/>
      <c r="W210" s="53"/>
      <c r="X210" s="53"/>
      <c r="Y210" s="53"/>
      <c r="Z210" s="53"/>
      <c r="AA210" s="56"/>
      <c r="AB210" s="54"/>
      <c r="AC210" s="54"/>
      <c r="AD210" s="54"/>
      <c r="AE210" s="54"/>
      <c r="AF210" s="132">
        <v>11</v>
      </c>
    </row>
    <row r="211" s="132" customFormat="1" ht="11.5" customHeight="1">
      <c r="A211" s="706"/>
      <c r="B211" s="57"/>
      <c r="C211" s="57"/>
      <c r="D211" s="132"/>
      <c r="K211" s="53"/>
      <c r="L211" s="57"/>
      <c r="M211" s="57"/>
      <c r="N211" s="53"/>
      <c r="O211" s="53"/>
      <c r="P211" s="53"/>
      <c r="Q211" s="53"/>
      <c r="R211" s="57"/>
      <c r="S211" s="53"/>
      <c r="T211" s="53"/>
      <c r="U211" s="707"/>
      <c r="V211" s="53"/>
      <c r="W211" s="53"/>
      <c r="X211" s="53"/>
      <c r="Y211" s="53"/>
      <c r="Z211" s="53"/>
      <c r="AA211" s="56"/>
      <c r="AB211" s="54"/>
      <c r="AC211" s="54"/>
      <c r="AD211" s="54"/>
      <c r="AE211" s="54"/>
      <c r="AF211" s="132">
        <v>11</v>
      </c>
    </row>
    <row r="212" s="132" customFormat="1" ht="11.5" customHeight="1">
      <c r="A212" s="706"/>
      <c r="B212" s="57"/>
      <c r="C212" s="57"/>
      <c r="D212" s="132"/>
      <c r="K212" s="53"/>
      <c r="L212" s="57"/>
      <c r="M212" s="57"/>
      <c r="N212" s="53"/>
      <c r="O212" s="53"/>
      <c r="P212" s="53"/>
      <c r="Q212" s="53"/>
      <c r="R212" s="57"/>
      <c r="S212" s="53"/>
      <c r="T212" s="53"/>
      <c r="U212" s="707"/>
      <c r="V212" s="53"/>
      <c r="W212" s="53"/>
      <c r="X212" s="53"/>
      <c r="Y212" s="53"/>
      <c r="Z212" s="53"/>
      <c r="AA212" s="56"/>
      <c r="AB212" s="54"/>
      <c r="AC212" s="54"/>
      <c r="AD212" s="54"/>
      <c r="AE212" s="54"/>
      <c r="AF212" s="132">
        <v>11</v>
      </c>
    </row>
    <row r="213" s="132" customFormat="1" ht="11.5" customHeight="1">
      <c r="A213" s="706"/>
      <c r="B213" s="57"/>
      <c r="C213" s="57"/>
      <c r="D213" s="132"/>
      <c r="K213" s="53"/>
      <c r="L213" s="57"/>
      <c r="M213" s="57"/>
      <c r="N213" s="53"/>
      <c r="O213" s="53"/>
      <c r="P213" s="53"/>
      <c r="Q213" s="53"/>
      <c r="R213" s="57"/>
      <c r="S213" s="53"/>
      <c r="T213" s="53"/>
      <c r="U213" s="707"/>
      <c r="V213" s="53"/>
      <c r="W213" s="53"/>
      <c r="X213" s="53"/>
      <c r="Y213" s="53"/>
      <c r="Z213" s="53"/>
      <c r="AA213" s="56"/>
      <c r="AB213" s="54"/>
      <c r="AC213" s="54"/>
      <c r="AD213" s="54"/>
      <c r="AE213" s="54"/>
      <c r="AF213" s="132">
        <v>11</v>
      </c>
    </row>
    <row r="214" s="132" customFormat="1" ht="11.5" customHeight="1">
      <c r="A214" s="706"/>
      <c r="B214" s="57"/>
      <c r="C214" s="57"/>
      <c r="D214" s="132"/>
      <c r="K214" s="53"/>
      <c r="L214" s="57"/>
      <c r="M214" s="57"/>
      <c r="N214" s="53"/>
      <c r="O214" s="53"/>
      <c r="P214" s="53"/>
      <c r="Q214" s="53"/>
      <c r="R214" s="57"/>
      <c r="S214" s="53"/>
      <c r="T214" s="53"/>
      <c r="U214" s="707"/>
      <c r="V214" s="53"/>
      <c r="W214" s="53"/>
      <c r="X214" s="53"/>
      <c r="Y214" s="53"/>
      <c r="Z214" s="53"/>
      <c r="AA214" s="56"/>
      <c r="AB214" s="54"/>
      <c r="AC214" s="54"/>
      <c r="AD214" s="54"/>
      <c r="AE214" s="54"/>
      <c r="AF214" s="132">
        <v>11</v>
      </c>
    </row>
    <row r="215" s="132" customFormat="1" ht="11.5" customHeight="1">
      <c r="A215" s="706"/>
      <c r="B215" s="57"/>
      <c r="C215" s="57"/>
      <c r="D215" s="132"/>
      <c r="K215" s="53"/>
      <c r="L215" s="57"/>
      <c r="M215" s="57"/>
      <c r="N215" s="53"/>
      <c r="O215" s="53"/>
      <c r="P215" s="53"/>
      <c r="Q215" s="53"/>
      <c r="R215" s="57"/>
      <c r="S215" s="53"/>
      <c r="T215" s="53"/>
      <c r="U215" s="707"/>
      <c r="V215" s="53"/>
      <c r="W215" s="53"/>
      <c r="X215" s="53"/>
      <c r="Y215" s="53"/>
      <c r="Z215" s="53"/>
      <c r="AA215" s="56"/>
      <c r="AB215" s="54"/>
      <c r="AC215" s="54"/>
      <c r="AD215" s="54"/>
      <c r="AE215" s="54"/>
      <c r="AF215" s="132">
        <v>11</v>
      </c>
    </row>
    <row r="216" s="132" customFormat="1" ht="11.5" customHeight="1">
      <c r="A216" s="706"/>
      <c r="B216" s="57"/>
      <c r="C216" s="57"/>
      <c r="D216" s="132"/>
      <c r="K216" s="53"/>
      <c r="L216" s="57"/>
      <c r="M216" s="57"/>
      <c r="N216" s="53"/>
      <c r="O216" s="53"/>
      <c r="P216" s="53"/>
      <c r="Q216" s="53"/>
      <c r="R216" s="57"/>
      <c r="S216" s="53"/>
      <c r="T216" s="53"/>
      <c r="U216" s="707"/>
      <c r="V216" s="53"/>
      <c r="W216" s="53"/>
      <c r="X216" s="53"/>
      <c r="Y216" s="53"/>
      <c r="Z216" s="53"/>
      <c r="AA216" s="56"/>
      <c r="AB216" s="54"/>
      <c r="AC216" s="54"/>
      <c r="AD216" s="54"/>
      <c r="AE216" s="54"/>
      <c r="AF216" s="132">
        <v>11</v>
      </c>
    </row>
    <row r="217" s="132" customFormat="1" ht="11.5" customHeight="1">
      <c r="A217" s="706"/>
      <c r="B217" s="57"/>
      <c r="C217" s="57"/>
      <c r="D217" s="132"/>
      <c r="K217" s="53"/>
      <c r="L217" s="57"/>
      <c r="M217" s="57"/>
      <c r="N217" s="53"/>
      <c r="O217" s="53"/>
      <c r="P217" s="53"/>
      <c r="Q217" s="53"/>
      <c r="R217" s="57"/>
      <c r="S217" s="53"/>
      <c r="T217" s="53"/>
      <c r="U217" s="707"/>
      <c r="V217" s="53"/>
      <c r="W217" s="53"/>
      <c r="X217" s="53"/>
      <c r="Y217" s="53"/>
      <c r="Z217" s="53"/>
      <c r="AA217" s="56"/>
      <c r="AB217" s="54"/>
      <c r="AC217" s="54"/>
      <c r="AD217" s="54"/>
      <c r="AE217" s="54"/>
      <c r="AF217" s="132">
        <v>11</v>
      </c>
    </row>
    <row r="218" s="132" customFormat="1" ht="11.5" customHeight="1">
      <c r="A218" s="706"/>
      <c r="B218" s="57"/>
      <c r="C218" s="57"/>
      <c r="D218" s="132"/>
      <c r="K218" s="53"/>
      <c r="L218" s="57"/>
      <c r="M218" s="57"/>
      <c r="N218" s="53"/>
      <c r="O218" s="53"/>
      <c r="P218" s="53"/>
      <c r="Q218" s="53"/>
      <c r="R218" s="57"/>
      <c r="S218" s="53"/>
      <c r="T218" s="53"/>
      <c r="U218" s="707"/>
      <c r="V218" s="53"/>
      <c r="W218" s="53"/>
      <c r="X218" s="53"/>
      <c r="Y218" s="53"/>
      <c r="Z218" s="53"/>
      <c r="AA218" s="56"/>
      <c r="AB218" s="54"/>
      <c r="AC218" s="54"/>
      <c r="AD218" s="54"/>
      <c r="AE218" s="54"/>
      <c r="AF218" s="132">
        <v>11</v>
      </c>
    </row>
    <row r="219" s="132" customFormat="1" ht="11.5" customHeight="1">
      <c r="A219" s="706"/>
      <c r="B219" s="57"/>
      <c r="C219" s="57"/>
      <c r="D219" s="132"/>
      <c r="K219" s="53"/>
      <c r="L219" s="57"/>
      <c r="M219" s="57"/>
      <c r="N219" s="53"/>
      <c r="O219" s="53"/>
      <c r="P219" s="53"/>
      <c r="Q219" s="53"/>
      <c r="R219" s="57"/>
      <c r="S219" s="53"/>
      <c r="T219" s="53"/>
      <c r="U219" s="707"/>
      <c r="V219" s="53"/>
      <c r="W219" s="53"/>
      <c r="X219" s="53"/>
      <c r="Y219" s="53"/>
      <c r="Z219" s="53"/>
      <c r="AA219" s="56"/>
      <c r="AB219" s="54"/>
      <c r="AC219" s="54"/>
      <c r="AD219" s="54"/>
      <c r="AE219" s="54"/>
      <c r="AF219" s="132">
        <v>11</v>
      </c>
    </row>
    <row r="220" s="132" customFormat="1" ht="11.5" customHeight="1">
      <c r="A220" s="706"/>
      <c r="B220" s="57"/>
      <c r="C220" s="57"/>
      <c r="D220" s="132"/>
      <c r="K220" s="53"/>
      <c r="L220" s="57"/>
      <c r="M220" s="57"/>
      <c r="N220" s="53"/>
      <c r="O220" s="53"/>
      <c r="P220" s="53"/>
      <c r="Q220" s="53"/>
      <c r="R220" s="57"/>
      <c r="S220" s="53"/>
      <c r="T220" s="53"/>
      <c r="U220" s="707"/>
      <c r="V220" s="53"/>
      <c r="W220" s="53"/>
      <c r="X220" s="53"/>
      <c r="Y220" s="53"/>
      <c r="Z220" s="53"/>
      <c r="AA220" s="56"/>
      <c r="AB220" s="54"/>
      <c r="AC220" s="54"/>
      <c r="AD220" s="54"/>
      <c r="AE220" s="54"/>
      <c r="AF220" s="132">
        <v>11</v>
      </c>
    </row>
    <row r="221" s="132" customFormat="1" ht="11.5" customHeight="1">
      <c r="A221" s="706"/>
      <c r="B221" s="57"/>
      <c r="C221" s="57"/>
      <c r="D221" s="132"/>
      <c r="K221" s="53"/>
      <c r="L221" s="57"/>
      <c r="M221" s="57"/>
      <c r="N221" s="53"/>
      <c r="O221" s="53"/>
      <c r="P221" s="53"/>
      <c r="Q221" s="53"/>
      <c r="R221" s="57"/>
      <c r="S221" s="53"/>
      <c r="T221" s="53"/>
      <c r="U221" s="707"/>
      <c r="V221" s="53"/>
      <c r="W221" s="53"/>
      <c r="X221" s="53"/>
      <c r="Y221" s="53"/>
      <c r="Z221" s="53"/>
      <c r="AA221" s="56"/>
      <c r="AB221" s="54"/>
      <c r="AC221" s="54"/>
      <c r="AD221" s="54"/>
      <c r="AE221" s="54"/>
      <c r="AF221" s="132">
        <v>11</v>
      </c>
    </row>
    <row r="222" s="132" customFormat="1" ht="11.5" customHeight="1">
      <c r="A222" s="706"/>
      <c r="B222" s="57"/>
      <c r="C222" s="57"/>
      <c r="D222" s="132"/>
      <c r="K222" s="53"/>
      <c r="L222" s="57"/>
      <c r="M222" s="57"/>
      <c r="N222" s="53"/>
      <c r="O222" s="53"/>
      <c r="P222" s="53"/>
      <c r="Q222" s="53"/>
      <c r="R222" s="57"/>
      <c r="S222" s="53"/>
      <c r="T222" s="53"/>
      <c r="U222" s="707"/>
      <c r="V222" s="53"/>
      <c r="W222" s="53"/>
      <c r="X222" s="53"/>
      <c r="Y222" s="53"/>
      <c r="Z222" s="53"/>
      <c r="AA222" s="56"/>
      <c r="AB222" s="54"/>
      <c r="AC222" s="54"/>
      <c r="AD222" s="54"/>
      <c r="AE222" s="54"/>
      <c r="AF222" s="132">
        <v>11</v>
      </c>
    </row>
    <row r="223" s="132" customFormat="1" ht="11.5" customHeight="1">
      <c r="A223" s="706"/>
      <c r="B223" s="57"/>
      <c r="C223" s="57"/>
      <c r="D223" s="132"/>
      <c r="K223" s="53"/>
      <c r="L223" s="57"/>
      <c r="M223" s="57"/>
      <c r="N223" s="53"/>
      <c r="O223" s="53"/>
      <c r="P223" s="53"/>
      <c r="Q223" s="53"/>
      <c r="R223" s="57"/>
      <c r="S223" s="53"/>
      <c r="T223" s="53"/>
      <c r="U223" s="707"/>
      <c r="V223" s="53"/>
      <c r="W223" s="53"/>
      <c r="X223" s="53"/>
      <c r="Y223" s="53"/>
      <c r="Z223" s="53"/>
      <c r="AA223" s="56"/>
      <c r="AB223" s="54"/>
      <c r="AC223" s="54"/>
      <c r="AD223" s="54"/>
      <c r="AE223" s="54"/>
      <c r="AF223" s="132">
        <v>11</v>
      </c>
    </row>
    <row r="224" s="132" customFormat="1" ht="11.5" customHeight="1">
      <c r="A224" s="706"/>
      <c r="B224" s="57"/>
      <c r="C224" s="57"/>
      <c r="D224" s="132"/>
      <c r="K224" s="53"/>
      <c r="L224" s="57"/>
      <c r="M224" s="57"/>
      <c r="N224" s="53"/>
      <c r="O224" s="53"/>
      <c r="P224" s="53"/>
      <c r="Q224" s="53"/>
      <c r="R224" s="57"/>
      <c r="S224" s="53"/>
      <c r="T224" s="53"/>
      <c r="U224" s="707"/>
      <c r="V224" s="53"/>
      <c r="W224" s="53"/>
      <c r="X224" s="53"/>
      <c r="Y224" s="53"/>
      <c r="Z224" s="53"/>
      <c r="AA224" s="56"/>
      <c r="AB224" s="54"/>
      <c r="AC224" s="54"/>
      <c r="AD224" s="54"/>
      <c r="AE224" s="54"/>
      <c r="AF224" s="132">
        <v>11</v>
      </c>
    </row>
    <row r="225" s="132" customFormat="1" ht="11.5" customHeight="1">
      <c r="A225" s="706"/>
      <c r="B225" s="57"/>
      <c r="C225" s="57"/>
      <c r="D225" s="132"/>
      <c r="K225" s="53"/>
      <c r="L225" s="57"/>
      <c r="M225" s="57"/>
      <c r="N225" s="53"/>
      <c r="O225" s="53"/>
      <c r="P225" s="53"/>
      <c r="Q225" s="53"/>
      <c r="R225" s="57"/>
      <c r="S225" s="53"/>
      <c r="T225" s="53"/>
      <c r="U225" s="707"/>
      <c r="V225" s="53"/>
      <c r="W225" s="53"/>
      <c r="X225" s="53"/>
      <c r="Y225" s="53"/>
      <c r="Z225" s="53"/>
      <c r="AA225" s="56"/>
      <c r="AB225" s="54"/>
      <c r="AC225" s="54"/>
      <c r="AD225" s="54"/>
      <c r="AE225" s="54"/>
      <c r="AF225" s="132">
        <v>11</v>
      </c>
    </row>
    <row r="226" s="132" customFormat="1" ht="11.5" customHeight="1">
      <c r="A226" s="706"/>
      <c r="B226" s="57"/>
      <c r="C226" s="57"/>
      <c r="D226" s="132"/>
      <c r="K226" s="53"/>
      <c r="L226" s="57"/>
      <c r="M226" s="57"/>
      <c r="N226" s="53"/>
      <c r="O226" s="53"/>
      <c r="P226" s="53"/>
      <c r="Q226" s="53"/>
      <c r="R226" s="57"/>
      <c r="S226" s="53"/>
      <c r="T226" s="53"/>
      <c r="U226" s="707"/>
      <c r="V226" s="53"/>
      <c r="W226" s="53"/>
      <c r="X226" s="53"/>
      <c r="Y226" s="53"/>
      <c r="Z226" s="53"/>
      <c r="AA226" s="56"/>
      <c r="AB226" s="54"/>
      <c r="AC226" s="54"/>
      <c r="AD226" s="54"/>
      <c r="AE226" s="54"/>
      <c r="AF226" s="132">
        <v>11</v>
      </c>
    </row>
    <row r="227" s="132" customFormat="1" ht="11.5" customHeight="1">
      <c r="A227" s="706"/>
      <c r="B227" s="57"/>
      <c r="C227" s="57"/>
      <c r="D227" s="132"/>
      <c r="K227" s="53"/>
      <c r="L227" s="57"/>
      <c r="M227" s="57"/>
      <c r="N227" s="53"/>
      <c r="O227" s="53"/>
      <c r="P227" s="53"/>
      <c r="Q227" s="53"/>
      <c r="R227" s="57"/>
      <c r="S227" s="53"/>
      <c r="T227" s="53"/>
      <c r="U227" s="707"/>
      <c r="V227" s="53"/>
      <c r="W227" s="53"/>
      <c r="X227" s="53"/>
      <c r="Y227" s="53"/>
      <c r="Z227" s="53"/>
      <c r="AA227" s="56"/>
      <c r="AB227" s="54"/>
      <c r="AC227" s="54"/>
      <c r="AD227" s="54"/>
      <c r="AE227" s="54"/>
      <c r="AF227" s="132">
        <v>11</v>
      </c>
    </row>
    <row r="228" s="132" customFormat="1" ht="11.5" customHeight="1">
      <c r="A228" s="706"/>
      <c r="B228" s="57"/>
      <c r="C228" s="57"/>
      <c r="D228" s="132"/>
      <c r="K228" s="53"/>
      <c r="L228" s="57"/>
      <c r="M228" s="57"/>
      <c r="N228" s="53"/>
      <c r="O228" s="53"/>
      <c r="P228" s="53"/>
      <c r="Q228" s="53"/>
      <c r="R228" s="57"/>
      <c r="S228" s="53"/>
      <c r="T228" s="53"/>
      <c r="U228" s="707"/>
      <c r="V228" s="53"/>
      <c r="W228" s="53"/>
      <c r="X228" s="53"/>
      <c r="Y228" s="53"/>
      <c r="Z228" s="53"/>
      <c r="AA228" s="56"/>
      <c r="AB228" s="54"/>
      <c r="AC228" s="54"/>
      <c r="AD228" s="54"/>
      <c r="AE228" s="54"/>
      <c r="AF228" s="132">
        <v>11</v>
      </c>
    </row>
    <row r="229" s="132" customFormat="1" ht="11.5" customHeight="1">
      <c r="A229" s="706"/>
      <c r="B229" s="57"/>
      <c r="C229" s="57"/>
      <c r="D229" s="132"/>
      <c r="K229" s="53"/>
      <c r="L229" s="57"/>
      <c r="M229" s="57"/>
      <c r="N229" s="53"/>
      <c r="O229" s="53"/>
      <c r="P229" s="53"/>
      <c r="Q229" s="53"/>
      <c r="R229" s="57"/>
      <c r="S229" s="53"/>
      <c r="T229" s="53"/>
      <c r="U229" s="707"/>
      <c r="V229" s="53"/>
      <c r="W229" s="53"/>
      <c r="X229" s="53"/>
      <c r="Y229" s="53"/>
      <c r="Z229" s="53"/>
      <c r="AA229" s="56"/>
      <c r="AB229" s="54"/>
      <c r="AC229" s="54"/>
      <c r="AD229" s="54"/>
      <c r="AE229" s="54"/>
      <c r="AF229" s="132">
        <v>11</v>
      </c>
    </row>
    <row r="230" s="132" customFormat="1" ht="11.5" customHeight="1">
      <c r="A230" s="706"/>
      <c r="B230" s="57"/>
      <c r="C230" s="57"/>
      <c r="D230" s="132"/>
      <c r="K230" s="53"/>
      <c r="L230" s="57"/>
      <c r="M230" s="57"/>
      <c r="N230" s="53"/>
      <c r="O230" s="53"/>
      <c r="P230" s="53"/>
      <c r="Q230" s="53"/>
      <c r="R230" s="57"/>
      <c r="S230" s="53"/>
      <c r="T230" s="53"/>
      <c r="U230" s="707"/>
      <c r="V230" s="53"/>
      <c r="W230" s="53"/>
      <c r="X230" s="53"/>
      <c r="Y230" s="53"/>
      <c r="Z230" s="53"/>
      <c r="AA230" s="56"/>
      <c r="AB230" s="54"/>
      <c r="AC230" s="54"/>
      <c r="AD230" s="54"/>
      <c r="AE230" s="54"/>
      <c r="AF230" s="132">
        <v>11</v>
      </c>
    </row>
    <row r="231" s="132" customFormat="1" ht="11.5" customHeight="1">
      <c r="A231" s="706"/>
      <c r="B231" s="57"/>
      <c r="C231" s="57"/>
      <c r="D231" s="132"/>
      <c r="K231" s="53"/>
      <c r="L231" s="57"/>
      <c r="M231" s="57"/>
      <c r="N231" s="53"/>
      <c r="O231" s="53"/>
      <c r="P231" s="53"/>
      <c r="Q231" s="53"/>
      <c r="R231" s="57"/>
      <c r="S231" s="53"/>
      <c r="T231" s="53"/>
      <c r="U231" s="707"/>
      <c r="V231" s="53"/>
      <c r="W231" s="53"/>
      <c r="X231" s="53"/>
      <c r="Y231" s="53"/>
      <c r="Z231" s="53"/>
      <c r="AA231" s="56"/>
      <c r="AB231" s="54"/>
      <c r="AC231" s="54"/>
      <c r="AD231" s="54"/>
      <c r="AE231" s="54"/>
      <c r="AF231" s="132">
        <v>11</v>
      </c>
    </row>
    <row r="232" s="132" customFormat="1" ht="11.5" customHeight="1">
      <c r="A232" s="706"/>
      <c r="B232" s="57"/>
      <c r="C232" s="57"/>
      <c r="D232" s="132"/>
      <c r="K232" s="53"/>
      <c r="L232" s="57"/>
      <c r="M232" s="57"/>
      <c r="N232" s="53"/>
      <c r="O232" s="53"/>
      <c r="P232" s="53"/>
      <c r="Q232" s="53"/>
      <c r="R232" s="57"/>
      <c r="S232" s="53"/>
      <c r="T232" s="53"/>
      <c r="U232" s="707"/>
      <c r="V232" s="53"/>
      <c r="W232" s="53"/>
      <c r="X232" s="53"/>
      <c r="Y232" s="53"/>
      <c r="Z232" s="53"/>
      <c r="AA232" s="56"/>
      <c r="AB232" s="54"/>
      <c r="AC232" s="54"/>
      <c r="AD232" s="54"/>
      <c r="AE232" s="54"/>
      <c r="AF232" s="132">
        <v>11</v>
      </c>
    </row>
    <row r="233" s="132" customFormat="1" ht="11.5" customHeight="1">
      <c r="A233" s="706"/>
      <c r="B233" s="57"/>
      <c r="C233" s="57"/>
      <c r="D233" s="132"/>
      <c r="K233" s="53"/>
      <c r="L233" s="57"/>
      <c r="M233" s="57"/>
      <c r="N233" s="53"/>
      <c r="O233" s="53"/>
      <c r="P233" s="53"/>
      <c r="Q233" s="53"/>
      <c r="R233" s="57"/>
      <c r="S233" s="53"/>
      <c r="T233" s="53"/>
      <c r="U233" s="707"/>
      <c r="V233" s="53"/>
      <c r="W233" s="53"/>
      <c r="X233" s="53"/>
      <c r="Y233" s="53"/>
      <c r="Z233" s="53"/>
      <c r="AA233" s="56"/>
      <c r="AB233" s="54"/>
      <c r="AC233" s="54"/>
      <c r="AD233" s="54"/>
      <c r="AE233" s="54"/>
      <c r="AF233" s="132">
        <v>11</v>
      </c>
    </row>
    <row r="234" s="132" customFormat="1" ht="11.5" customHeight="1">
      <c r="A234" s="706"/>
      <c r="B234" s="57"/>
      <c r="C234" s="57"/>
      <c r="D234" s="132"/>
      <c r="K234" s="53"/>
      <c r="L234" s="57"/>
      <c r="M234" s="57"/>
      <c r="N234" s="53"/>
      <c r="O234" s="53"/>
      <c r="P234" s="53"/>
      <c r="Q234" s="53"/>
      <c r="R234" s="57"/>
      <c r="S234" s="53"/>
      <c r="T234" s="53"/>
      <c r="U234" s="707"/>
      <c r="V234" s="53"/>
      <c r="W234" s="53"/>
      <c r="X234" s="53"/>
      <c r="Y234" s="53"/>
      <c r="Z234" s="53"/>
      <c r="AA234" s="56"/>
      <c r="AB234" s="54"/>
      <c r="AC234" s="54"/>
      <c r="AD234" s="54"/>
      <c r="AE234" s="54"/>
      <c r="AF234" s="132">
        <v>11</v>
      </c>
    </row>
    <row r="235" s="132" customFormat="1" ht="11.5" customHeight="1">
      <c r="A235" s="706"/>
      <c r="B235" s="57"/>
      <c r="C235" s="57"/>
      <c r="D235" s="132"/>
      <c r="K235" s="53"/>
      <c r="L235" s="57"/>
      <c r="M235" s="57"/>
      <c r="N235" s="53"/>
      <c r="O235" s="53"/>
      <c r="P235" s="53"/>
      <c r="Q235" s="53"/>
      <c r="R235" s="57"/>
      <c r="S235" s="53"/>
      <c r="T235" s="53"/>
      <c r="U235" s="707"/>
      <c r="V235" s="53"/>
      <c r="W235" s="53"/>
      <c r="X235" s="53"/>
      <c r="Y235" s="53"/>
      <c r="Z235" s="53"/>
      <c r="AA235" s="56"/>
      <c r="AB235" s="54"/>
      <c r="AC235" s="54"/>
      <c r="AD235" s="54"/>
      <c r="AE235" s="54"/>
      <c r="AF235" s="132">
        <v>11</v>
      </c>
    </row>
    <row r="236" s="132" customFormat="1" ht="11.5" customHeight="1">
      <c r="A236" s="706"/>
      <c r="B236" s="57"/>
      <c r="C236" s="57"/>
      <c r="D236" s="132"/>
      <c r="K236" s="53"/>
      <c r="L236" s="57"/>
      <c r="M236" s="57"/>
      <c r="N236" s="53"/>
      <c r="O236" s="53"/>
      <c r="P236" s="53"/>
      <c r="Q236" s="53"/>
      <c r="R236" s="57"/>
      <c r="S236" s="53"/>
      <c r="T236" s="53"/>
      <c r="U236" s="707"/>
      <c r="V236" s="53"/>
      <c r="W236" s="53"/>
      <c r="X236" s="53"/>
      <c r="Y236" s="53"/>
      <c r="Z236" s="53"/>
      <c r="AA236" s="56"/>
      <c r="AB236" s="54"/>
      <c r="AC236" s="54"/>
      <c r="AD236" s="54"/>
      <c r="AE236" s="54"/>
      <c r="AF236" s="132">
        <v>11</v>
      </c>
    </row>
    <row r="237" s="132" customFormat="1" ht="11.5" customHeight="1">
      <c r="A237" s="706"/>
      <c r="B237" s="57"/>
      <c r="C237" s="57"/>
      <c r="D237" s="132"/>
      <c r="K237" s="53"/>
      <c r="L237" s="57"/>
      <c r="M237" s="57"/>
      <c r="N237" s="53"/>
      <c r="O237" s="53"/>
      <c r="P237" s="53"/>
      <c r="Q237" s="53"/>
      <c r="R237" s="57"/>
      <c r="S237" s="53"/>
      <c r="T237" s="53"/>
      <c r="U237" s="707"/>
      <c r="V237" s="53"/>
      <c r="W237" s="53"/>
      <c r="X237" s="53"/>
      <c r="Y237" s="53"/>
      <c r="Z237" s="53"/>
      <c r="AA237" s="56"/>
      <c r="AB237" s="54"/>
      <c r="AC237" s="54"/>
      <c r="AD237" s="54"/>
      <c r="AE237" s="54"/>
      <c r="AF237" s="132">
        <v>11</v>
      </c>
    </row>
    <row r="238" s="132" customFormat="1" ht="11.5" customHeight="1">
      <c r="A238" s="706"/>
      <c r="B238" s="57"/>
      <c r="C238" s="57"/>
      <c r="D238" s="132"/>
      <c r="K238" s="53"/>
      <c r="L238" s="57"/>
      <c r="M238" s="57"/>
      <c r="N238" s="53"/>
      <c r="O238" s="53"/>
      <c r="P238" s="53"/>
      <c r="Q238" s="53"/>
      <c r="R238" s="57"/>
      <c r="S238" s="53"/>
      <c r="T238" s="53"/>
      <c r="U238" s="707"/>
      <c r="V238" s="53"/>
      <c r="W238" s="53"/>
      <c r="X238" s="53"/>
      <c r="Y238" s="53"/>
      <c r="Z238" s="53"/>
      <c r="AA238" s="56"/>
      <c r="AB238" s="54"/>
      <c r="AC238" s="54"/>
      <c r="AD238" s="54"/>
      <c r="AE238" s="54"/>
      <c r="AF238" s="132">
        <v>11</v>
      </c>
    </row>
    <row r="239" s="132" customFormat="1" ht="11.5" customHeight="1">
      <c r="A239" s="706"/>
      <c r="B239" s="57"/>
      <c r="C239" s="57"/>
      <c r="D239" s="132"/>
      <c r="K239" s="53"/>
      <c r="L239" s="57"/>
      <c r="M239" s="57"/>
      <c r="N239" s="53"/>
      <c r="O239" s="53"/>
      <c r="P239" s="53"/>
      <c r="Q239" s="53"/>
      <c r="R239" s="57"/>
      <c r="S239" s="53"/>
      <c r="T239" s="53"/>
      <c r="U239" s="707"/>
      <c r="V239" s="53"/>
      <c r="W239" s="53"/>
      <c r="X239" s="53"/>
      <c r="Y239" s="53"/>
      <c r="Z239" s="53"/>
      <c r="AA239" s="56"/>
      <c r="AB239" s="54"/>
      <c r="AC239" s="54"/>
      <c r="AD239" s="54"/>
      <c r="AE239" s="54"/>
      <c r="AF239" s="132">
        <v>11</v>
      </c>
    </row>
    <row r="240" s="132" customFormat="1" ht="11.5" customHeight="1">
      <c r="A240" s="706"/>
      <c r="B240" s="57"/>
      <c r="C240" s="57"/>
      <c r="D240" s="132"/>
      <c r="K240" s="53"/>
      <c r="L240" s="57"/>
      <c r="M240" s="57"/>
      <c r="N240" s="53"/>
      <c r="O240" s="53"/>
      <c r="P240" s="53"/>
      <c r="Q240" s="53"/>
      <c r="R240" s="57"/>
      <c r="S240" s="53"/>
      <c r="T240" s="53"/>
      <c r="U240" s="707"/>
      <c r="V240" s="53"/>
      <c r="W240" s="53"/>
      <c r="X240" s="53"/>
      <c r="Y240" s="53"/>
      <c r="Z240" s="53"/>
      <c r="AA240" s="56"/>
      <c r="AB240" s="54"/>
      <c r="AC240" s="54"/>
      <c r="AD240" s="54"/>
      <c r="AE240" s="54"/>
      <c r="AF240" s="132">
        <v>11</v>
      </c>
    </row>
    <row r="241" s="132" customFormat="1" ht="11.5" customHeight="1">
      <c r="A241" s="706"/>
      <c r="B241" s="57"/>
      <c r="C241" s="57"/>
      <c r="D241" s="132"/>
      <c r="K241" s="53"/>
      <c r="L241" s="57"/>
      <c r="M241" s="57"/>
      <c r="N241" s="53"/>
      <c r="O241" s="53"/>
      <c r="P241" s="53"/>
      <c r="Q241" s="53"/>
      <c r="R241" s="57"/>
      <c r="S241" s="53"/>
      <c r="T241" s="53"/>
      <c r="U241" s="707"/>
      <c r="V241" s="53"/>
      <c r="W241" s="53"/>
      <c r="X241" s="53"/>
      <c r="Y241" s="53"/>
      <c r="Z241" s="53"/>
      <c r="AA241" s="56"/>
      <c r="AB241" s="54"/>
      <c r="AC241" s="54"/>
      <c r="AD241" s="54"/>
      <c r="AE241" s="54"/>
      <c r="AF241" s="132">
        <v>11</v>
      </c>
    </row>
    <row r="242" s="132" customFormat="1" ht="11.5" customHeight="1">
      <c r="A242" s="706"/>
      <c r="B242" s="57"/>
      <c r="C242" s="57"/>
      <c r="D242" s="132"/>
      <c r="K242" s="53"/>
      <c r="L242" s="57"/>
      <c r="M242" s="57"/>
      <c r="N242" s="53"/>
      <c r="O242" s="53"/>
      <c r="P242" s="53"/>
      <c r="Q242" s="53"/>
      <c r="R242" s="57"/>
      <c r="S242" s="53"/>
      <c r="T242" s="53"/>
      <c r="U242" s="707"/>
      <c r="V242" s="53"/>
      <c r="W242" s="53"/>
      <c r="X242" s="53"/>
      <c r="Y242" s="53"/>
      <c r="Z242" s="53"/>
      <c r="AA242" s="56"/>
      <c r="AB242" s="54"/>
      <c r="AC242" s="54"/>
      <c r="AD242" s="54"/>
      <c r="AE242" s="54"/>
      <c r="AF242" s="132">
        <v>11</v>
      </c>
    </row>
    <row r="243" s="132" customFormat="1" ht="11.5" customHeight="1">
      <c r="A243" s="706"/>
      <c r="B243" s="57"/>
      <c r="C243" s="57"/>
      <c r="D243" s="132"/>
      <c r="K243" s="53"/>
      <c r="L243" s="57"/>
      <c r="M243" s="57"/>
      <c r="N243" s="53"/>
      <c r="O243" s="53"/>
      <c r="P243" s="53"/>
      <c r="Q243" s="53"/>
      <c r="R243" s="57"/>
      <c r="S243" s="53"/>
      <c r="T243" s="53"/>
      <c r="U243" s="707"/>
      <c r="V243" s="53"/>
      <c r="W243" s="53"/>
      <c r="X243" s="53"/>
      <c r="Y243" s="53"/>
      <c r="Z243" s="53"/>
      <c r="AA243" s="56"/>
      <c r="AB243" s="54"/>
      <c r="AC243" s="54"/>
      <c r="AD243" s="54"/>
      <c r="AE243" s="54"/>
      <c r="AF243" s="132">
        <v>11</v>
      </c>
    </row>
    <row r="244" s="132" customFormat="1" ht="11.5" customHeight="1">
      <c r="A244" s="706"/>
      <c r="B244" s="57"/>
      <c r="C244" s="57"/>
      <c r="D244" s="132"/>
      <c r="K244" s="53"/>
      <c r="L244" s="57"/>
      <c r="M244" s="57"/>
      <c r="N244" s="53"/>
      <c r="O244" s="53"/>
      <c r="P244" s="53"/>
      <c r="Q244" s="53"/>
      <c r="R244" s="57"/>
      <c r="S244" s="53"/>
      <c r="T244" s="53"/>
      <c r="U244" s="707"/>
      <c r="V244" s="53"/>
      <c r="W244" s="53"/>
      <c r="X244" s="53"/>
      <c r="Y244" s="53"/>
      <c r="Z244" s="53"/>
      <c r="AA244" s="56"/>
      <c r="AB244" s="54"/>
      <c r="AC244" s="54"/>
      <c r="AD244" s="54"/>
      <c r="AE244" s="54"/>
      <c r="AF244" s="132">
        <v>11</v>
      </c>
    </row>
    <row r="245" s="132" customFormat="1" ht="11.5" customHeight="1">
      <c r="A245" s="706"/>
      <c r="B245" s="57"/>
      <c r="C245" s="57"/>
      <c r="D245" s="132"/>
      <c r="K245" s="53"/>
      <c r="L245" s="57"/>
      <c r="M245" s="57"/>
      <c r="N245" s="53"/>
      <c r="O245" s="53"/>
      <c r="P245" s="53"/>
      <c r="Q245" s="53"/>
      <c r="R245" s="57"/>
      <c r="S245" s="53"/>
      <c r="T245" s="53"/>
      <c r="U245" s="707"/>
      <c r="V245" s="53"/>
      <c r="W245" s="53"/>
      <c r="X245" s="53"/>
      <c r="Y245" s="53"/>
      <c r="Z245" s="53"/>
      <c r="AA245" s="56"/>
      <c r="AB245" s="54"/>
      <c r="AC245" s="54"/>
      <c r="AD245" s="54"/>
      <c r="AE245" s="54"/>
      <c r="AF245" s="132">
        <v>11</v>
      </c>
    </row>
    <row r="246" s="132" customFormat="1" ht="11.5" customHeight="1">
      <c r="A246" s="706"/>
      <c r="B246" s="57"/>
      <c r="C246" s="57"/>
      <c r="D246" s="132"/>
      <c r="K246" s="53"/>
      <c r="L246" s="57"/>
      <c r="M246" s="57"/>
      <c r="N246" s="53"/>
      <c r="O246" s="53"/>
      <c r="P246" s="53"/>
      <c r="Q246" s="53"/>
      <c r="R246" s="57"/>
      <c r="S246" s="53"/>
      <c r="T246" s="53"/>
      <c r="U246" s="707"/>
      <c r="V246" s="53"/>
      <c r="W246" s="53"/>
      <c r="X246" s="53"/>
      <c r="Y246" s="53"/>
      <c r="Z246" s="53"/>
      <c r="AA246" s="56"/>
      <c r="AB246" s="54"/>
      <c r="AC246" s="54"/>
      <c r="AD246" s="54"/>
      <c r="AE246" s="54"/>
      <c r="AF246" s="132">
        <v>11</v>
      </c>
    </row>
    <row r="247" s="132" customFormat="1" ht="11.5" customHeight="1">
      <c r="A247" s="706"/>
      <c r="B247" s="57"/>
      <c r="C247" s="57"/>
      <c r="D247" s="132"/>
      <c r="K247" s="53"/>
      <c r="L247" s="57"/>
      <c r="M247" s="57"/>
      <c r="N247" s="53"/>
      <c r="O247" s="53"/>
      <c r="P247" s="53"/>
      <c r="Q247" s="53"/>
      <c r="R247" s="57"/>
      <c r="S247" s="53"/>
      <c r="T247" s="53"/>
      <c r="U247" s="707"/>
      <c r="V247" s="53"/>
      <c r="W247" s="53"/>
      <c r="X247" s="53"/>
      <c r="Y247" s="53"/>
      <c r="Z247" s="53"/>
      <c r="AA247" s="56"/>
      <c r="AB247" s="54"/>
      <c r="AC247" s="54"/>
      <c r="AD247" s="54"/>
      <c r="AE247" s="54"/>
      <c r="AF247" s="132">
        <v>11</v>
      </c>
    </row>
    <row r="248" s="132" customFormat="1" ht="11.5" customHeight="1">
      <c r="A248" s="706"/>
      <c r="B248" s="57"/>
      <c r="C248" s="57"/>
      <c r="D248" s="132"/>
      <c r="K248" s="53"/>
      <c r="L248" s="57"/>
      <c r="M248" s="57"/>
      <c r="N248" s="53"/>
      <c r="O248" s="53"/>
      <c r="P248" s="53"/>
      <c r="Q248" s="53"/>
      <c r="R248" s="57"/>
      <c r="S248" s="53"/>
      <c r="T248" s="53"/>
      <c r="U248" s="707"/>
      <c r="V248" s="53"/>
      <c r="W248" s="53"/>
      <c r="X248" s="53"/>
      <c r="Y248" s="53"/>
      <c r="Z248" s="53"/>
      <c r="AA248" s="56"/>
      <c r="AB248" s="54"/>
      <c r="AC248" s="54"/>
      <c r="AD248" s="54"/>
      <c r="AE248" s="54"/>
      <c r="AF248" s="132">
        <v>11</v>
      </c>
    </row>
    <row r="249" s="132" customFormat="1" ht="11.5" customHeight="1">
      <c r="A249" s="706"/>
      <c r="B249" s="57"/>
      <c r="C249" s="57"/>
      <c r="D249" s="132"/>
      <c r="K249" s="53"/>
      <c r="L249" s="57"/>
      <c r="M249" s="57"/>
      <c r="N249" s="53"/>
      <c r="O249" s="53"/>
      <c r="P249" s="53"/>
      <c r="Q249" s="53"/>
      <c r="R249" s="57"/>
      <c r="S249" s="53"/>
      <c r="T249" s="53"/>
      <c r="U249" s="707"/>
      <c r="V249" s="53"/>
      <c r="W249" s="53"/>
      <c r="X249" s="53"/>
      <c r="Y249" s="53"/>
      <c r="Z249" s="53"/>
      <c r="AA249" s="56"/>
      <c r="AB249" s="54"/>
      <c r="AC249" s="54"/>
      <c r="AD249" s="54"/>
      <c r="AE249" s="54"/>
      <c r="AF249" s="132">
        <v>11</v>
      </c>
    </row>
    <row r="250" s="132" customFormat="1" ht="11.5" customHeight="1">
      <c r="A250" s="706"/>
      <c r="B250" s="57"/>
      <c r="C250" s="57"/>
      <c r="D250" s="132"/>
      <c r="K250" s="53"/>
      <c r="L250" s="57"/>
      <c r="M250" s="57"/>
      <c r="N250" s="53"/>
      <c r="O250" s="53"/>
      <c r="P250" s="53"/>
      <c r="Q250" s="53"/>
      <c r="R250" s="57"/>
      <c r="S250" s="53"/>
      <c r="T250" s="53"/>
      <c r="U250" s="707"/>
      <c r="V250" s="53"/>
      <c r="W250" s="53"/>
      <c r="X250" s="53"/>
      <c r="Y250" s="53"/>
      <c r="Z250" s="53"/>
      <c r="AA250" s="56"/>
      <c r="AB250" s="54"/>
      <c r="AC250" s="54"/>
      <c r="AD250" s="54"/>
      <c r="AE250" s="54"/>
      <c r="AF250" s="132">
        <v>11</v>
      </c>
    </row>
    <row r="251" s="132" customFormat="1" ht="11.5" customHeight="1">
      <c r="A251" s="706"/>
      <c r="B251" s="57"/>
      <c r="C251" s="57"/>
      <c r="D251" s="132"/>
      <c r="K251" s="53"/>
      <c r="L251" s="57"/>
      <c r="M251" s="57"/>
      <c r="N251" s="53"/>
      <c r="O251" s="53"/>
      <c r="P251" s="53"/>
      <c r="Q251" s="53"/>
      <c r="R251" s="57"/>
      <c r="S251" s="53"/>
      <c r="T251" s="53"/>
      <c r="U251" s="707"/>
      <c r="V251" s="53"/>
      <c r="W251" s="53"/>
      <c r="X251" s="53"/>
      <c r="Y251" s="53"/>
      <c r="Z251" s="53"/>
      <c r="AA251" s="56"/>
      <c r="AB251" s="54"/>
      <c r="AC251" s="54"/>
      <c r="AD251" s="54"/>
      <c r="AE251" s="54"/>
      <c r="AF251" s="132">
        <v>11</v>
      </c>
    </row>
    <row r="252" s="132" customFormat="1" ht="11.5" customHeight="1">
      <c r="A252" s="706"/>
      <c r="B252" s="57"/>
      <c r="C252" s="57"/>
      <c r="D252" s="132"/>
      <c r="K252" s="53"/>
      <c r="L252" s="57"/>
      <c r="M252" s="57"/>
      <c r="N252" s="53"/>
      <c r="O252" s="53"/>
      <c r="P252" s="53"/>
      <c r="Q252" s="53"/>
      <c r="R252" s="57"/>
      <c r="S252" s="53"/>
      <c r="T252" s="53"/>
      <c r="U252" s="707"/>
      <c r="V252" s="53"/>
      <c r="W252" s="53"/>
      <c r="X252" s="53"/>
      <c r="Y252" s="53"/>
      <c r="Z252" s="53"/>
      <c r="AA252" s="56"/>
      <c r="AB252" s="54"/>
      <c r="AC252" s="54"/>
      <c r="AD252" s="54"/>
      <c r="AE252" s="54"/>
      <c r="AF252" s="132">
        <v>11</v>
      </c>
    </row>
    <row r="253" s="132" customFormat="1" ht="11.5" customHeight="1">
      <c r="A253" s="706"/>
      <c r="B253" s="57"/>
      <c r="C253" s="57"/>
      <c r="D253" s="132"/>
      <c r="K253" s="53"/>
      <c r="L253" s="57"/>
      <c r="M253" s="57"/>
      <c r="N253" s="53"/>
      <c r="O253" s="53"/>
      <c r="P253" s="53"/>
      <c r="Q253" s="53"/>
      <c r="R253" s="57"/>
      <c r="S253" s="53"/>
      <c r="T253" s="53"/>
      <c r="U253" s="707"/>
      <c r="V253" s="53"/>
      <c r="W253" s="53"/>
      <c r="X253" s="53"/>
      <c r="Y253" s="53"/>
      <c r="Z253" s="53"/>
      <c r="AA253" s="56"/>
      <c r="AB253" s="54"/>
      <c r="AC253" s="54"/>
      <c r="AD253" s="54"/>
      <c r="AE253" s="54"/>
      <c r="AF253" s="132">
        <v>11</v>
      </c>
    </row>
    <row r="254" s="132" customFormat="1" ht="11.5" customHeight="1">
      <c r="A254" s="706"/>
      <c r="B254" s="57"/>
      <c r="C254" s="57"/>
      <c r="D254" s="132"/>
      <c r="K254" s="53"/>
      <c r="L254" s="57"/>
      <c r="M254" s="57"/>
      <c r="N254" s="53"/>
      <c r="O254" s="53"/>
      <c r="P254" s="53"/>
      <c r="Q254" s="53"/>
      <c r="R254" s="57"/>
      <c r="S254" s="53"/>
      <c r="T254" s="53"/>
      <c r="U254" s="707"/>
      <c r="V254" s="53"/>
      <c r="W254" s="53"/>
      <c r="X254" s="53"/>
      <c r="Y254" s="53"/>
      <c r="Z254" s="53"/>
      <c r="AA254" s="56"/>
      <c r="AB254" s="54"/>
      <c r="AC254" s="54"/>
      <c r="AD254" s="54"/>
      <c r="AE254" s="54"/>
      <c r="AF254" s="132">
        <v>11</v>
      </c>
    </row>
    <row r="255" s="132" customFormat="1" ht="11.5" customHeight="1">
      <c r="A255" s="706"/>
      <c r="B255" s="57"/>
      <c r="C255" s="57"/>
      <c r="D255" s="132"/>
      <c r="K255" s="53"/>
      <c r="L255" s="57"/>
      <c r="M255" s="57"/>
      <c r="N255" s="53"/>
      <c r="O255" s="53"/>
      <c r="P255" s="53"/>
      <c r="Q255" s="53"/>
      <c r="R255" s="57"/>
      <c r="S255" s="53"/>
      <c r="T255" s="53"/>
      <c r="U255" s="707"/>
      <c r="V255" s="53"/>
      <c r="W255" s="53"/>
      <c r="X255" s="53"/>
      <c r="Y255" s="53"/>
      <c r="Z255" s="53"/>
      <c r="AA255" s="56"/>
      <c r="AB255" s="54"/>
      <c r="AC255" s="54"/>
      <c r="AD255" s="54"/>
      <c r="AE255" s="54"/>
      <c r="AF255" s="132">
        <v>11</v>
      </c>
    </row>
    <row r="256" s="132" customFormat="1" ht="11.5" customHeight="1">
      <c r="A256" s="706"/>
      <c r="B256" s="57"/>
      <c r="C256" s="57"/>
      <c r="D256" s="132"/>
      <c r="K256" s="53"/>
      <c r="L256" s="57"/>
      <c r="M256" s="57"/>
      <c r="N256" s="53"/>
      <c r="O256" s="53"/>
      <c r="P256" s="53"/>
      <c r="Q256" s="53"/>
      <c r="R256" s="57"/>
      <c r="S256" s="53"/>
      <c r="T256" s="53"/>
      <c r="U256" s="707"/>
      <c r="V256" s="53"/>
      <c r="W256" s="53"/>
      <c r="X256" s="53"/>
      <c r="Y256" s="53"/>
      <c r="Z256" s="53"/>
      <c r="AA256" s="56"/>
      <c r="AB256" s="54"/>
      <c r="AC256" s="54"/>
      <c r="AD256" s="54"/>
      <c r="AE256" s="54"/>
      <c r="AF256" s="132">
        <v>11</v>
      </c>
    </row>
    <row r="257" s="132" customFormat="1" ht="11.5" customHeight="1">
      <c r="A257" s="706"/>
      <c r="B257" s="57"/>
      <c r="C257" s="57"/>
      <c r="D257" s="132"/>
      <c r="K257" s="53"/>
      <c r="L257" s="57"/>
      <c r="M257" s="57"/>
      <c r="N257" s="53"/>
      <c r="O257" s="53"/>
      <c r="P257" s="53"/>
      <c r="Q257" s="53"/>
      <c r="R257" s="57"/>
      <c r="S257" s="53"/>
      <c r="T257" s="53"/>
      <c r="U257" s="707"/>
      <c r="V257" s="53"/>
      <c r="W257" s="53"/>
      <c r="X257" s="53"/>
      <c r="Y257" s="53"/>
      <c r="Z257" s="53"/>
      <c r="AA257" s="56"/>
      <c r="AB257" s="54"/>
      <c r="AC257" s="54"/>
      <c r="AD257" s="54"/>
      <c r="AE257" s="54"/>
      <c r="AF257" s="132">
        <v>11</v>
      </c>
    </row>
    <row r="258" s="132" customFormat="1" ht="11.5" customHeight="1">
      <c r="A258" s="706"/>
      <c r="B258" s="57"/>
      <c r="C258" s="57"/>
      <c r="D258" s="132"/>
      <c r="K258" s="53"/>
      <c r="L258" s="57"/>
      <c r="M258" s="57"/>
      <c r="N258" s="53"/>
      <c r="O258" s="53"/>
      <c r="P258" s="53"/>
      <c r="Q258" s="53"/>
      <c r="R258" s="57"/>
      <c r="S258" s="53"/>
      <c r="T258" s="53"/>
      <c r="U258" s="707"/>
      <c r="V258" s="53"/>
      <c r="W258" s="53"/>
      <c r="X258" s="53"/>
      <c r="Y258" s="53"/>
      <c r="Z258" s="53"/>
      <c r="AA258" s="56"/>
      <c r="AB258" s="54"/>
      <c r="AC258" s="54"/>
      <c r="AD258" s="54"/>
      <c r="AE258" s="54"/>
      <c r="AF258" s="132">
        <v>11</v>
      </c>
    </row>
    <row r="259" s="132" customFormat="1" ht="11.5" customHeight="1">
      <c r="A259" s="706"/>
      <c r="B259" s="57"/>
      <c r="C259" s="57"/>
      <c r="D259" s="132"/>
      <c r="K259" s="53"/>
      <c r="L259" s="57"/>
      <c r="M259" s="57"/>
      <c r="N259" s="53"/>
      <c r="O259" s="53"/>
      <c r="P259" s="53"/>
      <c r="Q259" s="53"/>
      <c r="R259" s="57"/>
      <c r="S259" s="53"/>
      <c r="T259" s="53"/>
      <c r="U259" s="707"/>
      <c r="V259" s="53"/>
      <c r="W259" s="53"/>
      <c r="X259" s="53"/>
      <c r="Y259" s="53"/>
      <c r="Z259" s="53"/>
      <c r="AA259" s="56"/>
      <c r="AB259" s="54"/>
      <c r="AC259" s="54"/>
      <c r="AD259" s="54"/>
      <c r="AE259" s="54"/>
      <c r="AF259" s="132">
        <v>11</v>
      </c>
    </row>
    <row r="260" s="132" customFormat="1" ht="11.5" customHeight="1">
      <c r="A260" s="706"/>
      <c r="B260" s="57"/>
      <c r="C260" s="57"/>
      <c r="D260" s="132"/>
      <c r="K260" s="53"/>
      <c r="L260" s="57"/>
      <c r="M260" s="57"/>
      <c r="N260" s="53"/>
      <c r="O260" s="53"/>
      <c r="P260" s="53"/>
      <c r="Q260" s="53"/>
      <c r="R260" s="57"/>
      <c r="S260" s="53"/>
      <c r="T260" s="53"/>
      <c r="U260" s="707"/>
      <c r="V260" s="53"/>
      <c r="W260" s="53"/>
      <c r="X260" s="53"/>
      <c r="Y260" s="53"/>
      <c r="Z260" s="53"/>
      <c r="AA260" s="56"/>
      <c r="AB260" s="54"/>
      <c r="AC260" s="54"/>
      <c r="AD260" s="54"/>
      <c r="AE260" s="54"/>
      <c r="AF260" s="132">
        <v>11</v>
      </c>
    </row>
    <row r="261" s="132" customFormat="1" ht="11.5" customHeight="1">
      <c r="A261" s="706"/>
      <c r="B261" s="57"/>
      <c r="C261" s="57"/>
      <c r="D261" s="132"/>
      <c r="K261" s="53"/>
      <c r="L261" s="57"/>
      <c r="M261" s="57"/>
      <c r="N261" s="53"/>
      <c r="O261" s="53"/>
      <c r="P261" s="53"/>
      <c r="Q261" s="53"/>
      <c r="R261" s="57"/>
      <c r="S261" s="53"/>
      <c r="T261" s="53"/>
      <c r="U261" s="707"/>
      <c r="V261" s="53"/>
      <c r="W261" s="53"/>
      <c r="X261" s="53"/>
      <c r="Y261" s="53"/>
      <c r="Z261" s="53"/>
      <c r="AA261" s="56"/>
      <c r="AB261" s="54"/>
      <c r="AC261" s="54"/>
      <c r="AD261" s="54"/>
      <c r="AE261" s="54"/>
      <c r="AF261" s="132">
        <v>11</v>
      </c>
    </row>
    <row r="262" s="132" customFormat="1" ht="11.5" customHeight="1">
      <c r="A262" s="706"/>
      <c r="B262" s="57"/>
      <c r="C262" s="57"/>
      <c r="D262" s="132"/>
      <c r="K262" s="53"/>
      <c r="L262" s="57"/>
      <c r="M262" s="57"/>
      <c r="N262" s="53"/>
      <c r="O262" s="53"/>
      <c r="P262" s="53"/>
      <c r="Q262" s="53"/>
      <c r="R262" s="57"/>
      <c r="S262" s="53"/>
      <c r="T262" s="53"/>
      <c r="U262" s="707"/>
      <c r="V262" s="53"/>
      <c r="W262" s="53"/>
      <c r="X262" s="53"/>
      <c r="Y262" s="53"/>
      <c r="Z262" s="53"/>
      <c r="AA262" s="56"/>
      <c r="AB262" s="54"/>
      <c r="AC262" s="54"/>
      <c r="AD262" s="54"/>
      <c r="AE262" s="54"/>
      <c r="AF262" s="132">
        <v>11</v>
      </c>
    </row>
    <row r="263" s="132" customFormat="1" ht="11.5" customHeight="1">
      <c r="A263" s="706"/>
      <c r="B263" s="57"/>
      <c r="C263" s="57"/>
      <c r="D263" s="132"/>
      <c r="K263" s="53"/>
      <c r="L263" s="57"/>
      <c r="M263" s="57"/>
      <c r="N263" s="53"/>
      <c r="O263" s="53"/>
      <c r="P263" s="53"/>
      <c r="Q263" s="53"/>
      <c r="R263" s="57"/>
      <c r="S263" s="53"/>
      <c r="T263" s="53"/>
      <c r="U263" s="707"/>
      <c r="V263" s="53"/>
      <c r="W263" s="53"/>
      <c r="X263" s="53"/>
      <c r="Y263" s="53"/>
      <c r="Z263" s="53"/>
      <c r="AA263" s="56"/>
      <c r="AB263" s="54"/>
      <c r="AC263" s="54"/>
      <c r="AD263" s="54"/>
      <c r="AE263" s="54"/>
      <c r="AF263" s="132">
        <v>11</v>
      </c>
    </row>
    <row r="264" s="132" customFormat="1" ht="11.5" customHeight="1">
      <c r="A264" s="706"/>
      <c r="B264" s="57"/>
      <c r="C264" s="57"/>
      <c r="D264" s="132"/>
      <c r="K264" s="53"/>
      <c r="L264" s="57"/>
      <c r="M264" s="57"/>
      <c r="N264" s="53"/>
      <c r="O264" s="53"/>
      <c r="P264" s="53"/>
      <c r="Q264" s="53"/>
      <c r="R264" s="57"/>
      <c r="S264" s="53"/>
      <c r="T264" s="53"/>
      <c r="U264" s="707"/>
      <c r="V264" s="53"/>
      <c r="W264" s="53"/>
      <c r="X264" s="53"/>
      <c r="Y264" s="53"/>
      <c r="Z264" s="53"/>
      <c r="AA264" s="56"/>
      <c r="AB264" s="54"/>
      <c r="AC264" s="54"/>
      <c r="AD264" s="54"/>
      <c r="AE264" s="54"/>
      <c r="AF264" s="132">
        <v>11</v>
      </c>
    </row>
    <row r="265" s="132" customFormat="1" ht="11.5" customHeight="1">
      <c r="A265" s="706"/>
      <c r="B265" s="57"/>
      <c r="C265" s="57"/>
      <c r="D265" s="132"/>
      <c r="K265" s="53"/>
      <c r="L265" s="57"/>
      <c r="M265" s="57"/>
      <c r="N265" s="53"/>
      <c r="O265" s="53"/>
      <c r="P265" s="53"/>
      <c r="Q265" s="53"/>
      <c r="R265" s="57"/>
      <c r="S265" s="53"/>
      <c r="T265" s="53"/>
      <c r="U265" s="707"/>
      <c r="V265" s="53"/>
      <c r="W265" s="53"/>
      <c r="X265" s="53"/>
      <c r="Y265" s="53"/>
      <c r="Z265" s="53"/>
      <c r="AA265" s="56"/>
      <c r="AB265" s="54"/>
      <c r="AC265" s="54"/>
      <c r="AD265" s="54"/>
      <c r="AE265" s="54"/>
      <c r="AF265" s="132">
        <v>11</v>
      </c>
    </row>
    <row r="266" s="132" customFormat="1" ht="11.5" customHeight="1">
      <c r="A266" s="706"/>
      <c r="B266" s="57"/>
      <c r="C266" s="57"/>
      <c r="D266" s="132"/>
      <c r="K266" s="53"/>
      <c r="L266" s="57"/>
      <c r="M266" s="57"/>
      <c r="N266" s="53"/>
      <c r="O266" s="53"/>
      <c r="P266" s="53"/>
      <c r="Q266" s="53"/>
      <c r="R266" s="57"/>
      <c r="S266" s="53"/>
      <c r="T266" s="53"/>
      <c r="U266" s="707"/>
      <c r="V266" s="53"/>
      <c r="W266" s="53"/>
      <c r="X266" s="53"/>
      <c r="Y266" s="53"/>
      <c r="Z266" s="53"/>
      <c r="AA266" s="56"/>
      <c r="AB266" s="54"/>
      <c r="AC266" s="54"/>
      <c r="AD266" s="54"/>
      <c r="AE266" s="54"/>
      <c r="AF266" s="132">
        <v>11</v>
      </c>
    </row>
    <row r="267" s="132" customFormat="1" ht="11.5" customHeight="1">
      <c r="A267" s="706"/>
      <c r="B267" s="57"/>
      <c r="C267" s="57"/>
      <c r="D267" s="132"/>
      <c r="K267" s="53"/>
      <c r="L267" s="57"/>
      <c r="M267" s="57"/>
      <c r="N267" s="53"/>
      <c r="O267" s="53"/>
      <c r="P267" s="53"/>
      <c r="Q267" s="53"/>
      <c r="R267" s="57"/>
      <c r="S267" s="53"/>
      <c r="T267" s="53"/>
      <c r="U267" s="707"/>
      <c r="V267" s="53"/>
      <c r="W267" s="53"/>
      <c r="X267" s="53"/>
      <c r="Y267" s="53"/>
      <c r="Z267" s="53"/>
      <c r="AA267" s="56"/>
      <c r="AB267" s="54"/>
      <c r="AC267" s="54"/>
      <c r="AD267" s="54"/>
      <c r="AE267" s="54"/>
      <c r="AF267" s="132">
        <v>11</v>
      </c>
    </row>
    <row r="268" s="132" customFormat="1" ht="11.5" customHeight="1">
      <c r="A268" s="706"/>
      <c r="B268" s="57"/>
      <c r="C268" s="57"/>
      <c r="D268" s="132"/>
      <c r="K268" s="53"/>
      <c r="L268" s="57"/>
      <c r="M268" s="57"/>
      <c r="N268" s="53"/>
      <c r="O268" s="53"/>
      <c r="P268" s="53"/>
      <c r="Q268" s="53"/>
      <c r="R268" s="57"/>
      <c r="S268" s="53"/>
      <c r="T268" s="53"/>
      <c r="U268" s="707"/>
      <c r="V268" s="53"/>
      <c r="W268" s="53"/>
      <c r="X268" s="53"/>
      <c r="Y268" s="53"/>
      <c r="Z268" s="53"/>
      <c r="AA268" s="56"/>
      <c r="AB268" s="54"/>
      <c r="AC268" s="54"/>
      <c r="AD268" s="54"/>
      <c r="AE268" s="54"/>
      <c r="AF268" s="132">
        <v>11</v>
      </c>
    </row>
    <row r="269" s="132" customFormat="1" ht="11.5" customHeight="1">
      <c r="A269" s="706"/>
      <c r="B269" s="57"/>
      <c r="C269" s="57"/>
      <c r="D269" s="132"/>
      <c r="K269" s="53"/>
      <c r="L269" s="57"/>
      <c r="M269" s="57"/>
      <c r="N269" s="53"/>
      <c r="O269" s="53"/>
      <c r="P269" s="53"/>
      <c r="Q269" s="53"/>
      <c r="R269" s="57"/>
      <c r="S269" s="53"/>
      <c r="T269" s="53"/>
      <c r="U269" s="707"/>
      <c r="V269" s="53"/>
      <c r="W269" s="53"/>
      <c r="X269" s="53"/>
      <c r="Y269" s="53"/>
      <c r="Z269" s="53"/>
      <c r="AA269" s="56"/>
      <c r="AB269" s="54"/>
      <c r="AC269" s="54"/>
      <c r="AD269" s="54"/>
      <c r="AE269" s="54"/>
      <c r="AF269" s="132">
        <v>11</v>
      </c>
    </row>
    <row r="270" s="132" customFormat="1" ht="11.5" customHeight="1">
      <c r="A270" s="706"/>
      <c r="B270" s="57"/>
      <c r="C270" s="57"/>
      <c r="D270" s="132"/>
      <c r="K270" s="53"/>
      <c r="L270" s="57"/>
      <c r="M270" s="57"/>
      <c r="N270" s="53"/>
      <c r="O270" s="53"/>
      <c r="P270" s="53"/>
      <c r="Q270" s="53"/>
      <c r="R270" s="57"/>
      <c r="S270" s="53"/>
      <c r="T270" s="53"/>
      <c r="U270" s="707"/>
      <c r="V270" s="53"/>
      <c r="W270" s="53"/>
      <c r="X270" s="53"/>
      <c r="Y270" s="53"/>
      <c r="Z270" s="53"/>
      <c r="AA270" s="56"/>
      <c r="AB270" s="54"/>
      <c r="AC270" s="54"/>
      <c r="AD270" s="54"/>
      <c r="AE270" s="54"/>
      <c r="AF270" s="132">
        <v>11</v>
      </c>
    </row>
    <row r="271" s="132" customFormat="1" ht="11.5" customHeight="1">
      <c r="A271" s="706"/>
      <c r="B271" s="57"/>
      <c r="C271" s="57"/>
      <c r="D271" s="132"/>
      <c r="K271" s="53"/>
      <c r="L271" s="57"/>
      <c r="M271" s="57"/>
      <c r="N271" s="53"/>
      <c r="O271" s="53"/>
      <c r="P271" s="53"/>
      <c r="Q271" s="53"/>
      <c r="R271" s="57"/>
      <c r="S271" s="53"/>
      <c r="T271" s="53"/>
      <c r="U271" s="707"/>
      <c r="V271" s="53"/>
      <c r="W271" s="53"/>
      <c r="X271" s="53"/>
      <c r="Y271" s="53"/>
      <c r="Z271" s="53"/>
      <c r="AA271" s="56"/>
      <c r="AB271" s="54"/>
      <c r="AC271" s="54"/>
      <c r="AD271" s="54"/>
      <c r="AE271" s="54"/>
      <c r="AF271" s="132">
        <v>11</v>
      </c>
    </row>
    <row r="272" s="132" customFormat="1" ht="11.5" customHeight="1">
      <c r="A272" s="706"/>
      <c r="B272" s="57"/>
      <c r="C272" s="57"/>
      <c r="D272" s="132"/>
      <c r="K272" s="53"/>
      <c r="L272" s="57"/>
      <c r="M272" s="57"/>
      <c r="N272" s="53"/>
      <c r="O272" s="53"/>
      <c r="P272" s="53"/>
      <c r="Q272" s="53"/>
      <c r="R272" s="57"/>
      <c r="S272" s="53"/>
      <c r="T272" s="53"/>
      <c r="U272" s="707"/>
      <c r="V272" s="53"/>
      <c r="W272" s="53"/>
      <c r="X272" s="53"/>
      <c r="Y272" s="53"/>
      <c r="Z272" s="53"/>
      <c r="AA272" s="56"/>
      <c r="AB272" s="54"/>
      <c r="AC272" s="54"/>
      <c r="AD272" s="54"/>
      <c r="AE272" s="54"/>
      <c r="AF272" s="132">
        <v>11</v>
      </c>
    </row>
    <row r="273" s="132" customFormat="1" ht="11.5" customHeight="1">
      <c r="A273" s="706"/>
      <c r="B273" s="57"/>
      <c r="C273" s="57"/>
      <c r="D273" s="132"/>
      <c r="K273" s="53"/>
      <c r="L273" s="57"/>
      <c r="M273" s="57"/>
      <c r="N273" s="53"/>
      <c r="O273" s="53"/>
      <c r="P273" s="53"/>
      <c r="Q273" s="53"/>
      <c r="R273" s="57"/>
      <c r="S273" s="53"/>
      <c r="T273" s="53"/>
      <c r="U273" s="707"/>
      <c r="V273" s="53"/>
      <c r="W273" s="53"/>
      <c r="X273" s="53"/>
      <c r="Y273" s="53"/>
      <c r="Z273" s="53"/>
      <c r="AA273" s="56"/>
      <c r="AB273" s="54"/>
      <c r="AC273" s="54"/>
      <c r="AD273" s="54"/>
      <c r="AE273" s="54"/>
      <c r="AF273" s="132">
        <v>11</v>
      </c>
    </row>
    <row r="274" s="132" customFormat="1" ht="11.5" customHeight="1">
      <c r="A274" s="706"/>
      <c r="B274" s="57"/>
      <c r="C274" s="57"/>
      <c r="D274" s="132"/>
      <c r="K274" s="53"/>
      <c r="L274" s="57"/>
      <c r="M274" s="57"/>
      <c r="N274" s="53"/>
      <c r="O274" s="53"/>
      <c r="P274" s="53"/>
      <c r="Q274" s="53"/>
      <c r="R274" s="57"/>
      <c r="S274" s="53"/>
      <c r="T274" s="53"/>
      <c r="U274" s="707"/>
      <c r="V274" s="53"/>
      <c r="W274" s="53"/>
      <c r="X274" s="53"/>
      <c r="Y274" s="53"/>
      <c r="Z274" s="53"/>
      <c r="AA274" s="56"/>
      <c r="AB274" s="54"/>
      <c r="AC274" s="54"/>
      <c r="AD274" s="54"/>
      <c r="AE274" s="54"/>
      <c r="AF274" s="132">
        <v>11</v>
      </c>
    </row>
    <row r="275" s="132" customFormat="1" ht="11.5" customHeight="1">
      <c r="A275" s="706"/>
      <c r="B275" s="57"/>
      <c r="C275" s="57"/>
      <c r="D275" s="132"/>
      <c r="K275" s="53"/>
      <c r="L275" s="57"/>
      <c r="M275" s="57"/>
      <c r="N275" s="53"/>
      <c r="O275" s="53"/>
      <c r="P275" s="53"/>
      <c r="Q275" s="53"/>
      <c r="R275" s="57"/>
      <c r="S275" s="53"/>
      <c r="T275" s="53"/>
      <c r="U275" s="707"/>
      <c r="V275" s="53"/>
      <c r="W275" s="53"/>
      <c r="X275" s="53"/>
      <c r="Y275" s="53"/>
      <c r="Z275" s="53"/>
      <c r="AA275" s="56"/>
      <c r="AB275" s="54"/>
      <c r="AC275" s="54"/>
      <c r="AD275" s="54"/>
      <c r="AE275" s="54"/>
      <c r="AF275" s="132">
        <v>11</v>
      </c>
    </row>
    <row r="276" s="132" customFormat="1" ht="11.5" customHeight="1">
      <c r="A276" s="706"/>
      <c r="B276" s="57"/>
      <c r="C276" s="57"/>
      <c r="D276" s="132"/>
      <c r="K276" s="53"/>
      <c r="L276" s="57"/>
      <c r="M276" s="57"/>
      <c r="N276" s="53"/>
      <c r="O276" s="53"/>
      <c r="P276" s="53"/>
      <c r="Q276" s="53"/>
      <c r="R276" s="57"/>
      <c r="S276" s="53"/>
      <c r="T276" s="53"/>
      <c r="U276" s="707"/>
      <c r="V276" s="53"/>
      <c r="W276" s="53"/>
      <c r="X276" s="53"/>
      <c r="Y276" s="53"/>
      <c r="Z276" s="53"/>
      <c r="AA276" s="56"/>
      <c r="AB276" s="54"/>
      <c r="AC276" s="54"/>
      <c r="AD276" s="54"/>
      <c r="AE276" s="54"/>
      <c r="AF276" s="132">
        <v>11</v>
      </c>
    </row>
    <row r="277" s="132" customFormat="1" ht="11.5" customHeight="1">
      <c r="A277" s="706"/>
      <c r="B277" s="57"/>
      <c r="C277" s="57"/>
      <c r="D277" s="132"/>
      <c r="K277" s="53"/>
      <c r="L277" s="57"/>
      <c r="M277" s="57"/>
      <c r="N277" s="53"/>
      <c r="O277" s="53"/>
      <c r="P277" s="53"/>
      <c r="Q277" s="53"/>
      <c r="R277" s="57"/>
      <c r="S277" s="53"/>
      <c r="T277" s="53"/>
      <c r="U277" s="707"/>
      <c r="V277" s="53"/>
      <c r="W277" s="53"/>
      <c r="X277" s="53"/>
      <c r="Y277" s="53"/>
      <c r="Z277" s="53"/>
      <c r="AA277" s="56"/>
      <c r="AB277" s="54"/>
      <c r="AC277" s="54"/>
      <c r="AD277" s="54"/>
      <c r="AE277" s="54"/>
      <c r="AF277" s="132">
        <v>11</v>
      </c>
    </row>
    <row r="278" s="132" customFormat="1" ht="11.5" customHeight="1">
      <c r="A278" s="706"/>
      <c r="B278" s="57"/>
      <c r="C278" s="57"/>
      <c r="D278" s="132"/>
      <c r="K278" s="53"/>
      <c r="L278" s="57"/>
      <c r="M278" s="57"/>
      <c r="N278" s="53"/>
      <c r="O278" s="53"/>
      <c r="P278" s="53"/>
      <c r="Q278" s="53"/>
      <c r="R278" s="57"/>
      <c r="S278" s="53"/>
      <c r="T278" s="53"/>
      <c r="U278" s="707"/>
      <c r="V278" s="53"/>
      <c r="W278" s="53"/>
      <c r="X278" s="53"/>
      <c r="Y278" s="53"/>
      <c r="Z278" s="53"/>
      <c r="AA278" s="56"/>
      <c r="AB278" s="54"/>
      <c r="AC278" s="54"/>
      <c r="AD278" s="54"/>
      <c r="AE278" s="54"/>
      <c r="AF278" s="132">
        <v>11</v>
      </c>
    </row>
    <row r="279" s="132" customFormat="1" ht="11.5" customHeight="1">
      <c r="A279" s="706"/>
      <c r="B279" s="57"/>
      <c r="C279" s="57"/>
      <c r="D279" s="132"/>
      <c r="K279" s="53"/>
      <c r="L279" s="57"/>
      <c r="M279" s="57"/>
      <c r="N279" s="53"/>
      <c r="O279" s="53"/>
      <c r="P279" s="53"/>
      <c r="Q279" s="53"/>
      <c r="R279" s="57"/>
      <c r="S279" s="53"/>
      <c r="T279" s="53"/>
      <c r="U279" s="707"/>
      <c r="V279" s="53"/>
      <c r="W279" s="53"/>
      <c r="X279" s="53"/>
      <c r="Y279" s="53"/>
      <c r="Z279" s="53"/>
      <c r="AA279" s="56"/>
      <c r="AB279" s="54"/>
      <c r="AC279" s="54"/>
      <c r="AD279" s="54"/>
      <c r="AE279" s="54"/>
      <c r="AF279" s="132">
        <v>11</v>
      </c>
    </row>
    <row r="280" s="132" customFormat="1" ht="11.5" customHeight="1">
      <c r="A280" s="706"/>
      <c r="B280" s="57"/>
      <c r="C280" s="57"/>
      <c r="D280" s="132"/>
      <c r="K280" s="53"/>
      <c r="L280" s="57"/>
      <c r="M280" s="57"/>
      <c r="N280" s="53"/>
      <c r="O280" s="53"/>
      <c r="P280" s="53"/>
      <c r="Q280" s="53"/>
      <c r="R280" s="57"/>
      <c r="S280" s="53"/>
      <c r="T280" s="53"/>
      <c r="U280" s="707"/>
      <c r="V280" s="53"/>
      <c r="W280" s="53"/>
      <c r="X280" s="53"/>
      <c r="Y280" s="53"/>
      <c r="Z280" s="53"/>
      <c r="AA280" s="56"/>
      <c r="AB280" s="54"/>
      <c r="AC280" s="54"/>
      <c r="AD280" s="54"/>
      <c r="AE280" s="54"/>
      <c r="AF280" s="132">
        <v>11</v>
      </c>
    </row>
    <row r="281" s="132" customFormat="1" ht="11.5" customHeight="1">
      <c r="A281" s="706"/>
      <c r="B281" s="57"/>
      <c r="C281" s="57"/>
      <c r="D281" s="132"/>
      <c r="K281" s="53"/>
      <c r="L281" s="57"/>
      <c r="M281" s="57"/>
      <c r="N281" s="53"/>
      <c r="O281" s="53"/>
      <c r="P281" s="53"/>
      <c r="Q281" s="53"/>
      <c r="R281" s="57"/>
      <c r="S281" s="53"/>
      <c r="T281" s="53"/>
      <c r="U281" s="707"/>
      <c r="V281" s="53"/>
      <c r="W281" s="53"/>
      <c r="X281" s="53"/>
      <c r="Y281" s="53"/>
      <c r="Z281" s="53"/>
      <c r="AA281" s="56"/>
      <c r="AB281" s="54"/>
      <c r="AC281" s="54"/>
      <c r="AD281" s="54"/>
      <c r="AE281" s="54"/>
      <c r="AF281" s="132">
        <v>11</v>
      </c>
    </row>
    <row r="282" s="132" customFormat="1" ht="11.5" customHeight="1">
      <c r="A282" s="706"/>
      <c r="B282" s="57"/>
      <c r="C282" s="57"/>
      <c r="D282" s="132"/>
      <c r="K282" s="53"/>
      <c r="L282" s="57"/>
      <c r="M282" s="57"/>
      <c r="N282" s="53"/>
      <c r="O282" s="53"/>
      <c r="P282" s="53"/>
      <c r="Q282" s="53"/>
      <c r="R282" s="57"/>
      <c r="S282" s="53"/>
      <c r="T282" s="53"/>
      <c r="U282" s="707"/>
      <c r="V282" s="53"/>
      <c r="W282" s="53"/>
      <c r="X282" s="53"/>
      <c r="Y282" s="53"/>
      <c r="Z282" s="53"/>
      <c r="AA282" s="56"/>
      <c r="AB282" s="54"/>
      <c r="AC282" s="54"/>
      <c r="AD282" s="54"/>
      <c r="AE282" s="54"/>
      <c r="AF282" s="132">
        <v>11</v>
      </c>
    </row>
    <row r="283" s="132" customFormat="1" ht="11.5" customHeight="1">
      <c r="A283" s="706"/>
      <c r="B283" s="57"/>
      <c r="C283" s="57"/>
      <c r="D283" s="132"/>
      <c r="K283" s="53"/>
      <c r="L283" s="57"/>
      <c r="M283" s="57"/>
      <c r="N283" s="53"/>
      <c r="O283" s="53"/>
      <c r="P283" s="53"/>
      <c r="Q283" s="53"/>
      <c r="R283" s="57"/>
      <c r="S283" s="53"/>
      <c r="T283" s="53"/>
      <c r="U283" s="707"/>
      <c r="V283" s="53"/>
      <c r="W283" s="53"/>
      <c r="X283" s="53"/>
      <c r="Y283" s="53"/>
      <c r="Z283" s="53"/>
      <c r="AA283" s="56"/>
      <c r="AB283" s="54"/>
      <c r="AC283" s="54"/>
      <c r="AD283" s="54"/>
      <c r="AE283" s="54"/>
      <c r="AF283" s="132">
        <v>11</v>
      </c>
    </row>
    <row r="284" s="132" customFormat="1" ht="11.5" customHeight="1">
      <c r="A284" s="706"/>
      <c r="B284" s="57"/>
      <c r="C284" s="57"/>
      <c r="D284" s="132"/>
      <c r="K284" s="53"/>
      <c r="L284" s="57"/>
      <c r="M284" s="57"/>
      <c r="N284" s="53"/>
      <c r="O284" s="53"/>
      <c r="P284" s="53"/>
      <c r="Q284" s="53"/>
      <c r="R284" s="57"/>
      <c r="S284" s="53"/>
      <c r="T284" s="53"/>
      <c r="U284" s="707"/>
      <c r="V284" s="53"/>
      <c r="W284" s="53"/>
      <c r="X284" s="53"/>
      <c r="Y284" s="53"/>
      <c r="Z284" s="53"/>
      <c r="AA284" s="56"/>
      <c r="AB284" s="54"/>
      <c r="AC284" s="54"/>
      <c r="AD284" s="54"/>
      <c r="AE284" s="54"/>
      <c r="AF284" s="132">
        <v>11</v>
      </c>
    </row>
    <row r="285" s="132" customFormat="1" ht="11.5" customHeight="1">
      <c r="A285" s="706"/>
      <c r="B285" s="57"/>
      <c r="C285" s="57"/>
      <c r="D285" s="132"/>
      <c r="K285" s="53"/>
      <c r="L285" s="57"/>
      <c r="M285" s="57"/>
      <c r="N285" s="53"/>
      <c r="O285" s="53"/>
      <c r="P285" s="53"/>
      <c r="Q285" s="53"/>
      <c r="R285" s="57"/>
      <c r="S285" s="53"/>
      <c r="T285" s="53"/>
      <c r="U285" s="707"/>
      <c r="V285" s="53"/>
      <c r="W285" s="53"/>
      <c r="X285" s="53"/>
      <c r="Y285" s="53"/>
      <c r="Z285" s="53"/>
      <c r="AA285" s="56"/>
      <c r="AB285" s="54"/>
      <c r="AC285" s="54"/>
      <c r="AD285" s="54"/>
      <c r="AE285" s="54"/>
      <c r="AF285" s="132">
        <v>11</v>
      </c>
    </row>
    <row r="286" s="132" customFormat="1" ht="11.5" customHeight="1">
      <c r="A286" s="706"/>
      <c r="B286" s="57"/>
      <c r="C286" s="57"/>
      <c r="D286" s="132"/>
      <c r="K286" s="53"/>
      <c r="L286" s="57"/>
      <c r="M286" s="57"/>
      <c r="N286" s="53"/>
      <c r="O286" s="53"/>
      <c r="P286" s="53"/>
      <c r="Q286" s="53"/>
      <c r="R286" s="57"/>
      <c r="S286" s="53"/>
      <c r="T286" s="53"/>
      <c r="U286" s="707"/>
      <c r="V286" s="53"/>
      <c r="W286" s="53"/>
      <c r="X286" s="53"/>
      <c r="Y286" s="53"/>
      <c r="Z286" s="53"/>
      <c r="AA286" s="56"/>
      <c r="AB286" s="54"/>
      <c r="AC286" s="54"/>
      <c r="AD286" s="54"/>
      <c r="AE286" s="54"/>
      <c r="AF286" s="132">
        <v>11</v>
      </c>
    </row>
    <row r="287" s="132" customFormat="1" ht="11.5" customHeight="1">
      <c r="A287" s="706"/>
      <c r="B287" s="57"/>
      <c r="C287" s="57"/>
      <c r="D287" s="132"/>
      <c r="K287" s="53"/>
      <c r="L287" s="57"/>
      <c r="M287" s="57"/>
      <c r="N287" s="53"/>
      <c r="O287" s="53"/>
      <c r="P287" s="53"/>
      <c r="Q287" s="53"/>
      <c r="R287" s="57"/>
      <c r="S287" s="53"/>
      <c r="T287" s="53"/>
      <c r="U287" s="707"/>
      <c r="V287" s="53"/>
      <c r="W287" s="53"/>
      <c r="X287" s="53"/>
      <c r="Y287" s="53"/>
      <c r="Z287" s="53"/>
      <c r="AA287" s="56"/>
      <c r="AB287" s="54"/>
      <c r="AC287" s="54"/>
      <c r="AD287" s="54"/>
      <c r="AE287" s="54"/>
      <c r="AF287" s="132">
        <v>11</v>
      </c>
    </row>
    <row r="288" s="132" customFormat="1" ht="11.5" customHeight="1">
      <c r="A288" s="706"/>
      <c r="B288" s="57"/>
      <c r="C288" s="57"/>
      <c r="D288" s="132"/>
      <c r="K288" s="53"/>
      <c r="L288" s="57"/>
      <c r="M288" s="57"/>
      <c r="N288" s="53"/>
      <c r="O288" s="53"/>
      <c r="P288" s="53"/>
      <c r="Q288" s="53"/>
      <c r="R288" s="57"/>
      <c r="S288" s="53"/>
      <c r="T288" s="53"/>
      <c r="U288" s="707"/>
      <c r="V288" s="53"/>
      <c r="W288" s="53"/>
      <c r="X288" s="53"/>
      <c r="Y288" s="53"/>
      <c r="Z288" s="53"/>
      <c r="AA288" s="56"/>
      <c r="AB288" s="54"/>
      <c r="AC288" s="54"/>
      <c r="AD288" s="54"/>
      <c r="AE288" s="54"/>
      <c r="AF288" s="132">
        <v>11</v>
      </c>
    </row>
    <row r="289" ht="11.5" customHeight="1">
      <c r="AF289" s="50">
        <v>11</v>
      </c>
    </row>
    <row r="290" ht="11.5" customHeight="1">
      <c r="AF290" s="50">
        <v>11</v>
      </c>
    </row>
    <row r="291" ht="11.5" customHeight="1">
      <c r="AF291" s="50">
        <v>11</v>
      </c>
    </row>
    <row r="292" ht="11.5" customHeight="1">
      <c r="A292" s="774"/>
      <c r="B292" s="50"/>
      <c r="D292" s="50"/>
      <c r="K292" s="50"/>
      <c r="N292" s="50"/>
      <c r="O292" s="50"/>
      <c r="P292" s="50"/>
      <c r="Q292" s="50"/>
      <c r="S292" s="50"/>
      <c r="T292" s="50"/>
      <c r="U292" s="50"/>
      <c r="V292" s="50"/>
      <c r="W292" s="50"/>
      <c r="X292" s="50"/>
      <c r="Y292" s="50"/>
      <c r="Z292" s="50"/>
      <c r="AA292" s="50"/>
      <c r="AB292" s="50"/>
      <c r="AC292" s="50"/>
      <c r="AD292" s="50"/>
      <c r="AE292" s="50"/>
      <c r="AF292" s="50">
        <v>11</v>
      </c>
    </row>
    <row r="293" ht="11.5" customHeight="1">
      <c r="A293" s="774"/>
      <c r="B293" s="50"/>
      <c r="D293" s="50"/>
      <c r="K293" s="50"/>
      <c r="N293" s="50"/>
      <c r="O293" s="50"/>
      <c r="P293" s="50"/>
      <c r="Q293" s="50"/>
      <c r="S293" s="50"/>
      <c r="T293" s="50"/>
      <c r="U293" s="50"/>
      <c r="V293" s="50"/>
      <c r="W293" s="50"/>
      <c r="X293" s="50"/>
      <c r="Y293" s="50"/>
      <c r="Z293" s="50"/>
      <c r="AA293" s="50"/>
      <c r="AB293" s="50"/>
      <c r="AC293" s="50"/>
      <c r="AD293" s="50"/>
      <c r="AE293" s="50"/>
      <c r="AF293" s="50">
        <v>11</v>
      </c>
    </row>
    <row r="294" ht="11.5" customHeight="1">
      <c r="A294" s="774"/>
      <c r="B294" s="50"/>
      <c r="D294" s="50"/>
      <c r="K294" s="50"/>
      <c r="N294" s="50"/>
      <c r="O294" s="50"/>
      <c r="P294" s="50"/>
      <c r="Q294" s="50"/>
      <c r="S294" s="50"/>
      <c r="T294" s="50"/>
      <c r="U294" s="50"/>
      <c r="V294" s="50"/>
      <c r="W294" s="50"/>
      <c r="X294" s="50"/>
      <c r="Y294" s="50"/>
      <c r="Z294" s="50"/>
      <c r="AA294" s="50"/>
      <c r="AB294" s="50"/>
      <c r="AC294" s="50"/>
      <c r="AD294" s="50"/>
      <c r="AE294" s="50"/>
      <c r="AF294" s="50">
        <v>11</v>
      </c>
    </row>
    <row r="295" ht="11.5" customHeight="1">
      <c r="A295" s="774"/>
      <c r="B295" s="50"/>
      <c r="D295" s="50"/>
      <c r="K295" s="50"/>
      <c r="N295" s="50"/>
      <c r="O295" s="50"/>
      <c r="P295" s="50"/>
      <c r="Q295" s="50"/>
      <c r="S295" s="50"/>
      <c r="T295" s="50"/>
      <c r="U295" s="50"/>
      <c r="V295" s="50"/>
      <c r="W295" s="50"/>
      <c r="X295" s="50"/>
      <c r="Y295" s="50"/>
      <c r="Z295" s="50"/>
      <c r="AA295" s="50"/>
      <c r="AB295" s="50"/>
      <c r="AC295" s="50"/>
      <c r="AD295" s="50"/>
      <c r="AE295" s="50"/>
      <c r="AF295" s="50">
        <v>11</v>
      </c>
    </row>
    <row r="296" ht="11.5" customHeight="1">
      <c r="A296" s="774"/>
      <c r="B296" s="50"/>
      <c r="D296" s="50"/>
      <c r="K296" s="50"/>
      <c r="N296" s="50"/>
      <c r="O296" s="50"/>
      <c r="P296" s="50"/>
      <c r="Q296" s="50"/>
      <c r="S296" s="50"/>
      <c r="T296" s="50"/>
      <c r="U296" s="50"/>
      <c r="V296" s="50"/>
      <c r="W296" s="50"/>
      <c r="X296" s="50"/>
      <c r="Y296" s="50"/>
      <c r="Z296" s="50"/>
      <c r="AA296" s="50"/>
      <c r="AB296" s="50"/>
      <c r="AC296" s="50"/>
      <c r="AD296" s="50"/>
      <c r="AE296" s="50"/>
      <c r="AF296" s="50">
        <v>11</v>
      </c>
    </row>
    <row r="297" ht="11.5" customHeight="1">
      <c r="A297" s="774"/>
      <c r="B297" s="50"/>
      <c r="D297" s="50"/>
      <c r="K297" s="50"/>
      <c r="N297" s="50"/>
      <c r="O297" s="50"/>
      <c r="P297" s="50"/>
      <c r="Q297" s="50"/>
      <c r="S297" s="50"/>
      <c r="T297" s="50"/>
      <c r="U297" s="50"/>
      <c r="V297" s="50"/>
      <c r="W297" s="50"/>
      <c r="X297" s="50"/>
      <c r="Y297" s="50"/>
      <c r="Z297" s="50"/>
      <c r="AA297" s="50"/>
      <c r="AB297" s="50"/>
      <c r="AC297" s="50"/>
      <c r="AD297" s="50"/>
      <c r="AE297" s="50"/>
      <c r="AF297" s="50">
        <v>11</v>
      </c>
    </row>
    <row r="298" ht="11.5" customHeight="1">
      <c r="A298" s="774"/>
      <c r="B298" s="50"/>
      <c r="D298" s="50"/>
      <c r="K298" s="50"/>
      <c r="N298" s="50"/>
      <c r="O298" s="50"/>
      <c r="P298" s="50"/>
      <c r="Q298" s="50"/>
      <c r="S298" s="50"/>
      <c r="T298" s="50"/>
      <c r="U298" s="50"/>
      <c r="V298" s="50"/>
      <c r="W298" s="50"/>
      <c r="X298" s="50"/>
      <c r="Y298" s="50"/>
      <c r="Z298" s="50"/>
      <c r="AA298" s="50"/>
      <c r="AB298" s="50"/>
      <c r="AC298" s="50"/>
      <c r="AD298" s="50"/>
      <c r="AE298" s="50"/>
      <c r="AF298" s="50">
        <v>11</v>
      </c>
    </row>
    <row r="299" ht="11.5" customHeight="1">
      <c r="A299" s="774"/>
      <c r="B299" s="50"/>
      <c r="D299" s="50"/>
      <c r="K299" s="50"/>
      <c r="N299" s="50"/>
      <c r="O299" s="50"/>
      <c r="P299" s="50"/>
      <c r="Q299" s="50"/>
      <c r="S299" s="50"/>
      <c r="T299" s="50"/>
      <c r="U299" s="50"/>
      <c r="V299" s="50"/>
      <c r="W299" s="50"/>
      <c r="X299" s="50"/>
      <c r="Y299" s="50"/>
      <c r="Z299" s="50"/>
      <c r="AA299" s="50"/>
      <c r="AB299" s="50"/>
      <c r="AC299" s="50"/>
      <c r="AD299" s="50"/>
      <c r="AE299" s="50"/>
      <c r="AF299" s="50">
        <v>11</v>
      </c>
    </row>
    <row r="300" ht="11.5" customHeight="1">
      <c r="A300" s="774"/>
      <c r="B300" s="50"/>
      <c r="D300" s="50"/>
      <c r="K300" s="50"/>
      <c r="N300" s="50"/>
      <c r="O300" s="50"/>
      <c r="P300" s="50"/>
      <c r="Q300" s="50"/>
      <c r="S300" s="50"/>
      <c r="T300" s="50"/>
      <c r="U300" s="50"/>
      <c r="V300" s="50"/>
      <c r="W300" s="50"/>
      <c r="X300" s="50"/>
      <c r="Y300" s="50"/>
      <c r="Z300" s="50"/>
      <c r="AA300" s="50"/>
      <c r="AB300" s="50"/>
      <c r="AC300" s="50"/>
      <c r="AD300" s="50"/>
      <c r="AE300" s="50"/>
      <c r="AF300" s="50">
        <v>11</v>
      </c>
    </row>
    <row r="301" ht="11.5" customHeight="1">
      <c r="A301" s="774"/>
      <c r="B301" s="50"/>
      <c r="D301" s="50"/>
      <c r="K301" s="50"/>
      <c r="N301" s="50"/>
      <c r="O301" s="50"/>
      <c r="P301" s="50"/>
      <c r="Q301" s="50"/>
      <c r="S301" s="50"/>
      <c r="T301" s="50"/>
      <c r="U301" s="50"/>
      <c r="V301" s="50"/>
      <c r="W301" s="50"/>
      <c r="X301" s="50"/>
      <c r="Y301" s="50"/>
      <c r="Z301" s="50"/>
      <c r="AA301" s="50"/>
      <c r="AB301" s="50"/>
      <c r="AC301" s="50"/>
      <c r="AD301" s="50"/>
      <c r="AE301" s="50"/>
      <c r="AF301" s="50">
        <v>11</v>
      </c>
    </row>
    <row r="302" ht="11.5" customHeight="1">
      <c r="A302" s="774"/>
      <c r="B302" s="50"/>
      <c r="D302" s="50"/>
      <c r="K302" s="50"/>
      <c r="N302" s="50"/>
      <c r="O302" s="50"/>
      <c r="P302" s="50"/>
      <c r="Q302" s="50"/>
      <c r="S302" s="50"/>
      <c r="T302" s="50"/>
      <c r="U302" s="50"/>
      <c r="V302" s="50"/>
      <c r="W302" s="50"/>
      <c r="X302" s="50"/>
      <c r="Y302" s="50"/>
      <c r="Z302" s="50"/>
      <c r="AA302" s="50"/>
      <c r="AB302" s="50"/>
      <c r="AC302" s="50"/>
      <c r="AD302" s="50"/>
      <c r="AE302" s="50"/>
      <c r="AF302" s="50">
        <v>11</v>
      </c>
    </row>
    <row r="303" ht="11.25" hidden="1" customHeight="1">
      <c r="A303" s="706" t="s">
        <v>81</v>
      </c>
      <c r="B303" s="53">
        <v>0</v>
      </c>
      <c r="C303" s="57">
        <v>0</v>
      </c>
      <c r="D303" s="50">
        <v>3</v>
      </c>
      <c r="E303" s="50">
        <v>7</v>
      </c>
      <c r="F303" s="50">
        <v>54</v>
      </c>
      <c r="G303" s="50">
        <v>10</v>
      </c>
      <c r="H303" s="50">
        <v>0</v>
      </c>
      <c r="I303" s="50">
        <v>40</v>
      </c>
      <c r="J303" s="50">
        <v>102</v>
      </c>
      <c r="K303" s="53">
        <v>9</v>
      </c>
      <c r="L303" s="57">
        <v>5</v>
      </c>
      <c r="M303" s="57">
        <v>3</v>
      </c>
      <c r="N303" s="53">
        <v>3</v>
      </c>
      <c r="O303" s="53">
        <v>3</v>
      </c>
      <c r="P303" s="53">
        <v>3</v>
      </c>
      <c r="Q303" s="53">
        <v>3</v>
      </c>
      <c r="R303" s="57">
        <v>10</v>
      </c>
      <c r="S303" s="53">
        <v>34</v>
      </c>
      <c r="T303" s="53">
        <v>9</v>
      </c>
      <c r="U303" s="707">
        <v>8</v>
      </c>
      <c r="V303" s="53">
        <v>8</v>
      </c>
      <c r="W303" s="53">
        <v>8</v>
      </c>
      <c r="X303" s="53">
        <v>8</v>
      </c>
      <c r="Y303" s="53">
        <v>8</v>
      </c>
      <c r="Z303" s="53">
        <v>8</v>
      </c>
      <c r="AA303" s="56">
        <v>8</v>
      </c>
      <c r="AB303" s="56">
        <v>8</v>
      </c>
      <c r="AC303" s="56">
        <v>8</v>
      </c>
      <c r="AD303" s="56">
        <v>8</v>
      </c>
      <c r="AE303" s="56">
        <v>8</v>
      </c>
      <c r="AF303" s="50">
        <v>11</v>
      </c>
    </row>
  </sheetData>
  <sheetProtection autoFilter="0" deleteColumns="1" deleteRows="1" formatCells="1" formatColumns="0" formatRows="0" insertColumns="1" insertHyperlinks="1" insertRows="1" objects="0" pivotTables="1" scenarios="0" selectLockedCells="0" selectUnlockedCells="0" sheet="1" sort="1"/>
  <mergeCells count="18">
    <mergeCell ref="B2:B7"/>
    <mergeCell ref="E21:I21"/>
    <mergeCell ref="E22:I22"/>
    <mergeCell ref="F25:G25"/>
    <mergeCell ref="J25:J29"/>
    <mergeCell ref="F26:G26"/>
    <mergeCell ref="F27:G27"/>
    <mergeCell ref="E28:G28"/>
    <mergeCell ref="A33:A40"/>
    <mergeCell ref="B34:B39"/>
    <mergeCell ref="A41:A43"/>
    <mergeCell ref="A67:A68"/>
    <mergeCell ref="A82:A90"/>
    <mergeCell ref="A91:A95"/>
    <mergeCell ref="A96:A98"/>
    <mergeCell ref="A99:A111"/>
    <mergeCell ref="A115:A119"/>
    <mergeCell ref="A120:A130"/>
  </mergeCells>
  <dataValidations count="1" disablePrompts="0">
    <dataValidation sqref="H68:I68 H66:I66"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1" disablePrompts="0">
        <x14:dataValidation xr:uid="{00B0000A-0002-4245-8F82-007600BE0005}"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kind_of_purchase_method</xm:f>
          </x14:formula1>
          <xm:sqref>H7:I7</xm:sqref>
        </x14:dataValidation>
        <x14:dataValidation xr:uid="{00D00057-00DE-495D-A3F8-002100C40088}" type="textLength" allowBlank="1" error="Допускается ввод не более 900 символов!" errorStyle="stop" errorTitle="Ошибка" imeMode="noControl" operator="lessThanOrEqual" prompt="Введите наименование прочих расходов" showDropDown="0" showErrorMessage="1" showInputMessage="1">
          <x14:formula1>
            <xm:f>900</xm:f>
          </x14:formula1>
          <xm:sqref>F12 F10 H70:I70</xm:sqref>
        </x14:dataValidation>
        <x14:dataValidation xr:uid="{00FF00CE-0083-4E72-BB20-00E900C2008F}" type="textLength" allowBlank="1" error="Допускается ввод не более 900 символов!" errorStyle="stop" errorTitle="Ошибка" imeMode="noControl" operator="lessThanOrEqual" showDropDown="0" showErrorMessage="1" showInputMessage="1">
          <x14:formula1>
            <xm:f>900</xm:f>
          </x14:formula1>
          <xm:sqref>G4 H34:I34 H39:I39</xm:sqref>
        </x14:dataValidation>
        <x14:dataValidation xr:uid="{00F70052-00C7-4EF2-891D-00390008008C}"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H67:I67 H69:I69 H91:I94 H127:I127 H30:I30 H32:I33 H35:I38 H40:I65 H82:I86 H17:I17 H9:I13 H15:I15 H96:I119 H74:I74 H88:I89 H4:I6</xm:sqref>
        </x14:dataValidation>
        <x14:dataValidation xr:uid="{0053007B-00D0-4BCB-AE61-00C600C80085}" type="textLength" allowBlank="1" error="Допускается ввод не более 900 символов!" errorStyle="stop" errorTitle="Ошибка" imeMode="noControl" operator="lessThanOrEqual" prompt="Введите источник тепловой энергии" showDropDown="0" showErrorMessage="1" showInputMessage="1">
          <x14:formula1>
            <xm:f>900</xm:f>
          </x14:formula1>
          <xm:sqref>1:1</xm:sqref>
        </x14:dataValidation>
        <x14:dataValidation xr:uid="{000900C1-0075-4A7A-9A5E-001D009C0094}"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kind_of_fuels</xm:f>
          </x14:formula1>
          <xm:sqref>F2</xm:sqref>
        </x14:dataValidation>
        <x14:dataValidation xr:uid="{00BA00A9-002E-492D-8612-006000AA0037}"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kind_of_volume_te_unit</xm:f>
          </x14:formula1>
          <xm:sqref>G93</xm:sqref>
        </x14:dataValidation>
        <x14:dataValidation xr:uid="{002F001F-0065-45AA-8BEF-001300E20036}"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H128:I130 H81:I81</xm:sqref>
        </x14:dataValidation>
        <x14:dataValidation xr:uid="{004B004C-0075-43B6-A5D8-00FA00E6002D}"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H72:I73</xm:sqref>
        </x14:dataValidation>
        <x14:dataValidation xr:uid="{00160095-00FE-46DE-AD71-003C00690011}" type="decimal" allowBlank="1" error="Допускается ввод только действительных чисел!" errorStyle="stop" errorTitle="Ошибка" imeMode="noControl" operator="between" showDropDown="0" showErrorMessage="1" showInputMessage="0">
          <x14:formula1>
            <xm:f>-9.99999999999999E+37</xm:f>
          </x14:formula1>
          <x14:formula2>
            <xm:f>9.99999999999999E+37</xm:f>
          </x14:formula2>
          <xm:sqref>H123:I123 H120:I120 H126:I126 H75:I80</xm:sqref>
        </x14:dataValidation>
        <x14:dataValidation xr:uid="{00590090-0069-4223-877D-00C000F500A8}" type="decimal" allowBlank="1" error="Введите значение от 0 до 100%" errorStyle="stop" errorTitle="Ошибка" imeMode="noControl" operator="between" showDropDown="0" showErrorMessage="1" showInputMessage="0">
          <x14:formula1>
            <xm:f>0</xm:f>
          </x14:formula1>
          <x14:formula2>
            <xm:f>100</xm:f>
          </x14:formula2>
          <xm:sqref>H90:I90 H95:I95</xm:sqref>
        </x14:dataValidation>
      </x14:dataValidations>
    </ext>
  </extLst>
</worksheet>
</file>

<file path=xl/worksheets/sheet3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topLeftCell="C4" zoomScale="90" workbookViewId="0">
      <selection activeCell="A1" activeCellId="0" sqref="A1"/>
    </sheetView>
  </sheetViews>
  <sheetFormatPr defaultColWidth="9.140625" defaultRowHeight="11.25" customHeight="1"/>
  <cols>
    <col customWidth="1" hidden="1" min="1" max="1" style="775" width="14.7109375"/>
    <col customWidth="1" hidden="1" min="2" max="2" style="56" width="17.00390625"/>
    <col customWidth="1" min="3" max="3" style="50" width="3.00390625"/>
    <col customWidth="1" hidden="1" min="4" max="4" style="50" width="1.8515625"/>
    <col customWidth="1" min="5" max="6" style="50" width="7.00390625"/>
    <col customWidth="1" min="7" max="7" style="50" width="29.00390625"/>
    <col customWidth="1" min="8" max="8" style="50" width="3.7109375"/>
    <col customWidth="1" min="9" max="9" style="50" width="5.00390625"/>
    <col customWidth="1" min="10" max="11" style="50" width="24.00390625"/>
    <col customWidth="1" min="12" max="12" style="50" width="3.00390625"/>
    <col customWidth="1" min="13" max="13" style="50" width="6.00390625"/>
    <col customWidth="1" min="14" max="14" style="50" width="25.00390625"/>
    <col customWidth="1" min="15" max="18" style="50" width="18.00390625"/>
    <col customWidth="1" min="19" max="19" style="50" width="93.00390625"/>
    <col customWidth="1" min="20" max="20" style="50" width="10.00390625"/>
    <col customWidth="1" min="21" max="21" style="57" width="10.00390625"/>
    <col customWidth="1" min="22" max="22" style="57" width="11.00390625"/>
    <col customWidth="1" min="23" max="27" style="56" width="10.00390625"/>
    <col customWidth="1" min="28" max="83" style="50" width="8.00390625"/>
    <col hidden="1" min="84" max="84" style="50" width="9.140625"/>
  </cols>
  <sheetData>
    <row r="1" ht="22.5" hidden="1" customHeight="1">
      <c r="CF1" s="50" t="s">
        <v>14</v>
      </c>
    </row>
    <row r="2" ht="11.25" hidden="1" customHeight="1">
      <c r="CF2" s="50">
        <v>0</v>
      </c>
    </row>
    <row r="3" ht="11.25" hidden="1" customHeight="1">
      <c r="CF3" s="50">
        <v>0</v>
      </c>
    </row>
    <row r="4" ht="3" customHeight="1">
      <c r="C4" s="50"/>
      <c r="D4" s="50"/>
      <c r="E4" s="50"/>
      <c r="F4" s="50"/>
      <c r="G4" s="50"/>
      <c r="H4" s="50"/>
      <c r="I4" s="50"/>
      <c r="J4" s="50"/>
      <c r="K4" s="141"/>
      <c r="L4" s="141"/>
      <c r="M4" s="141"/>
      <c r="CF4" s="50">
        <v>3</v>
      </c>
    </row>
    <row r="5" ht="29.25" customHeight="1">
      <c r="C5" s="50"/>
      <c r="D5" s="776"/>
      <c r="E5" s="453" t="str">
        <f>FHD20_NAME_FORM</f>
        <v xml:space="preserve">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453"/>
      <c r="G5" s="453"/>
      <c r="H5" s="453"/>
      <c r="I5" s="453"/>
      <c r="J5" s="453"/>
      <c r="K5" s="453"/>
      <c r="L5" s="51"/>
      <c r="M5" s="51"/>
      <c r="CF5" s="50">
        <v>28</v>
      </c>
    </row>
    <row r="6" s="50" customFormat="1" ht="16.800000000000001" customHeight="1">
      <c r="A6" s="775"/>
      <c r="B6" s="56"/>
      <c r="C6" s="50"/>
      <c r="D6" s="777"/>
      <c r="E6" s="304" t="str">
        <f>IF(org=0,"Не определено",org)</f>
        <v xml:space="preserve">АО "ДГК" СП "Биробиджанская ТЭЦ"</v>
      </c>
      <c r="F6" s="304"/>
      <c r="G6" s="304"/>
      <c r="H6" s="304"/>
      <c r="I6" s="304"/>
      <c r="J6" s="304"/>
      <c r="K6" s="304"/>
      <c r="L6" s="51"/>
      <c r="M6" s="51"/>
      <c r="U6" s="57"/>
      <c r="V6" s="57"/>
      <c r="W6" s="56"/>
      <c r="X6" s="56"/>
      <c r="Y6" s="56"/>
      <c r="Z6" s="56"/>
      <c r="AA6" s="56"/>
      <c r="CF6" s="50">
        <v>16</v>
      </c>
    </row>
    <row r="7" ht="11.5" customHeight="1">
      <c r="C7" s="50"/>
      <c r="D7" s="50"/>
      <c r="E7" s="50"/>
      <c r="F7" s="50"/>
      <c r="G7" s="51"/>
      <c r="H7" s="51"/>
      <c r="I7" s="51"/>
      <c r="J7" s="51"/>
      <c r="K7" s="778"/>
      <c r="L7" s="778"/>
      <c r="M7" s="778"/>
      <c r="R7" s="342"/>
      <c r="CF7" s="50">
        <v>11</v>
      </c>
    </row>
    <row r="8" s="132" customFormat="1" ht="4.2000000000000002" customHeight="1">
      <c r="A8" s="779"/>
      <c r="B8" s="54"/>
      <c r="C8" s="132"/>
      <c r="D8" s="132"/>
      <c r="E8" s="132"/>
      <c r="F8" s="132"/>
      <c r="G8" s="731"/>
      <c r="H8" s="731"/>
      <c r="I8" s="731"/>
      <c r="J8" s="731"/>
      <c r="K8" s="780"/>
      <c r="L8" s="780"/>
      <c r="M8" s="780"/>
      <c r="R8" s="781"/>
      <c r="U8" s="57"/>
      <c r="V8" s="57"/>
      <c r="W8" s="54"/>
      <c r="X8" s="54"/>
      <c r="Y8" s="54"/>
      <c r="Z8" s="54"/>
      <c r="AA8" s="54"/>
      <c r="CF8" s="132">
        <v>4</v>
      </c>
    </row>
    <row r="9" ht="19.949999999999999" customHeight="1">
      <c r="D9" s="486"/>
      <c r="E9" s="73" t="s">
        <v>294</v>
      </c>
      <c r="F9" s="146"/>
      <c r="G9" s="146"/>
      <c r="H9" s="146"/>
      <c r="I9" s="146"/>
      <c r="J9" s="146"/>
      <c r="K9" s="146"/>
      <c r="L9" s="146"/>
      <c r="M9" s="146"/>
      <c r="N9" s="146"/>
      <c r="O9" s="146"/>
      <c r="P9" s="146"/>
      <c r="Q9" s="146"/>
      <c r="R9" s="72"/>
      <c r="S9" s="158" t="s">
        <v>295</v>
      </c>
      <c r="T9" s="782"/>
      <c r="CF9" s="50">
        <v>19</v>
      </c>
    </row>
    <row r="10" ht="48.25" customHeight="1">
      <c r="D10" s="159" t="s">
        <v>87</v>
      </c>
      <c r="E10" s="158" t="s">
        <v>87</v>
      </c>
      <c r="F10" s="158"/>
      <c r="G10" s="158" t="s">
        <v>296</v>
      </c>
      <c r="H10" s="158" t="s">
        <v>87</v>
      </c>
      <c r="I10" s="158"/>
      <c r="J10" s="158" t="s">
        <v>596</v>
      </c>
      <c r="K10" s="158" t="s">
        <v>597</v>
      </c>
      <c r="L10" s="158" t="s">
        <v>87</v>
      </c>
      <c r="M10" s="158"/>
      <c r="N10" s="158" t="s">
        <v>598</v>
      </c>
      <c r="O10" s="158" t="s">
        <v>599</v>
      </c>
      <c r="P10" s="158" t="s">
        <v>600</v>
      </c>
      <c r="Q10" s="158" t="s">
        <v>601</v>
      </c>
      <c r="R10" s="158" t="s">
        <v>602</v>
      </c>
      <c r="S10" s="158"/>
      <c r="T10" s="782"/>
      <c r="CF10" s="50">
        <v>46</v>
      </c>
    </row>
    <row r="11" s="57" customFormat="1" ht="15" hidden="1" customHeight="1">
      <c r="A11" s="532"/>
      <c r="D11" s="532" t="s">
        <v>105</v>
      </c>
      <c r="E11" s="532"/>
      <c r="F11" s="532" t="s">
        <v>106</v>
      </c>
      <c r="G11" s="532" t="s">
        <v>89</v>
      </c>
      <c r="H11" s="532"/>
      <c r="I11" s="532" t="s">
        <v>90</v>
      </c>
      <c r="J11" s="532" t="s">
        <v>107</v>
      </c>
      <c r="K11" s="532" t="s">
        <v>91</v>
      </c>
      <c r="L11" s="532"/>
      <c r="M11" s="532" t="s">
        <v>92</v>
      </c>
      <c r="N11" s="532" t="s">
        <v>108</v>
      </c>
      <c r="O11" s="532" t="s">
        <v>144</v>
      </c>
      <c r="P11" s="532" t="s">
        <v>145</v>
      </c>
      <c r="Q11" s="532" t="s">
        <v>146</v>
      </c>
      <c r="R11" s="532" t="s">
        <v>147</v>
      </c>
      <c r="S11" s="532" t="s">
        <v>148</v>
      </c>
      <c r="U11" s="57"/>
      <c r="V11" s="57"/>
      <c r="W11" s="57"/>
      <c r="CF11" s="57">
        <v>0</v>
      </c>
    </row>
    <row r="12" s="50" customFormat="1" ht="1.05" customHeight="1">
      <c r="A12" s="775"/>
      <c r="B12" s="56"/>
      <c r="D12" s="532"/>
      <c r="E12" s="126"/>
      <c r="F12" s="126"/>
      <c r="Q12" s="143"/>
      <c r="R12" s="783"/>
      <c r="T12" s="782"/>
      <c r="U12" s="57"/>
      <c r="V12" s="57"/>
      <c r="W12" s="56"/>
      <c r="X12" s="56"/>
      <c r="Y12" s="56"/>
      <c r="Z12" s="56"/>
      <c r="AA12" s="56"/>
      <c r="CF12" s="50">
        <v>1</v>
      </c>
    </row>
    <row r="13" s="132" customFormat="1" ht="1.05" customHeight="1">
      <c r="A13" s="779"/>
      <c r="B13" s="54"/>
      <c r="D13" s="532" t="s">
        <v>370</v>
      </c>
      <c r="E13" s="732"/>
      <c r="F13" s="732"/>
      <c r="G13" s="732"/>
      <c r="H13" s="732"/>
      <c r="I13" s="732"/>
      <c r="J13" s="732"/>
      <c r="K13" s="732"/>
      <c r="L13" s="732"/>
      <c r="M13" s="732"/>
      <c r="N13" s="732"/>
      <c r="O13" s="732"/>
      <c r="P13" s="732"/>
      <c r="Q13" s="732"/>
      <c r="R13" s="732"/>
      <c r="T13" s="782"/>
      <c r="U13" s="57"/>
      <c r="V13" s="57"/>
      <c r="W13" s="54"/>
      <c r="X13" s="54"/>
      <c r="Y13" s="54"/>
      <c r="Z13" s="54"/>
      <c r="AA13" s="54"/>
      <c r="CF13" s="132">
        <v>1</v>
      </c>
    </row>
    <row r="14" s="63" customFormat="1" ht="15" hidden="1" customHeight="1">
      <c r="A14" s="784" t="s">
        <v>113</v>
      </c>
      <c r="B14" s="63"/>
      <c r="C14" s="63"/>
      <c r="D14" s="785" t="s">
        <v>105</v>
      </c>
      <c r="E14" s="786" t="s">
        <v>101</v>
      </c>
      <c r="F14" s="787"/>
      <c r="G14" s="788"/>
      <c r="H14" s="79">
        <f>IF(A14="","",INDEX(DIFFERENTIATION_UNMERGE_VD,MATCH(A14,DIFFERENTIATION_ID_DIFF,0)))</f>
        <v>0</v>
      </c>
      <c r="I14" s="79"/>
      <c r="J14" s="79"/>
      <c r="K14" s="79"/>
      <c r="L14" s="79"/>
      <c r="M14" s="79"/>
      <c r="N14" s="79"/>
      <c r="O14" s="79"/>
      <c r="P14" s="79"/>
      <c r="Q14" s="79"/>
      <c r="R14" s="79"/>
      <c r="S14" s="789"/>
      <c r="T14" s="790"/>
      <c r="U14" s="168"/>
      <c r="V14" s="168"/>
      <c r="W14" s="64"/>
      <c r="X14" s="64"/>
      <c r="Y14" s="64"/>
      <c r="Z14" s="64"/>
      <c r="AA14" s="168"/>
      <c r="AB14" s="64"/>
      <c r="AC14" s="791"/>
      <c r="AD14" s="64"/>
      <c r="AE14" s="792" t="s">
        <v>22</v>
      </c>
      <c r="AF14" s="792"/>
      <c r="AG14" s="793" t="s">
        <v>603</v>
      </c>
      <c r="AH14" s="794">
        <v>3</v>
      </c>
      <c r="AI14" s="168"/>
      <c r="AJ14" s="168"/>
      <c r="AK14" s="168"/>
      <c r="AL14" s="168"/>
      <c r="AM14" s="168"/>
      <c r="AN14" s="168"/>
      <c r="AO14" s="168"/>
      <c r="AP14" s="168"/>
      <c r="AQ14" s="168"/>
      <c r="AR14" s="168"/>
      <c r="AS14" s="168"/>
      <c r="AT14" s="168"/>
      <c r="AU14" s="168"/>
      <c r="AV14" s="168"/>
      <c r="AW14" s="168"/>
      <c r="AX14" s="168"/>
      <c r="AY14" s="168"/>
      <c r="AZ14" s="168"/>
      <c r="BA14" s="168"/>
      <c r="BB14" s="168"/>
      <c r="BC14" s="168"/>
      <c r="BD14" s="168"/>
      <c r="BE14" s="168"/>
      <c r="BF14" s="168"/>
      <c r="BG14" s="168"/>
      <c r="BH14" s="168"/>
      <c r="BI14" s="168"/>
      <c r="BJ14" s="168"/>
      <c r="BK14" s="168"/>
      <c r="BL14" s="168"/>
      <c r="BM14" s="168"/>
      <c r="BN14" s="168"/>
      <c r="BO14" s="168"/>
      <c r="BP14" s="168"/>
      <c r="BQ14" s="168"/>
      <c r="BR14" s="168"/>
      <c r="BS14" s="168"/>
      <c r="BT14" s="168"/>
      <c r="BU14" s="168"/>
      <c r="BV14" s="64"/>
      <c r="BW14" s="64"/>
      <c r="BX14" s="64"/>
      <c r="BY14" s="64"/>
      <c r="BZ14" s="64"/>
      <c r="CA14" s="64"/>
      <c r="CB14" s="64"/>
      <c r="CC14" s="64"/>
      <c r="CD14" s="64"/>
      <c r="CE14" s="64"/>
      <c r="CF14" s="63">
        <v>0</v>
      </c>
    </row>
    <row r="15" s="63" customFormat="1" ht="15" hidden="1" customHeight="1">
      <c r="A15" s="784"/>
      <c r="B15" s="63"/>
      <c r="C15" s="63"/>
      <c r="D15" s="795"/>
      <c r="E15" s="786" t="s">
        <v>558</v>
      </c>
      <c r="F15" s="787"/>
      <c r="G15" s="788"/>
      <c r="H15" s="79" t="str">
        <f>IF(A14="","",INDEX(DIFFERENTIATION_UNMERGE_AREA,MATCH(A14,DIFFERENTIATION_ID_DIFF,0)))</f>
        <v/>
      </c>
      <c r="I15" s="79"/>
      <c r="J15" s="79"/>
      <c r="K15" s="79"/>
      <c r="L15" s="79"/>
      <c r="M15" s="79"/>
      <c r="N15" s="79"/>
      <c r="O15" s="79"/>
      <c r="P15" s="79"/>
      <c r="Q15" s="79"/>
      <c r="R15" s="79"/>
      <c r="S15" s="789"/>
      <c r="T15" s="790"/>
      <c r="U15" s="168"/>
      <c r="V15" s="168"/>
      <c r="W15" s="64"/>
      <c r="X15" s="64"/>
      <c r="Y15" s="64"/>
      <c r="Z15" s="64"/>
      <c r="AA15" s="168"/>
      <c r="AB15" s="64"/>
      <c r="AC15" s="791"/>
      <c r="AD15" s="64"/>
      <c r="AE15" s="792"/>
      <c r="AF15" s="792"/>
      <c r="AG15" s="793"/>
      <c r="AH15" s="794"/>
      <c r="AI15" s="168"/>
      <c r="AJ15" s="168"/>
      <c r="AK15" s="168"/>
      <c r="AL15" s="168"/>
      <c r="AM15" s="168"/>
      <c r="AN15" s="168"/>
      <c r="AO15" s="168"/>
      <c r="AP15" s="168"/>
      <c r="AQ15" s="168"/>
      <c r="AR15" s="168"/>
      <c r="AS15" s="168"/>
      <c r="AT15" s="168"/>
      <c r="AU15" s="168"/>
      <c r="AV15" s="168"/>
      <c r="AW15" s="168"/>
      <c r="AX15" s="168"/>
      <c r="AY15" s="168"/>
      <c r="AZ15" s="168"/>
      <c r="BA15" s="168"/>
      <c r="BB15" s="168"/>
      <c r="BC15" s="168"/>
      <c r="BD15" s="168"/>
      <c r="BE15" s="168"/>
      <c r="BF15" s="168"/>
      <c r="BG15" s="168"/>
      <c r="BH15" s="168"/>
      <c r="BI15" s="168"/>
      <c r="BJ15" s="168"/>
      <c r="BK15" s="168"/>
      <c r="BL15" s="168"/>
      <c r="BM15" s="168"/>
      <c r="BN15" s="168"/>
      <c r="BO15" s="168"/>
      <c r="BP15" s="168"/>
      <c r="BQ15" s="168"/>
      <c r="BR15" s="168"/>
      <c r="BS15" s="168"/>
      <c r="BT15" s="168"/>
      <c r="BU15" s="168"/>
      <c r="BV15" s="64"/>
      <c r="BW15" s="64"/>
      <c r="BX15" s="64"/>
      <c r="BY15" s="64"/>
      <c r="BZ15" s="64"/>
      <c r="CA15" s="64"/>
      <c r="CB15" s="64"/>
      <c r="CC15" s="64"/>
      <c r="CD15" s="64"/>
      <c r="CE15" s="64"/>
      <c r="CF15" s="63">
        <v>0</v>
      </c>
    </row>
    <row r="16" s="63" customFormat="1" ht="15" hidden="1" customHeight="1">
      <c r="A16" s="784"/>
      <c r="B16" s="63"/>
      <c r="C16" s="63"/>
      <c r="D16" s="795"/>
      <c r="E16" s="786" t="s">
        <v>559</v>
      </c>
      <c r="F16" s="787"/>
      <c r="G16" s="788"/>
      <c r="H16" s="79" t="str">
        <f>IF(A14="","",INDEX(DIFFERENTIATION_UNMERGE_SYSTEM,MATCH(A14,DIFFERENTIATION_ID_DIFF,0)))</f>
        <v xml:space="preserve">без дифференциации</v>
      </c>
      <c r="I16" s="79"/>
      <c r="J16" s="79"/>
      <c r="K16" s="79"/>
      <c r="L16" s="79"/>
      <c r="M16" s="79"/>
      <c r="N16" s="79"/>
      <c r="O16" s="79"/>
      <c r="P16" s="79"/>
      <c r="Q16" s="79"/>
      <c r="R16" s="79"/>
      <c r="S16" s="789"/>
      <c r="T16" s="790"/>
      <c r="U16" s="168"/>
      <c r="V16" s="168"/>
      <c r="W16" s="64"/>
      <c r="X16" s="64"/>
      <c r="Y16" s="64"/>
      <c r="Z16" s="64"/>
      <c r="AA16" s="168"/>
      <c r="AB16" s="64"/>
      <c r="AC16" s="791"/>
      <c r="AD16" s="64"/>
      <c r="AE16" s="792"/>
      <c r="AF16" s="792"/>
      <c r="AG16" s="793"/>
      <c r="AH16" s="794"/>
      <c r="AI16" s="168"/>
      <c r="AJ16" s="168"/>
      <c r="AK16" s="168"/>
      <c r="AL16" s="168"/>
      <c r="AM16" s="168"/>
      <c r="AN16" s="168"/>
      <c r="AO16" s="168"/>
      <c r="AP16" s="168"/>
      <c r="AQ16" s="168"/>
      <c r="AR16" s="168"/>
      <c r="AS16" s="168"/>
      <c r="AT16" s="168"/>
      <c r="AU16" s="168"/>
      <c r="AV16" s="168"/>
      <c r="AW16" s="168"/>
      <c r="AX16" s="168"/>
      <c r="AY16" s="168"/>
      <c r="AZ16" s="168"/>
      <c r="BA16" s="168"/>
      <c r="BB16" s="168"/>
      <c r="BC16" s="168"/>
      <c r="BD16" s="168"/>
      <c r="BE16" s="168"/>
      <c r="BF16" s="168"/>
      <c r="BG16" s="168"/>
      <c r="BH16" s="168"/>
      <c r="BI16" s="168"/>
      <c r="BJ16" s="168"/>
      <c r="BK16" s="168"/>
      <c r="BL16" s="168"/>
      <c r="BM16" s="168"/>
      <c r="BN16" s="168"/>
      <c r="BO16" s="168"/>
      <c r="BP16" s="168"/>
      <c r="BQ16" s="168"/>
      <c r="BR16" s="168"/>
      <c r="BS16" s="168"/>
      <c r="BT16" s="168"/>
      <c r="BU16" s="168"/>
      <c r="BV16" s="64"/>
      <c r="BW16" s="64"/>
      <c r="BX16" s="64"/>
      <c r="BY16" s="64"/>
      <c r="BZ16" s="64"/>
      <c r="CA16" s="64"/>
      <c r="CB16" s="64"/>
      <c r="CC16" s="64"/>
      <c r="CD16" s="64"/>
      <c r="CE16" s="64"/>
      <c r="CF16" s="63">
        <v>0</v>
      </c>
    </row>
    <row r="17" s="63" customFormat="1" ht="22.5" hidden="1" customHeight="1">
      <c r="A17" s="114"/>
      <c r="B17" s="53"/>
      <c r="C17" s="169"/>
      <c r="D17" s="795"/>
      <c r="E17" s="796" t="s">
        <v>604</v>
      </c>
      <c r="F17" s="796"/>
      <c r="G17" s="796"/>
      <c r="H17" s="796"/>
      <c r="I17" s="796"/>
      <c r="J17" s="796"/>
      <c r="K17" s="796"/>
      <c r="L17" s="796"/>
      <c r="M17" s="796"/>
      <c r="N17" s="796"/>
      <c r="O17" s="796"/>
      <c r="P17" s="796"/>
      <c r="Q17" s="729">
        <f>SUMIF(T18:T19,"i",Q18:Q19)</f>
        <v>0</v>
      </c>
      <c r="R17" s="797"/>
      <c r="S17" s="314" t="s">
        <v>605</v>
      </c>
      <c r="T17" s="790" t="s">
        <v>606</v>
      </c>
      <c r="U17" s="133">
        <v>1</v>
      </c>
      <c r="V17" s="133" t="str">
        <f>INDEX(B_FHD_FLAG_INDEX_1,1,MATCH(A14,B_FHD_FLAG_DIFFERENTIATION,0))</f>
        <v>отсутствует</v>
      </c>
      <c r="W17" s="53"/>
      <c r="X17" s="53"/>
      <c r="Y17" s="53"/>
      <c r="Z17" s="53"/>
      <c r="AA17" s="57"/>
      <c r="AB17" s="53"/>
      <c r="AC17" s="791"/>
      <c r="AD17" s="64"/>
      <c r="AE17" s="53"/>
      <c r="AF17" s="53"/>
      <c r="AG17" s="57"/>
      <c r="AH17" s="57"/>
      <c r="AI17" s="57"/>
      <c r="AJ17" s="57"/>
      <c r="AK17" s="57"/>
      <c r="AL17" s="57"/>
      <c r="AM17" s="57"/>
      <c r="AN17" s="57"/>
      <c r="AO17" s="57"/>
      <c r="AP17" s="57"/>
      <c r="AQ17" s="57"/>
      <c r="AR17" s="57"/>
      <c r="AS17" s="57"/>
      <c r="AT17" s="57"/>
      <c r="AU17" s="57"/>
      <c r="AV17" s="57"/>
      <c r="AW17" s="57"/>
      <c r="AX17" s="57"/>
      <c r="AY17" s="57"/>
      <c r="AZ17" s="57"/>
      <c r="BA17" s="57"/>
      <c r="BB17" s="57"/>
      <c r="BC17" s="57"/>
      <c r="BD17" s="57"/>
      <c r="BE17" s="57"/>
      <c r="BF17" s="57"/>
      <c r="BG17" s="57"/>
      <c r="BH17" s="57"/>
      <c r="BI17" s="57"/>
      <c r="BJ17" s="57"/>
      <c r="BK17" s="57"/>
      <c r="BL17" s="57"/>
      <c r="BM17" s="57"/>
      <c r="BN17" s="57"/>
      <c r="BO17" s="57"/>
      <c r="BP17" s="57"/>
      <c r="BQ17" s="57"/>
      <c r="BR17" s="57"/>
      <c r="BS17" s="57"/>
      <c r="BT17" s="57"/>
      <c r="BU17" s="57"/>
      <c r="BV17" s="53"/>
      <c r="BW17" s="53"/>
      <c r="BX17" s="53"/>
      <c r="BY17" s="53"/>
      <c r="BZ17" s="53"/>
      <c r="CA17" s="53"/>
      <c r="CB17" s="53"/>
      <c r="CC17" s="53"/>
      <c r="CD17" s="53"/>
      <c r="CE17" s="53"/>
      <c r="CF17" s="63">
        <v>0</v>
      </c>
    </row>
    <row r="18" s="63" customFormat="1" ht="11.25" hidden="1" customHeight="1">
      <c r="A18" s="133"/>
      <c r="B18" s="57"/>
      <c r="C18" s="57"/>
      <c r="D18" s="795"/>
      <c r="E18" s="352"/>
      <c r="F18" s="352">
        <v>0</v>
      </c>
      <c r="G18" s="352"/>
      <c r="H18" s="352"/>
      <c r="I18" s="352"/>
      <c r="J18" s="352"/>
      <c r="K18" s="352"/>
      <c r="L18" s="352"/>
      <c r="M18" s="352"/>
      <c r="N18" s="352"/>
      <c r="O18" s="352"/>
      <c r="P18" s="352"/>
      <c r="Q18" s="352"/>
      <c r="R18" s="352"/>
      <c r="S18" s="351"/>
      <c r="T18" s="798"/>
      <c r="U18" s="133"/>
      <c r="V18" s="133"/>
      <c r="W18" s="57"/>
      <c r="X18" s="57"/>
      <c r="Y18" s="57"/>
      <c r="Z18" s="57"/>
      <c r="AA18" s="57"/>
      <c r="AB18" s="53"/>
      <c r="AC18" s="791"/>
      <c r="AD18" s="64"/>
      <c r="AE18" s="53"/>
      <c r="AF18" s="53"/>
      <c r="AG18" s="57"/>
      <c r="AH18" s="57"/>
      <c r="AI18" s="57"/>
      <c r="AJ18" s="57"/>
      <c r="AK18" s="57"/>
      <c r="AL18" s="57"/>
      <c r="AM18" s="57"/>
      <c r="AN18" s="57"/>
      <c r="AO18" s="57"/>
      <c r="AP18" s="57"/>
      <c r="AQ18" s="57"/>
      <c r="AR18" s="57"/>
      <c r="AS18" s="57"/>
      <c r="AT18" s="57"/>
      <c r="AU18" s="57"/>
      <c r="AV18" s="57"/>
      <c r="AW18" s="57"/>
      <c r="AX18" s="57"/>
      <c r="AY18" s="57"/>
      <c r="AZ18" s="57"/>
      <c r="BA18" s="57"/>
      <c r="BB18" s="57"/>
      <c r="BC18" s="57"/>
      <c r="BD18" s="57"/>
      <c r="BE18" s="57"/>
      <c r="BF18" s="57"/>
      <c r="BG18" s="57"/>
      <c r="BH18" s="57"/>
      <c r="BI18" s="57"/>
      <c r="BJ18" s="57"/>
      <c r="BK18" s="57"/>
      <c r="BL18" s="57"/>
      <c r="BM18" s="57"/>
      <c r="BN18" s="57"/>
      <c r="BO18" s="57"/>
      <c r="BP18" s="57"/>
      <c r="BQ18" s="57"/>
      <c r="BR18" s="57"/>
      <c r="BS18" s="57"/>
      <c r="BT18" s="57"/>
      <c r="BU18" s="57"/>
      <c r="BV18" s="57"/>
      <c r="BW18" s="57"/>
      <c r="BX18" s="57"/>
      <c r="BY18" s="57"/>
      <c r="BZ18" s="57"/>
      <c r="CA18" s="57"/>
      <c r="CB18" s="57"/>
      <c r="CC18" s="57"/>
      <c r="CD18" s="57"/>
      <c r="CE18" s="57"/>
      <c r="CF18" s="63">
        <v>0</v>
      </c>
    </row>
    <row r="19" s="63" customFormat="1" ht="11.25" hidden="1" customHeight="1">
      <c r="A19" s="114"/>
      <c r="B19" s="53"/>
      <c r="C19" s="169"/>
      <c r="D19" s="795"/>
      <c r="E19" s="639" t="s">
        <v>22</v>
      </c>
      <c r="F19" s="173" t="s">
        <v>22</v>
      </c>
      <c r="G19" s="173" t="s">
        <v>22</v>
      </c>
      <c r="H19" s="178" t="s">
        <v>22</v>
      </c>
      <c r="I19" s="178"/>
      <c r="J19" s="178"/>
      <c r="K19" s="178"/>
      <c r="L19" s="178"/>
      <c r="M19" s="178"/>
      <c r="N19" s="178"/>
      <c r="O19" s="178"/>
      <c r="P19" s="178"/>
      <c r="Q19" s="178"/>
      <c r="R19" s="230"/>
      <c r="S19" s="796"/>
      <c r="T19" s="798"/>
      <c r="U19" s="133"/>
      <c r="V19" s="133"/>
      <c r="W19" s="53"/>
      <c r="X19" s="53"/>
      <c r="Y19" s="53"/>
      <c r="Z19" s="53"/>
      <c r="AA19" s="57"/>
      <c r="AB19" s="53"/>
      <c r="AC19" s="791"/>
      <c r="AD19" s="64"/>
      <c r="AE19" s="53"/>
      <c r="AF19" s="53"/>
      <c r="AG19" s="57"/>
      <c r="AH19" s="57"/>
      <c r="AI19" s="57"/>
      <c r="AJ19" s="57"/>
      <c r="AK19" s="57"/>
      <c r="AL19" s="57"/>
      <c r="AM19" s="57"/>
      <c r="AN19" s="57"/>
      <c r="AO19" s="57"/>
      <c r="AP19" s="57"/>
      <c r="AQ19" s="57"/>
      <c r="AR19" s="57"/>
      <c r="AS19" s="57"/>
      <c r="AT19" s="57"/>
      <c r="AU19" s="57"/>
      <c r="AV19" s="57"/>
      <c r="AW19" s="57"/>
      <c r="AX19" s="57"/>
      <c r="AY19" s="57"/>
      <c r="AZ19" s="57"/>
      <c r="BA19" s="57"/>
      <c r="BB19" s="57"/>
      <c r="BC19" s="57"/>
      <c r="BD19" s="57"/>
      <c r="BE19" s="57"/>
      <c r="BF19" s="57"/>
      <c r="BG19" s="57"/>
      <c r="BH19" s="57"/>
      <c r="BI19" s="57"/>
      <c r="BJ19" s="57"/>
      <c r="BK19" s="57"/>
      <c r="BL19" s="57"/>
      <c r="BM19" s="57"/>
      <c r="BN19" s="57"/>
      <c r="BO19" s="57"/>
      <c r="BP19" s="57"/>
      <c r="BQ19" s="57"/>
      <c r="BR19" s="57"/>
      <c r="BS19" s="57"/>
      <c r="BT19" s="57"/>
      <c r="BU19" s="57"/>
      <c r="BV19" s="53"/>
      <c r="BW19" s="53"/>
      <c r="BX19" s="53"/>
      <c r="BY19" s="53"/>
      <c r="BZ19" s="53"/>
      <c r="CA19" s="53"/>
      <c r="CB19" s="53"/>
      <c r="CC19" s="53"/>
      <c r="CD19" s="53"/>
      <c r="CE19" s="53"/>
      <c r="CF19" s="63">
        <v>0</v>
      </c>
    </row>
    <row r="20" s="63" customFormat="1" ht="22.5" hidden="1" customHeight="1">
      <c r="A20" s="114"/>
      <c r="B20" s="53"/>
      <c r="C20" s="169"/>
      <c r="D20" s="795"/>
      <c r="E20" s="796" t="s">
        <v>607</v>
      </c>
      <c r="F20" s="796"/>
      <c r="G20" s="796"/>
      <c r="H20" s="796"/>
      <c r="I20" s="796"/>
      <c r="J20" s="796"/>
      <c r="K20" s="796"/>
      <c r="L20" s="796"/>
      <c r="M20" s="796"/>
      <c r="N20" s="796"/>
      <c r="O20" s="796"/>
      <c r="P20" s="796"/>
      <c r="Q20" s="729">
        <f>SUMIF(T21:T22,"i",Q21:Q22)</f>
        <v>0</v>
      </c>
      <c r="R20" s="797"/>
      <c r="S20" s="314" t="s">
        <v>608</v>
      </c>
      <c r="T20" s="790" t="s">
        <v>606</v>
      </c>
      <c r="U20" s="133">
        <v>2</v>
      </c>
      <c r="V20" s="133" t="str">
        <f>INDEX(B_FHD_FLAG_INDEX_2,1,MATCH(A14,B_FHD_FLAG_DIFFERENTIATION,0))</f>
        <v>отсутствует</v>
      </c>
      <c r="W20" s="53"/>
      <c r="X20" s="53"/>
      <c r="Y20" s="53"/>
      <c r="Z20" s="53"/>
      <c r="AA20" s="57"/>
      <c r="AB20" s="53"/>
      <c r="AC20" s="791"/>
      <c r="AD20" s="64"/>
      <c r="AE20" s="53"/>
      <c r="AF20" s="53"/>
      <c r="AG20" s="57"/>
      <c r="AH20" s="57"/>
      <c r="AI20" s="57"/>
      <c r="AJ20" s="57"/>
      <c r="AK20" s="57"/>
      <c r="AL20" s="57"/>
      <c r="AM20" s="57"/>
      <c r="AN20" s="57"/>
      <c r="AO20" s="57"/>
      <c r="AP20" s="57"/>
      <c r="AQ20" s="57"/>
      <c r="AR20" s="57"/>
      <c r="AS20" s="57"/>
      <c r="AT20" s="57"/>
      <c r="AU20" s="57"/>
      <c r="AV20" s="57"/>
      <c r="AW20" s="57"/>
      <c r="AX20" s="57"/>
      <c r="AY20" s="57"/>
      <c r="AZ20" s="57"/>
      <c r="BA20" s="57"/>
      <c r="BB20" s="57"/>
      <c r="BC20" s="57"/>
      <c r="BD20" s="57"/>
      <c r="BE20" s="57"/>
      <c r="BF20" s="57"/>
      <c r="BG20" s="57"/>
      <c r="BH20" s="57"/>
      <c r="BI20" s="57"/>
      <c r="BJ20" s="57"/>
      <c r="BK20" s="57"/>
      <c r="BL20" s="57"/>
      <c r="BM20" s="57"/>
      <c r="BN20" s="57"/>
      <c r="BO20" s="57"/>
      <c r="BP20" s="57"/>
      <c r="BQ20" s="57"/>
      <c r="BR20" s="57"/>
      <c r="BS20" s="57"/>
      <c r="BT20" s="57"/>
      <c r="BU20" s="57"/>
      <c r="BV20" s="53"/>
      <c r="BW20" s="53"/>
      <c r="BX20" s="53"/>
      <c r="BY20" s="53"/>
      <c r="BZ20" s="53"/>
      <c r="CA20" s="53"/>
      <c r="CB20" s="53"/>
      <c r="CC20" s="53"/>
      <c r="CD20" s="53"/>
      <c r="CE20" s="53"/>
      <c r="CF20" s="63">
        <v>0</v>
      </c>
    </row>
    <row r="21" s="63" customFormat="1" ht="11.25" hidden="1" customHeight="1">
      <c r="A21" s="133"/>
      <c r="B21" s="57"/>
      <c r="C21" s="57"/>
      <c r="D21" s="795"/>
      <c r="E21" s="352"/>
      <c r="F21" s="352">
        <v>0</v>
      </c>
      <c r="G21" s="352"/>
      <c r="H21" s="352"/>
      <c r="I21" s="352"/>
      <c r="J21" s="352"/>
      <c r="K21" s="352"/>
      <c r="L21" s="352"/>
      <c r="M21" s="352"/>
      <c r="N21" s="352"/>
      <c r="O21" s="352"/>
      <c r="P21" s="352"/>
      <c r="Q21" s="352"/>
      <c r="R21" s="352"/>
      <c r="S21" s="351"/>
      <c r="T21" s="798"/>
      <c r="U21" s="133"/>
      <c r="V21" s="133"/>
      <c r="W21" s="57"/>
      <c r="X21" s="57"/>
      <c r="Y21" s="57"/>
      <c r="Z21" s="57"/>
      <c r="AA21" s="57"/>
      <c r="AB21" s="53"/>
      <c r="AC21" s="791"/>
      <c r="AD21" s="64"/>
      <c r="AE21" s="53"/>
      <c r="AF21" s="53"/>
      <c r="AG21" s="57"/>
      <c r="AH21" s="57"/>
      <c r="AI21" s="57"/>
      <c r="AJ21" s="57"/>
      <c r="AK21" s="57"/>
      <c r="AL21" s="57"/>
      <c r="AM21" s="57"/>
      <c r="AN21" s="57"/>
      <c r="AO21" s="57"/>
      <c r="AP21" s="57"/>
      <c r="AQ21" s="57"/>
      <c r="AR21" s="57"/>
      <c r="AS21" s="57"/>
      <c r="AT21" s="57"/>
      <c r="AU21" s="57"/>
      <c r="AV21" s="57"/>
      <c r="AW21" s="57"/>
      <c r="AX21" s="57"/>
      <c r="AY21" s="57"/>
      <c r="AZ21" s="57"/>
      <c r="BA21" s="57"/>
      <c r="BB21" s="57"/>
      <c r="BC21" s="57"/>
      <c r="BD21" s="57"/>
      <c r="BE21" s="57"/>
      <c r="BF21" s="57"/>
      <c r="BG21" s="57"/>
      <c r="BH21" s="57"/>
      <c r="BI21" s="57"/>
      <c r="BJ21" s="57"/>
      <c r="BK21" s="57"/>
      <c r="BL21" s="57"/>
      <c r="BM21" s="57"/>
      <c r="BN21" s="57"/>
      <c r="BO21" s="57"/>
      <c r="BP21" s="57"/>
      <c r="BQ21" s="57"/>
      <c r="BR21" s="57"/>
      <c r="BS21" s="57"/>
      <c r="BT21" s="57"/>
      <c r="BU21" s="57"/>
      <c r="BV21" s="57"/>
      <c r="BW21" s="57"/>
      <c r="BX21" s="57"/>
      <c r="BY21" s="57"/>
      <c r="BZ21" s="57"/>
      <c r="CA21" s="57"/>
      <c r="CB21" s="57"/>
      <c r="CC21" s="57"/>
      <c r="CD21" s="57"/>
      <c r="CE21" s="57"/>
      <c r="CF21" s="63">
        <v>0</v>
      </c>
    </row>
    <row r="22" s="63" customFormat="1" ht="11.25" hidden="1" customHeight="1">
      <c r="A22" s="114"/>
      <c r="B22" s="53"/>
      <c r="C22" s="169"/>
      <c r="D22" s="799"/>
      <c r="E22" s="639" t="s">
        <v>22</v>
      </c>
      <c r="F22" s="173" t="s">
        <v>22</v>
      </c>
      <c r="G22" s="173" t="s">
        <v>22</v>
      </c>
      <c r="H22" s="178" t="s">
        <v>22</v>
      </c>
      <c r="I22" s="178"/>
      <c r="J22" s="178"/>
      <c r="K22" s="178"/>
      <c r="L22" s="178"/>
      <c r="M22" s="178"/>
      <c r="N22" s="178"/>
      <c r="O22" s="178"/>
      <c r="P22" s="178"/>
      <c r="Q22" s="178"/>
      <c r="R22" s="230"/>
      <c r="S22" s="796"/>
      <c r="T22" s="798"/>
      <c r="U22" s="133"/>
      <c r="V22" s="133"/>
      <c r="W22" s="53"/>
      <c r="X22" s="53"/>
      <c r="Y22" s="53"/>
      <c r="Z22" s="53"/>
      <c r="AA22" s="57"/>
      <c r="AB22" s="53"/>
      <c r="AC22" s="791"/>
      <c r="AD22" s="64"/>
      <c r="AE22" s="53"/>
      <c r="AF22" s="53"/>
      <c r="AG22" s="57"/>
      <c r="AH22" s="57"/>
      <c r="AI22" s="57"/>
      <c r="AJ22" s="57"/>
      <c r="AK22" s="57"/>
      <c r="AL22" s="57"/>
      <c r="AM22" s="57"/>
      <c r="AN22" s="57"/>
      <c r="AO22" s="57"/>
      <c r="AP22" s="57"/>
      <c r="AQ22" s="57"/>
      <c r="AR22" s="57"/>
      <c r="AS22" s="57"/>
      <c r="AT22" s="57"/>
      <c r="AU22" s="57"/>
      <c r="AV22" s="57"/>
      <c r="AW22" s="57"/>
      <c r="AX22" s="57"/>
      <c r="AY22" s="57"/>
      <c r="AZ22" s="57"/>
      <c r="BA22" s="57"/>
      <c r="BB22" s="57"/>
      <c r="BC22" s="57"/>
      <c r="BD22" s="57"/>
      <c r="BE22" s="57"/>
      <c r="BF22" s="57"/>
      <c r="BG22" s="57"/>
      <c r="BH22" s="57"/>
      <c r="BI22" s="57"/>
      <c r="BJ22" s="57"/>
      <c r="BK22" s="57"/>
      <c r="BL22" s="57"/>
      <c r="BM22" s="57"/>
      <c r="BN22" s="57"/>
      <c r="BO22" s="57"/>
      <c r="BP22" s="57"/>
      <c r="BQ22" s="57"/>
      <c r="BR22" s="57"/>
      <c r="BS22" s="57"/>
      <c r="BT22" s="57"/>
      <c r="BU22" s="57"/>
      <c r="BV22" s="53"/>
      <c r="BW22" s="53"/>
      <c r="BX22" s="53"/>
      <c r="BY22" s="53"/>
      <c r="BZ22" s="53"/>
      <c r="CA22" s="53"/>
      <c r="CB22" s="53"/>
      <c r="CC22" s="53"/>
      <c r="CD22" s="53"/>
      <c r="CE22" s="53"/>
      <c r="CF22" s="63">
        <v>0</v>
      </c>
    </row>
    <row r="23" ht="19.949999999999999" customHeight="1">
      <c r="D23" s="800"/>
      <c r="E23" s="800"/>
      <c r="F23" s="800"/>
      <c r="G23" s="800"/>
      <c r="H23" s="800"/>
      <c r="I23" s="800"/>
      <c r="J23" s="800"/>
      <c r="K23" s="800"/>
      <c r="L23" s="800"/>
      <c r="M23" s="800"/>
      <c r="N23" s="800"/>
      <c r="O23" s="800"/>
      <c r="P23" s="800"/>
      <c r="Q23" s="800"/>
      <c r="R23" s="800"/>
      <c r="S23" s="800"/>
      <c r="T23" s="782"/>
      <c r="CF23" s="50">
        <v>19</v>
      </c>
    </row>
    <row r="24" ht="11.5" customHeight="1">
      <c r="D24" s="50"/>
      <c r="CF24" s="50">
        <v>11</v>
      </c>
    </row>
    <row r="25" ht="11.5" customHeight="1">
      <c r="D25" s="141"/>
      <c r="E25" s="141"/>
      <c r="F25" s="141"/>
      <c r="G25" s="185"/>
      <c r="CF25" s="50">
        <v>11</v>
      </c>
    </row>
    <row r="26" ht="11.5" customHeight="1">
      <c r="CF26" s="50">
        <v>11</v>
      </c>
    </row>
    <row r="27" ht="11.5" customHeight="1">
      <c r="D27" s="397"/>
      <c r="E27" s="801"/>
      <c r="F27" s="801"/>
      <c r="G27" s="801"/>
      <c r="H27" s="801"/>
      <c r="I27" s="801"/>
      <c r="J27" s="801"/>
      <c r="K27" s="801"/>
      <c r="L27" s="801"/>
      <c r="M27" s="801"/>
      <c r="N27" s="801"/>
      <c r="O27" s="801"/>
      <c r="P27" s="801"/>
      <c r="Q27" s="801"/>
      <c r="R27" s="801"/>
      <c r="CF27" s="50">
        <v>11</v>
      </c>
    </row>
    <row r="28" ht="11.5" customHeight="1">
      <c r="F28" s="50"/>
      <c r="G28" s="50"/>
      <c r="CF28" s="50">
        <v>11</v>
      </c>
    </row>
    <row r="29" ht="11.25" hidden="1" customHeight="1">
      <c r="A29" s="775" t="s">
        <v>81</v>
      </c>
      <c r="B29" s="56">
        <v>0</v>
      </c>
      <c r="C29" s="50">
        <v>3</v>
      </c>
      <c r="D29" s="50">
        <v>0</v>
      </c>
      <c r="E29" s="50">
        <v>7</v>
      </c>
      <c r="F29" s="50">
        <v>7</v>
      </c>
      <c r="G29" s="50">
        <v>29</v>
      </c>
      <c r="H29" s="50">
        <v>3</v>
      </c>
      <c r="I29" s="50">
        <v>5</v>
      </c>
      <c r="J29" s="50">
        <v>24</v>
      </c>
      <c r="K29" s="50">
        <v>24</v>
      </c>
      <c r="L29" s="50">
        <v>3</v>
      </c>
      <c r="M29" s="50">
        <v>6</v>
      </c>
      <c r="N29" s="50">
        <v>25</v>
      </c>
      <c r="O29" s="50">
        <v>18</v>
      </c>
      <c r="P29" s="50">
        <v>18</v>
      </c>
      <c r="Q29" s="50">
        <v>18</v>
      </c>
      <c r="R29" s="50">
        <v>18</v>
      </c>
      <c r="S29" s="50">
        <v>93</v>
      </c>
      <c r="T29" s="50">
        <v>10</v>
      </c>
      <c r="U29" s="57">
        <v>10</v>
      </c>
      <c r="V29" s="57">
        <v>11</v>
      </c>
      <c r="W29" s="56">
        <v>10</v>
      </c>
      <c r="X29" s="56">
        <v>10</v>
      </c>
      <c r="Y29" s="56">
        <v>10</v>
      </c>
      <c r="Z29" s="56">
        <v>10</v>
      </c>
      <c r="AA29" s="56">
        <v>10</v>
      </c>
      <c r="AB29" s="50">
        <v>8</v>
      </c>
      <c r="AC29" s="50">
        <v>8</v>
      </c>
      <c r="AD29" s="50">
        <v>8</v>
      </c>
      <c r="AE29" s="50">
        <v>8</v>
      </c>
      <c r="AF29" s="50">
        <v>8</v>
      </c>
      <c r="AG29" s="50">
        <v>8</v>
      </c>
      <c r="AH29" s="50">
        <v>8</v>
      </c>
      <c r="AI29" s="50">
        <v>8</v>
      </c>
      <c r="AJ29" s="50">
        <v>8</v>
      </c>
      <c r="AK29" s="50">
        <v>8</v>
      </c>
      <c r="AL29" s="50">
        <v>8</v>
      </c>
      <c r="AM29" s="50">
        <v>8</v>
      </c>
      <c r="AN29" s="50">
        <v>8</v>
      </c>
      <c r="AO29" s="50">
        <v>8</v>
      </c>
      <c r="AP29" s="50">
        <v>8</v>
      </c>
      <c r="AQ29" s="50">
        <v>8</v>
      </c>
      <c r="AR29" s="50">
        <v>8</v>
      </c>
      <c r="AS29" s="50">
        <v>8</v>
      </c>
      <c r="AT29" s="50">
        <v>8</v>
      </c>
      <c r="AU29" s="50">
        <v>8</v>
      </c>
      <c r="AV29" s="50">
        <v>8</v>
      </c>
      <c r="AW29" s="50">
        <v>8</v>
      </c>
      <c r="AX29" s="50">
        <v>8</v>
      </c>
      <c r="AY29" s="50">
        <v>8</v>
      </c>
      <c r="AZ29" s="50">
        <v>8</v>
      </c>
      <c r="BA29" s="50">
        <v>8</v>
      </c>
      <c r="BB29" s="50">
        <v>8</v>
      </c>
      <c r="BC29" s="50">
        <v>8</v>
      </c>
      <c r="BD29" s="50">
        <v>8</v>
      </c>
      <c r="BE29" s="50">
        <v>8</v>
      </c>
      <c r="BF29" s="50">
        <v>8</v>
      </c>
      <c r="BG29" s="50">
        <v>8</v>
      </c>
      <c r="BH29" s="50">
        <v>8</v>
      </c>
      <c r="BI29" s="50">
        <v>8</v>
      </c>
      <c r="BJ29" s="50">
        <v>8</v>
      </c>
      <c r="BK29" s="50">
        <v>8</v>
      </c>
      <c r="BL29" s="50">
        <v>8</v>
      </c>
      <c r="BM29" s="50">
        <v>8</v>
      </c>
      <c r="BN29" s="50">
        <v>8</v>
      </c>
      <c r="BO29" s="50">
        <v>8</v>
      </c>
      <c r="BP29" s="50">
        <v>8</v>
      </c>
      <c r="BQ29" s="50">
        <v>8</v>
      </c>
      <c r="BR29" s="50">
        <v>8</v>
      </c>
      <c r="BS29" s="50">
        <v>8</v>
      </c>
      <c r="BT29" s="50">
        <v>8</v>
      </c>
      <c r="BU29" s="50">
        <v>8</v>
      </c>
      <c r="BV29" s="50">
        <v>8</v>
      </c>
      <c r="BW29" s="50">
        <v>8</v>
      </c>
      <c r="BX29" s="50">
        <v>8</v>
      </c>
      <c r="BY29" s="50">
        <v>8</v>
      </c>
      <c r="BZ29" s="50">
        <v>8</v>
      </c>
      <c r="CA29" s="50">
        <v>8</v>
      </c>
      <c r="CB29" s="50">
        <v>8</v>
      </c>
      <c r="CC29" s="50">
        <v>8</v>
      </c>
      <c r="CD29" s="50">
        <v>8</v>
      </c>
      <c r="CE29" s="50">
        <v>8</v>
      </c>
      <c r="CF29" s="50">
        <v>11</v>
      </c>
    </row>
  </sheetData>
  <sheetProtection autoFilter="0" deleteColumns="1" deleteRows="1" formatCells="1" formatColumns="0" formatRows="0" insertColumns="1" insertHyperlinks="1" insertRows="1" objects="0" pivotTables="1" scenarios="0" selectLockedCells="0" selectUnlockedCells="0" sheet="1" sort="1"/>
  <mergeCells count="22">
    <mergeCell ref="E5:K5"/>
    <mergeCell ref="E6:K6"/>
    <mergeCell ref="E9:R9"/>
    <mergeCell ref="S9:S10"/>
    <mergeCell ref="E10:F10"/>
    <mergeCell ref="H10:I10"/>
    <mergeCell ref="L10:M10"/>
    <mergeCell ref="D14:D22"/>
    <mergeCell ref="E14:G14"/>
    <mergeCell ref="H14:R14"/>
    <mergeCell ref="AC14:AC19"/>
    <mergeCell ref="E15:G15"/>
    <mergeCell ref="H15:R15"/>
    <mergeCell ref="E16:G16"/>
    <mergeCell ref="H16:R16"/>
    <mergeCell ref="E17:P17"/>
    <mergeCell ref="U17:U19"/>
    <mergeCell ref="V17:V19"/>
    <mergeCell ref="E20:P20"/>
    <mergeCell ref="U20:U22"/>
    <mergeCell ref="V20:V22"/>
    <mergeCell ref="E27:R27"/>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zoomScale="90" workbookViewId="0">
      <pane xSplit="12" ySplit="14" topLeftCell="M15" activePane="bottomRight" state="frozen"/>
      <selection activeCell="A1" activeCellId="0" sqref="A1"/>
    </sheetView>
  </sheetViews>
  <sheetFormatPr defaultColWidth="9.140625" defaultRowHeight="11.25" customHeight="1"/>
  <cols>
    <col customWidth="1" hidden="1" min="1" max="5" style="706" width="10.7109375"/>
    <col customWidth="1" hidden="1" min="6" max="6" style="53" width="16.8515625"/>
    <col customWidth="1" hidden="1" min="7" max="7" style="57" width="5.57421875"/>
    <col customWidth="1" min="8" max="8" style="50" width="3.00390625"/>
    <col customWidth="1" min="9" max="9" style="50" width="7.00390625"/>
    <col customWidth="1" min="10" max="10" style="50" width="56.00390625"/>
    <col customWidth="1" min="11" max="11" style="50" width="10.00390625"/>
    <col customWidth="1" hidden="1" min="12" max="12" style="50" width="40.57421875"/>
    <col customWidth="1" min="13" max="13" style="50" width="40.7109375"/>
    <col customWidth="1" hidden="1" min="14" max="14" style="53" width="9.7109375"/>
    <col customWidth="1" min="15" max="15" style="50" width="102.00390625"/>
    <col customWidth="1" min="16" max="16" style="53" width="9.00390625"/>
    <col customWidth="1" min="17" max="17" style="57" width="5.00390625"/>
    <col customWidth="1" min="18" max="18" style="57" width="3.00390625"/>
    <col customWidth="1" min="19" max="22" style="53" width="3.00390625"/>
    <col customWidth="1" min="23" max="23" style="57" width="10.00390625"/>
    <col customWidth="1" min="24" max="24" style="53" width="34.00390625"/>
    <col customWidth="1" min="25" max="25" style="53" width="9.00390625"/>
    <col customWidth="1" min="26" max="26" style="707" width="8.00390625"/>
    <col customWidth="1" min="27" max="31" style="53" width="8.00390625"/>
    <col customWidth="1" min="32" max="36" style="56" width="8.00390625"/>
    <col customWidth="1" hidden="1" min="37" max="37" style="50" width="5.421875"/>
  </cols>
  <sheetData>
    <row r="1" s="53" customFormat="1" ht="33.75" hidden="1" customHeight="1">
      <c r="A1" s="706"/>
      <c r="B1" s="706"/>
      <c r="C1" s="706"/>
      <c r="D1" s="706"/>
      <c r="E1" s="706"/>
      <c r="G1" s="57"/>
      <c r="H1" s="53"/>
      <c r="L1" s="53">
        <v>4</v>
      </c>
      <c r="M1" s="53">
        <v>4</v>
      </c>
      <c r="Q1" s="57"/>
      <c r="R1" s="57"/>
      <c r="W1" s="57"/>
      <c r="AK1" s="53" t="s">
        <v>14</v>
      </c>
    </row>
    <row r="2" s="53" customFormat="1" ht="78.75" hidden="1" customHeight="1">
      <c r="A2" s="706"/>
      <c r="B2" s="802" t="s">
        <v>609</v>
      </c>
      <c r="C2" s="802" t="s">
        <v>610</v>
      </c>
      <c r="D2" s="803" t="s">
        <v>611</v>
      </c>
      <c r="E2" s="804" t="e">
        <f>RIGHT(I2,LEN(I2)-SEARCH("#",SUBSTITUTE(I2,".","#",LEN(I2)-LEN(SUBSTITUTE(I2,".","")))))</f>
        <v>#VALUE!</v>
      </c>
      <c r="F2" s="804">
        <f>J2</f>
        <v>0</v>
      </c>
      <c r="G2" s="57"/>
      <c r="H2" s="207"/>
      <c r="I2" s="219"/>
      <c r="J2" s="160"/>
      <c r="K2" s="72" t="s">
        <v>550</v>
      </c>
      <c r="L2" s="508"/>
      <c r="M2" s="508"/>
      <c r="N2" s="710"/>
      <c r="O2" s="486" t="s">
        <v>551</v>
      </c>
      <c r="P2" s="710"/>
      <c r="Q2" s="57"/>
      <c r="R2" s="57"/>
      <c r="W2" s="57"/>
      <c r="Z2" s="707"/>
      <c r="AF2" s="56"/>
      <c r="AG2" s="56"/>
      <c r="AH2" s="56"/>
      <c r="AI2" s="56"/>
      <c r="AJ2" s="56"/>
      <c r="AK2" s="53">
        <v>0</v>
      </c>
    </row>
    <row r="3" ht="11.25" hidden="1" customHeight="1">
      <c r="E3" s="805" t="s">
        <v>612</v>
      </c>
      <c r="L3" s="50">
        <f>0</f>
        <v>0</v>
      </c>
      <c r="M3" s="50">
        <v>1</v>
      </c>
      <c r="AK3" s="50">
        <v>0</v>
      </c>
    </row>
    <row r="4" s="56" customFormat="1" ht="11.25" hidden="1" customHeight="1">
      <c r="A4" s="706"/>
      <c r="B4" s="706"/>
      <c r="C4" s="706"/>
      <c r="E4" s="706"/>
      <c r="F4" s="53"/>
      <c r="G4" s="57"/>
      <c r="H4" s="56"/>
      <c r="N4" s="53"/>
      <c r="O4" s="56">
        <v>4</v>
      </c>
      <c r="P4" s="53"/>
      <c r="Q4" s="57"/>
      <c r="R4" s="57"/>
      <c r="S4" s="53"/>
      <c r="T4" s="53"/>
      <c r="U4" s="53"/>
      <c r="V4" s="53"/>
      <c r="W4" s="57"/>
      <c r="X4" s="53"/>
      <c r="Y4" s="53"/>
      <c r="Z4" s="707"/>
      <c r="AA4" s="53"/>
      <c r="AB4" s="53"/>
      <c r="AC4" s="53"/>
      <c r="AD4" s="53"/>
      <c r="AE4" s="53"/>
      <c r="AK4" s="56">
        <v>0</v>
      </c>
    </row>
    <row r="5" ht="11.5" customHeight="1">
      <c r="AK5" s="50">
        <v>11</v>
      </c>
    </row>
    <row r="6" ht="57.75" customHeight="1">
      <c r="I6" s="299" t="s">
        <v>613</v>
      </c>
      <c r="J6" s="299"/>
      <c r="K6" s="299"/>
      <c r="L6" s="299"/>
      <c r="M6" s="299"/>
      <c r="O6" s="241"/>
      <c r="AK6" s="50">
        <v>55</v>
      </c>
    </row>
    <row r="7" ht="25.199999999999999" customHeight="1">
      <c r="I7" s="304" t="str">
        <f>IF(org=0,"Не определено",org)</f>
        <v xml:space="preserve">АО "ДГК" СП "Биробиджанская ТЭЦ"</v>
      </c>
      <c r="J7" s="304"/>
      <c r="K7" s="304"/>
      <c r="L7" s="304"/>
      <c r="M7" s="304"/>
      <c r="AK7" s="50">
        <v>24</v>
      </c>
    </row>
    <row r="8" ht="11.5" customHeight="1">
      <c r="I8" s="720"/>
      <c r="J8" s="720"/>
      <c r="K8" s="720"/>
      <c r="L8" s="720"/>
      <c r="M8" s="720"/>
      <c r="AK8" s="50">
        <v>11</v>
      </c>
    </row>
    <row r="9" s="57" customFormat="1" ht="30" hidden="1" customHeight="1">
      <c r="A9" s="532"/>
      <c r="B9" s="532"/>
      <c r="C9" s="532"/>
      <c r="E9" s="532"/>
      <c r="H9" s="57"/>
      <c r="L9" s="721"/>
      <c r="M9" s="721" t="s">
        <v>113</v>
      </c>
      <c r="AK9" s="57">
        <v>1</v>
      </c>
    </row>
    <row r="10" ht="11.5" customHeight="1">
      <c r="E10" s="806" t="s">
        <v>614</v>
      </c>
      <c r="I10" s="722"/>
      <c r="J10" s="723" t="s">
        <v>101</v>
      </c>
      <c r="K10" s="724"/>
      <c r="L10" s="725" t="str">
        <f>IF(L9="","",INDEX(DIFFERENTIATION_UNMERGE_VD,MATCH(L9,DIFFERENTIATION_ID_DIFF,0)))</f>
        <v/>
      </c>
      <c r="M10" s="725">
        <f>IF(M9="","",INDEX(DIFFERENTIATION_UNMERGE_VD,MATCH(M9,DIFFERENTIATION_ID_DIFF,0)))</f>
        <v>0</v>
      </c>
      <c r="O10" s="158" t="s">
        <v>295</v>
      </c>
      <c r="AK10" s="50">
        <v>11</v>
      </c>
    </row>
    <row r="11" ht="11.5" customHeight="1">
      <c r="E11" s="806" t="s">
        <v>615</v>
      </c>
      <c r="I11" s="722"/>
      <c r="J11" s="723" t="s">
        <v>558</v>
      </c>
      <c r="K11" s="724"/>
      <c r="L11" s="725" t="str">
        <f>IF(L9="","",INDEX(DIFFERENTIATION_UNMERGE_AREA,MATCH(L9,DIFFERENTIATION_ID_DIFF,0)))</f>
        <v/>
      </c>
      <c r="M11" s="725" t="str">
        <f>IF(M9="","",INDEX(DIFFERENTIATION_UNMERGE_AREA,MATCH(M9,DIFFERENTIATION_ID_DIFF,0)))</f>
        <v/>
      </c>
      <c r="O11" s="158"/>
      <c r="AK11" s="50">
        <v>11</v>
      </c>
    </row>
    <row r="12" ht="11.5" customHeight="1">
      <c r="E12" s="806" t="s">
        <v>616</v>
      </c>
      <c r="I12" s="807"/>
      <c r="J12" s="723" t="s">
        <v>559</v>
      </c>
      <c r="K12" s="724"/>
      <c r="L12" s="725" t="str">
        <f>IF(L9="","",INDEX(DIFFERENTIATION_UNMERGE_SYSTEM,MATCH(L9,DIFFERENTIATION_ID_DIFF,0)))</f>
        <v/>
      </c>
      <c r="M12" s="725" t="str">
        <f>IF(M9="","",INDEX(DIFFERENTIATION_UNMERGE_SYSTEM,MATCH(M9,DIFFERENTIATION_ID_DIFF,0)))</f>
        <v xml:space="preserve">без дифференциации</v>
      </c>
      <c r="O12" s="158"/>
      <c r="AK12" s="50">
        <v>11</v>
      </c>
    </row>
    <row r="13" ht="11.5" customHeight="1">
      <c r="E13" s="806" t="s">
        <v>617</v>
      </c>
      <c r="F13" s="806" t="s">
        <v>618</v>
      </c>
      <c r="I13" s="726" t="s">
        <v>294</v>
      </c>
      <c r="J13" s="727"/>
      <c r="K13" s="727"/>
      <c r="L13" s="723"/>
      <c r="M13" s="808"/>
      <c r="O13" s="158"/>
      <c r="AK13" s="50">
        <v>11</v>
      </c>
    </row>
    <row r="14" ht="24" customHeight="1">
      <c r="I14" s="158" t="s">
        <v>87</v>
      </c>
      <c r="J14" s="158" t="s">
        <v>296</v>
      </c>
      <c r="K14" s="158" t="s">
        <v>560</v>
      </c>
      <c r="L14" s="73" t="s">
        <v>297</v>
      </c>
      <c r="M14" s="158" t="s">
        <v>297</v>
      </c>
      <c r="O14" s="158"/>
      <c r="AK14" s="50">
        <v>23</v>
      </c>
    </row>
    <row r="15" ht="24" customHeight="1">
      <c r="A15" s="809"/>
      <c r="B15" s="802" t="s">
        <v>619</v>
      </c>
      <c r="C15" s="802" t="s">
        <v>620</v>
      </c>
      <c r="D15" s="803" t="s">
        <v>621</v>
      </c>
      <c r="E15" s="804" t="s">
        <v>622</v>
      </c>
      <c r="F15" s="804" t="s">
        <v>622</v>
      </c>
      <c r="G15" s="57" t="s">
        <v>582</v>
      </c>
      <c r="H15" s="126"/>
      <c r="I15" s="810">
        <v>1</v>
      </c>
      <c r="J15" s="314" t="s">
        <v>623</v>
      </c>
      <c r="K15" s="158" t="s">
        <v>300</v>
      </c>
      <c r="L15" s="811"/>
      <c r="M15" s="759"/>
      <c r="N15" s="710" t="s">
        <v>624</v>
      </c>
      <c r="O15" s="486" t="s">
        <v>625</v>
      </c>
      <c r="P15" s="710" t="s">
        <v>624</v>
      </c>
      <c r="AK15" s="50">
        <v>23</v>
      </c>
    </row>
    <row r="16" ht="35.649999999999999" customHeight="1">
      <c r="A16" s="809"/>
      <c r="B16" s="802" t="s">
        <v>626</v>
      </c>
      <c r="C16" s="802" t="s">
        <v>627</v>
      </c>
      <c r="D16" s="803" t="s">
        <v>611</v>
      </c>
      <c r="E16" s="804" t="s">
        <v>622</v>
      </c>
      <c r="F16" s="804" t="s">
        <v>622</v>
      </c>
      <c r="H16" s="126"/>
      <c r="I16" s="812">
        <v>2</v>
      </c>
      <c r="J16" s="329" t="s">
        <v>628</v>
      </c>
      <c r="K16" s="308" t="s">
        <v>550</v>
      </c>
      <c r="L16" s="813"/>
      <c r="M16" s="814"/>
      <c r="N16" s="710" t="s">
        <v>624</v>
      </c>
      <c r="O16" s="486" t="s">
        <v>629</v>
      </c>
      <c r="P16" s="710" t="s">
        <v>624</v>
      </c>
      <c r="AK16" s="50">
        <v>34</v>
      </c>
    </row>
    <row r="17" s="57" customFormat="1" ht="17.25" hidden="1" customHeight="1">
      <c r="A17" s="532"/>
      <c r="B17" s="532"/>
      <c r="C17" s="532"/>
      <c r="D17" s="532"/>
      <c r="E17" s="532"/>
      <c r="H17" s="532"/>
      <c r="I17" s="159" t="s">
        <v>630</v>
      </c>
      <c r="J17" s="752"/>
      <c r="K17" s="159"/>
      <c r="L17" s="753"/>
      <c r="M17" s="753"/>
      <c r="O17" s="592"/>
      <c r="AK17" s="57">
        <v>1</v>
      </c>
    </row>
    <row r="18" s="53" customFormat="1" ht="24" customHeight="1">
      <c r="A18" s="706"/>
      <c r="B18" s="706"/>
      <c r="C18" s="706"/>
      <c r="D18" s="706"/>
      <c r="E18" s="706"/>
      <c r="G18" s="57"/>
      <c r="H18" s="129"/>
      <c r="I18" s="741"/>
      <c r="J18" s="236" t="s">
        <v>580</v>
      </c>
      <c r="K18" s="742"/>
      <c r="L18" s="815"/>
      <c r="M18" s="743"/>
      <c r="N18" s="710"/>
      <c r="O18" s="486" t="s">
        <v>581</v>
      </c>
      <c r="P18" s="710"/>
      <c r="Q18" s="57"/>
      <c r="R18" s="57"/>
      <c r="W18" s="57"/>
      <c r="Z18" s="707"/>
      <c r="AF18" s="56"/>
      <c r="AG18" s="56"/>
      <c r="AH18" s="56"/>
      <c r="AI18" s="56"/>
      <c r="AJ18" s="56"/>
      <c r="AK18" s="53">
        <v>23</v>
      </c>
    </row>
    <row r="19" ht="19.949999999999999" customHeight="1">
      <c r="A19" s="809"/>
      <c r="B19" s="802" t="s">
        <v>631</v>
      </c>
      <c r="C19" s="802" t="s">
        <v>632</v>
      </c>
      <c r="D19" s="803" t="s">
        <v>611</v>
      </c>
      <c r="E19" s="804" t="s">
        <v>622</v>
      </c>
      <c r="F19" s="804" t="s">
        <v>622</v>
      </c>
      <c r="H19" s="126"/>
      <c r="I19" s="816">
        <v>3</v>
      </c>
      <c r="J19" s="314" t="s">
        <v>632</v>
      </c>
      <c r="K19" s="146" t="s">
        <v>550</v>
      </c>
      <c r="L19" s="817"/>
      <c r="M19" s="728"/>
      <c r="N19" s="710"/>
      <c r="O19" s="486" t="s">
        <v>633</v>
      </c>
      <c r="P19" s="710"/>
      <c r="AK19" s="50">
        <v>19</v>
      </c>
    </row>
    <row r="20" ht="77.700000000000003" customHeight="1">
      <c r="A20" s="809"/>
      <c r="B20" s="802" t="s">
        <v>634</v>
      </c>
      <c r="C20" s="802" t="s">
        <v>635</v>
      </c>
      <c r="D20" s="803" t="s">
        <v>611</v>
      </c>
      <c r="E20" s="804" t="s">
        <v>622</v>
      </c>
      <c r="F20" s="804" t="s">
        <v>622</v>
      </c>
      <c r="H20" s="126"/>
      <c r="I20" s="816">
        <v>4</v>
      </c>
      <c r="J20" s="314" t="s">
        <v>636</v>
      </c>
      <c r="K20" s="146" t="s">
        <v>577</v>
      </c>
      <c r="L20" s="817"/>
      <c r="M20" s="728"/>
      <c r="N20" s="710"/>
      <c r="O20" s="486"/>
      <c r="P20" s="710"/>
      <c r="AK20" s="50">
        <v>74</v>
      </c>
    </row>
    <row r="21" ht="35.649999999999999" customHeight="1">
      <c r="A21" s="809"/>
      <c r="B21" s="802" t="s">
        <v>637</v>
      </c>
      <c r="C21" s="802" t="s">
        <v>638</v>
      </c>
      <c r="D21" s="803" t="s">
        <v>611</v>
      </c>
      <c r="E21" s="804" t="s">
        <v>622</v>
      </c>
      <c r="F21" s="804" t="s">
        <v>622</v>
      </c>
      <c r="H21" s="126"/>
      <c r="I21" s="816">
        <v>5</v>
      </c>
      <c r="J21" s="314" t="s">
        <v>639</v>
      </c>
      <c r="K21" s="146" t="s">
        <v>577</v>
      </c>
      <c r="L21" s="817"/>
      <c r="M21" s="728"/>
      <c r="N21" s="710"/>
      <c r="O21" s="486" t="s">
        <v>633</v>
      </c>
      <c r="P21" s="710"/>
      <c r="AK21" s="50">
        <v>34</v>
      </c>
    </row>
    <row r="22" ht="48.25" customHeight="1">
      <c r="A22" s="809"/>
      <c r="B22" s="802" t="s">
        <v>640</v>
      </c>
      <c r="C22" s="802" t="s">
        <v>641</v>
      </c>
      <c r="D22" s="803" t="s">
        <v>611</v>
      </c>
      <c r="E22" s="804" t="s">
        <v>622</v>
      </c>
      <c r="F22" s="804" t="s">
        <v>622</v>
      </c>
      <c r="H22" s="126"/>
      <c r="I22" s="816">
        <v>6</v>
      </c>
      <c r="J22" s="314" t="s">
        <v>642</v>
      </c>
      <c r="K22" s="146" t="s">
        <v>577</v>
      </c>
      <c r="L22" s="817"/>
      <c r="M22" s="728"/>
      <c r="N22" s="710"/>
      <c r="O22" s="486" t="s">
        <v>643</v>
      </c>
      <c r="P22" s="710"/>
      <c r="AK22" s="50">
        <v>46</v>
      </c>
    </row>
    <row r="23" ht="19.949999999999999" customHeight="1">
      <c r="A23" s="809"/>
      <c r="B23" s="802" t="s">
        <v>644</v>
      </c>
      <c r="C23" s="802" t="s">
        <v>645</v>
      </c>
      <c r="D23" s="803" t="s">
        <v>611</v>
      </c>
      <c r="E23" s="804" t="s">
        <v>622</v>
      </c>
      <c r="F23" s="804" t="s">
        <v>622</v>
      </c>
      <c r="H23" s="126"/>
      <c r="I23" s="816" t="s">
        <v>646</v>
      </c>
      <c r="J23" s="674" t="s">
        <v>647</v>
      </c>
      <c r="K23" s="146" t="s">
        <v>577</v>
      </c>
      <c r="L23" s="817"/>
      <c r="M23" s="728"/>
      <c r="N23" s="710"/>
      <c r="O23" s="486" t="s">
        <v>633</v>
      </c>
      <c r="P23" s="710"/>
      <c r="AK23" s="50">
        <v>19</v>
      </c>
    </row>
    <row r="24" ht="19.949999999999999" customHeight="1">
      <c r="A24" s="809"/>
      <c r="B24" s="802" t="s">
        <v>648</v>
      </c>
      <c r="C24" s="802" t="s">
        <v>649</v>
      </c>
      <c r="D24" s="803" t="s">
        <v>611</v>
      </c>
      <c r="E24" s="804" t="s">
        <v>622</v>
      </c>
      <c r="F24" s="804" t="s">
        <v>622</v>
      </c>
      <c r="H24" s="126"/>
      <c r="I24" s="816" t="s">
        <v>650</v>
      </c>
      <c r="J24" s="674" t="s">
        <v>651</v>
      </c>
      <c r="K24" s="146" t="s">
        <v>577</v>
      </c>
      <c r="L24" s="817"/>
      <c r="M24" s="728"/>
      <c r="N24" s="710"/>
      <c r="O24" s="486"/>
      <c r="P24" s="710"/>
      <c r="AK24" s="50">
        <v>19</v>
      </c>
    </row>
    <row r="25" ht="24" customHeight="1">
      <c r="A25" s="809"/>
      <c r="B25" s="802" t="s">
        <v>652</v>
      </c>
      <c r="C25" s="802" t="s">
        <v>653</v>
      </c>
      <c r="D25" s="803" t="s">
        <v>611</v>
      </c>
      <c r="E25" s="804" t="s">
        <v>622</v>
      </c>
      <c r="F25" s="804" t="s">
        <v>622</v>
      </c>
      <c r="H25" s="126"/>
      <c r="I25" s="816" t="s">
        <v>654</v>
      </c>
      <c r="J25" s="674" t="s">
        <v>655</v>
      </c>
      <c r="K25" s="146" t="s">
        <v>577</v>
      </c>
      <c r="L25" s="817"/>
      <c r="M25" s="728"/>
      <c r="N25" s="710"/>
      <c r="O25" s="486"/>
      <c r="P25" s="710"/>
      <c r="AK25" s="50">
        <v>23</v>
      </c>
    </row>
    <row r="26" ht="24" customHeight="1">
      <c r="A26" s="809"/>
      <c r="B26" s="802" t="s">
        <v>656</v>
      </c>
      <c r="C26" s="802" t="s">
        <v>657</v>
      </c>
      <c r="D26" s="803" t="s">
        <v>611</v>
      </c>
      <c r="E26" s="804" t="s">
        <v>622</v>
      </c>
      <c r="F26" s="804" t="s">
        <v>622</v>
      </c>
      <c r="H26" s="126"/>
      <c r="I26" s="816">
        <v>7</v>
      </c>
      <c r="J26" s="314" t="s">
        <v>657</v>
      </c>
      <c r="K26" s="146" t="s">
        <v>658</v>
      </c>
      <c r="L26" s="817"/>
      <c r="M26" s="728"/>
      <c r="N26" s="710"/>
      <c r="O26" s="486"/>
      <c r="P26" s="710"/>
      <c r="AK26" s="50">
        <v>23</v>
      </c>
    </row>
    <row r="27" ht="24" customHeight="1">
      <c r="A27" s="809"/>
      <c r="B27" s="802" t="s">
        <v>659</v>
      </c>
      <c r="C27" s="802" t="s">
        <v>660</v>
      </c>
      <c r="D27" s="803" t="s">
        <v>611</v>
      </c>
      <c r="E27" s="804" t="s">
        <v>622</v>
      </c>
      <c r="F27" s="804" t="s">
        <v>622</v>
      </c>
      <c r="H27" s="126"/>
      <c r="I27" s="816">
        <v>8</v>
      </c>
      <c r="J27" s="314" t="s">
        <v>660</v>
      </c>
      <c r="K27" s="146" t="s">
        <v>583</v>
      </c>
      <c r="L27" s="817"/>
      <c r="M27" s="728"/>
      <c r="N27" s="710"/>
      <c r="O27" s="486"/>
      <c r="P27" s="710"/>
      <c r="AK27" s="50">
        <v>23</v>
      </c>
    </row>
    <row r="28" ht="35.649999999999999" customHeight="1">
      <c r="A28" s="809"/>
      <c r="B28" s="802" t="s">
        <v>661</v>
      </c>
      <c r="C28" s="802" t="s">
        <v>662</v>
      </c>
      <c r="D28" s="803" t="s">
        <v>611</v>
      </c>
      <c r="E28" s="804" t="s">
        <v>622</v>
      </c>
      <c r="F28" s="804" t="s">
        <v>622</v>
      </c>
      <c r="H28" s="126"/>
      <c r="I28" s="818">
        <v>9</v>
      </c>
      <c r="J28" s="314" t="s">
        <v>663</v>
      </c>
      <c r="K28" s="146" t="s">
        <v>554</v>
      </c>
      <c r="L28" s="817"/>
      <c r="M28" s="728"/>
      <c r="N28" s="710"/>
      <c r="O28" s="486"/>
      <c r="P28" s="710"/>
      <c r="AK28" s="50">
        <v>34</v>
      </c>
    </row>
    <row r="29" ht="35.649999999999999" customHeight="1">
      <c r="A29" s="809"/>
      <c r="B29" s="802" t="s">
        <v>664</v>
      </c>
      <c r="C29" s="802" t="s">
        <v>665</v>
      </c>
      <c r="D29" s="803" t="s">
        <v>611</v>
      </c>
      <c r="E29" s="804" t="s">
        <v>622</v>
      </c>
      <c r="F29" s="804" t="s">
        <v>622</v>
      </c>
      <c r="H29" s="126"/>
      <c r="I29" s="818">
        <v>10</v>
      </c>
      <c r="J29" s="314" t="s">
        <v>666</v>
      </c>
      <c r="K29" s="146" t="s">
        <v>554</v>
      </c>
      <c r="L29" s="817"/>
      <c r="M29" s="728"/>
      <c r="N29" s="710"/>
      <c r="O29" s="486"/>
      <c r="P29" s="710"/>
      <c r="AK29" s="50">
        <v>34</v>
      </c>
    </row>
    <row r="30" ht="24" customHeight="1">
      <c r="A30" s="809"/>
      <c r="B30" s="802" t="s">
        <v>667</v>
      </c>
      <c r="C30" s="802" t="s">
        <v>668</v>
      </c>
      <c r="D30" s="803" t="s">
        <v>611</v>
      </c>
      <c r="E30" s="804" t="s">
        <v>622</v>
      </c>
      <c r="F30" s="804" t="s">
        <v>622</v>
      </c>
      <c r="H30" s="126"/>
      <c r="I30" s="818">
        <v>11</v>
      </c>
      <c r="J30" s="314" t="s">
        <v>668</v>
      </c>
      <c r="K30" s="146" t="s">
        <v>584</v>
      </c>
      <c r="L30" s="819"/>
      <c r="M30" s="450"/>
      <c r="N30" s="710"/>
      <c r="O30" s="486"/>
      <c r="P30" s="710"/>
      <c r="AK30" s="50">
        <v>23</v>
      </c>
    </row>
    <row r="31" ht="24" customHeight="1">
      <c r="A31" s="809"/>
      <c r="B31" s="802" t="s">
        <v>669</v>
      </c>
      <c r="C31" s="802" t="s">
        <v>670</v>
      </c>
      <c r="D31" s="803" t="s">
        <v>611</v>
      </c>
      <c r="E31" s="804" t="s">
        <v>622</v>
      </c>
      <c r="F31" s="804" t="s">
        <v>622</v>
      </c>
      <c r="H31" s="126"/>
      <c r="I31" s="818">
        <v>12</v>
      </c>
      <c r="J31" s="314" t="s">
        <v>670</v>
      </c>
      <c r="K31" s="146" t="s">
        <v>584</v>
      </c>
      <c r="L31" s="819"/>
      <c r="M31" s="450"/>
      <c r="N31" s="710"/>
      <c r="O31" s="486"/>
      <c r="P31" s="710"/>
      <c r="AK31" s="50">
        <v>23</v>
      </c>
    </row>
    <row r="32" ht="48.25" customHeight="1">
      <c r="A32" s="809"/>
      <c r="B32" s="802" t="s">
        <v>671</v>
      </c>
      <c r="C32" s="802" t="s">
        <v>672</v>
      </c>
      <c r="D32" s="803" t="s">
        <v>611</v>
      </c>
      <c r="E32" s="804" t="s">
        <v>622</v>
      </c>
      <c r="F32" s="804" t="s">
        <v>622</v>
      </c>
      <c r="H32" s="126"/>
      <c r="I32" s="818">
        <v>13</v>
      </c>
      <c r="J32" s="314" t="s">
        <v>673</v>
      </c>
      <c r="K32" s="146" t="s">
        <v>594</v>
      </c>
      <c r="L32" s="817"/>
      <c r="M32" s="728"/>
      <c r="N32" s="710"/>
      <c r="O32" s="486" t="s">
        <v>633</v>
      </c>
      <c r="P32" s="710"/>
      <c r="AK32" s="50">
        <v>46</v>
      </c>
    </row>
    <row r="33" s="53" customFormat="1" ht="48.25" customHeight="1">
      <c r="A33" s="809"/>
      <c r="B33" s="802" t="s">
        <v>674</v>
      </c>
      <c r="C33" s="802" t="s">
        <v>675</v>
      </c>
      <c r="D33" s="803" t="s">
        <v>611</v>
      </c>
      <c r="E33" s="804" t="s">
        <v>622</v>
      </c>
      <c r="F33" s="804" t="s">
        <v>622</v>
      </c>
      <c r="G33" s="57"/>
      <c r="H33" s="126"/>
      <c r="I33" s="818">
        <v>14</v>
      </c>
      <c r="J33" s="329" t="s">
        <v>676</v>
      </c>
      <c r="K33" s="305" t="s">
        <v>677</v>
      </c>
      <c r="L33" s="817"/>
      <c r="M33" s="728"/>
      <c r="N33" s="710"/>
      <c r="O33" s="486" t="s">
        <v>633</v>
      </c>
      <c r="P33" s="710"/>
      <c r="Q33" s="57"/>
      <c r="R33" s="57"/>
      <c r="W33" s="57"/>
      <c r="Z33" s="707"/>
      <c r="AF33" s="56"/>
      <c r="AG33" s="56"/>
      <c r="AH33" s="56"/>
      <c r="AI33" s="56"/>
      <c r="AJ33" s="56"/>
      <c r="AK33" s="53">
        <v>46</v>
      </c>
    </row>
    <row r="34" ht="108" customHeight="1">
      <c r="A34" s="809"/>
      <c r="B34" s="802" t="s">
        <v>678</v>
      </c>
      <c r="C34" s="802" t="s">
        <v>679</v>
      </c>
      <c r="D34" s="803" t="s">
        <v>621</v>
      </c>
      <c r="E34" s="804" t="s">
        <v>622</v>
      </c>
      <c r="F34" s="804" t="s">
        <v>622</v>
      </c>
      <c r="G34" s="57" t="s">
        <v>582</v>
      </c>
      <c r="H34" s="126"/>
      <c r="I34" s="219">
        <v>15</v>
      </c>
      <c r="J34" s="314" t="s">
        <v>680</v>
      </c>
      <c r="K34" s="146" t="s">
        <v>300</v>
      </c>
      <c r="L34" s="820"/>
      <c r="M34" s="471"/>
      <c r="N34" s="710"/>
      <c r="O34" s="486" t="s">
        <v>625</v>
      </c>
      <c r="P34" s="710"/>
      <c r="AK34" s="50">
        <v>103</v>
      </c>
    </row>
    <row r="35" s="132" customFormat="1" ht="11.5" customHeight="1">
      <c r="A35" s="706"/>
      <c r="B35" s="706"/>
      <c r="C35" s="706"/>
      <c r="D35" s="706"/>
      <c r="E35" s="706"/>
      <c r="F35" s="57"/>
      <c r="G35" s="57"/>
      <c r="H35" s="132"/>
      <c r="N35" s="53"/>
      <c r="P35" s="53"/>
      <c r="Q35" s="57"/>
      <c r="R35" s="57"/>
      <c r="S35" s="53"/>
      <c r="T35" s="53"/>
      <c r="U35" s="53"/>
      <c r="V35" s="53"/>
      <c r="W35" s="57"/>
      <c r="X35" s="53"/>
      <c r="Y35" s="53"/>
      <c r="Z35" s="707"/>
      <c r="AA35" s="53"/>
      <c r="AB35" s="53"/>
      <c r="AC35" s="53"/>
      <c r="AD35" s="53"/>
      <c r="AE35" s="53"/>
      <c r="AF35" s="56"/>
      <c r="AG35" s="54"/>
      <c r="AH35" s="54"/>
      <c r="AI35" s="54"/>
      <c r="AJ35" s="54"/>
      <c r="AK35" s="132">
        <v>11</v>
      </c>
    </row>
    <row r="36" s="132" customFormat="1" ht="11.5" customHeight="1">
      <c r="A36" s="706"/>
      <c r="B36" s="706"/>
      <c r="C36" s="706"/>
      <c r="D36" s="706"/>
      <c r="E36" s="706"/>
      <c r="F36" s="57"/>
      <c r="G36" s="57"/>
      <c r="H36" s="132"/>
      <c r="N36" s="53"/>
      <c r="P36" s="53"/>
      <c r="Q36" s="57"/>
      <c r="R36" s="57"/>
      <c r="S36" s="53"/>
      <c r="T36" s="53"/>
      <c r="U36" s="53"/>
      <c r="V36" s="53"/>
      <c r="W36" s="57"/>
      <c r="X36" s="53"/>
      <c r="Y36" s="53"/>
      <c r="Z36" s="707"/>
      <c r="AA36" s="53"/>
      <c r="AB36" s="53"/>
      <c r="AC36" s="53"/>
      <c r="AD36" s="53"/>
      <c r="AE36" s="53"/>
      <c r="AF36" s="56"/>
      <c r="AG36" s="54"/>
      <c r="AH36" s="54"/>
      <c r="AI36" s="54"/>
      <c r="AJ36" s="54"/>
      <c r="AK36" s="132">
        <v>11</v>
      </c>
    </row>
    <row r="37" s="132" customFormat="1" ht="11.5" customHeight="1">
      <c r="A37" s="706"/>
      <c r="B37" s="706"/>
      <c r="C37" s="706"/>
      <c r="D37" s="706"/>
      <c r="E37" s="706"/>
      <c r="F37" s="57"/>
      <c r="G37" s="57"/>
      <c r="H37" s="132"/>
      <c r="L37" s="54"/>
      <c r="M37" s="54"/>
      <c r="N37" s="53"/>
      <c r="P37" s="53"/>
      <c r="Q37" s="57"/>
      <c r="R37" s="57"/>
      <c r="S37" s="53"/>
      <c r="T37" s="53"/>
      <c r="U37" s="53"/>
      <c r="V37" s="53"/>
      <c r="W37" s="57"/>
      <c r="X37" s="53"/>
      <c r="Y37" s="53"/>
      <c r="Z37" s="707"/>
      <c r="AA37" s="53"/>
      <c r="AB37" s="53"/>
      <c r="AC37" s="53"/>
      <c r="AD37" s="53"/>
      <c r="AE37" s="53"/>
      <c r="AF37" s="56"/>
      <c r="AG37" s="54"/>
      <c r="AH37" s="54"/>
      <c r="AI37" s="54"/>
      <c r="AJ37" s="54"/>
      <c r="AK37" s="132">
        <v>11</v>
      </c>
    </row>
    <row r="38" s="132" customFormat="1" ht="11.5" customHeight="1">
      <c r="A38" s="706"/>
      <c r="B38" s="706"/>
      <c r="C38" s="706"/>
      <c r="D38" s="706"/>
      <c r="E38" s="706"/>
      <c r="F38" s="57"/>
      <c r="G38" s="57"/>
      <c r="H38" s="132"/>
      <c r="N38" s="53"/>
      <c r="P38" s="53"/>
      <c r="Q38" s="57"/>
      <c r="R38" s="57"/>
      <c r="S38" s="53"/>
      <c r="T38" s="53"/>
      <c r="U38" s="53"/>
      <c r="V38" s="53"/>
      <c r="W38" s="57"/>
      <c r="X38" s="53"/>
      <c r="Y38" s="53"/>
      <c r="Z38" s="707"/>
      <c r="AA38" s="53"/>
      <c r="AB38" s="53"/>
      <c r="AC38" s="53"/>
      <c r="AD38" s="53"/>
      <c r="AE38" s="53"/>
      <c r="AF38" s="56"/>
      <c r="AG38" s="54"/>
      <c r="AH38" s="54"/>
      <c r="AI38" s="54"/>
      <c r="AJ38" s="54"/>
      <c r="AK38" s="132">
        <v>11</v>
      </c>
    </row>
    <row r="39" s="132" customFormat="1" ht="11.5" customHeight="1">
      <c r="A39" s="706"/>
      <c r="B39" s="706"/>
      <c r="C39" s="706"/>
      <c r="D39" s="706"/>
      <c r="E39" s="706"/>
      <c r="F39" s="57"/>
      <c r="G39" s="57"/>
      <c r="H39" s="132"/>
      <c r="N39" s="53"/>
      <c r="P39" s="53"/>
      <c r="Q39" s="57"/>
      <c r="R39" s="57"/>
      <c r="S39" s="53"/>
      <c r="T39" s="53"/>
      <c r="U39" s="53"/>
      <c r="V39" s="53"/>
      <c r="W39" s="57"/>
      <c r="X39" s="53"/>
      <c r="Y39" s="53"/>
      <c r="Z39" s="707"/>
      <c r="AA39" s="53"/>
      <c r="AB39" s="53"/>
      <c r="AC39" s="53"/>
      <c r="AD39" s="53"/>
      <c r="AE39" s="53"/>
      <c r="AF39" s="56"/>
      <c r="AG39" s="54"/>
      <c r="AH39" s="54"/>
      <c r="AI39" s="54"/>
      <c r="AJ39" s="54"/>
      <c r="AK39" s="132">
        <v>11</v>
      </c>
    </row>
    <row r="40" s="132" customFormat="1" ht="11.5" customHeight="1">
      <c r="A40" s="706"/>
      <c r="B40" s="706"/>
      <c r="C40" s="706"/>
      <c r="D40" s="706"/>
      <c r="E40" s="706"/>
      <c r="F40" s="57"/>
      <c r="G40" s="57"/>
      <c r="H40" s="132"/>
      <c r="N40" s="53"/>
      <c r="P40" s="53"/>
      <c r="Q40" s="57"/>
      <c r="R40" s="57"/>
      <c r="S40" s="53"/>
      <c r="T40" s="53"/>
      <c r="U40" s="53"/>
      <c r="V40" s="53"/>
      <c r="W40" s="57"/>
      <c r="X40" s="53"/>
      <c r="Y40" s="53"/>
      <c r="Z40" s="707"/>
      <c r="AA40" s="53"/>
      <c r="AB40" s="53"/>
      <c r="AC40" s="53"/>
      <c r="AD40" s="53"/>
      <c r="AE40" s="53"/>
      <c r="AF40" s="56"/>
      <c r="AG40" s="54"/>
      <c r="AH40" s="54"/>
      <c r="AI40" s="54"/>
      <c r="AJ40" s="54"/>
      <c r="AK40" s="132">
        <v>11</v>
      </c>
    </row>
    <row r="41" s="132" customFormat="1" ht="11.5" customHeight="1">
      <c r="A41" s="706"/>
      <c r="B41" s="706"/>
      <c r="C41" s="706"/>
      <c r="D41" s="706"/>
      <c r="E41" s="706"/>
      <c r="F41" s="57"/>
      <c r="G41" s="57"/>
      <c r="H41" s="132"/>
      <c r="N41" s="53"/>
      <c r="P41" s="53"/>
      <c r="Q41" s="57"/>
      <c r="R41" s="57"/>
      <c r="S41" s="53"/>
      <c r="T41" s="53"/>
      <c r="U41" s="53"/>
      <c r="V41" s="53"/>
      <c r="W41" s="57"/>
      <c r="X41" s="53"/>
      <c r="Y41" s="53"/>
      <c r="Z41" s="707"/>
      <c r="AA41" s="53"/>
      <c r="AB41" s="53"/>
      <c r="AC41" s="53"/>
      <c r="AD41" s="53"/>
      <c r="AE41" s="53"/>
      <c r="AF41" s="56"/>
      <c r="AG41" s="54"/>
      <c r="AH41" s="54"/>
      <c r="AI41" s="54"/>
      <c r="AJ41" s="54"/>
      <c r="AK41" s="132">
        <v>11</v>
      </c>
    </row>
    <row r="42" s="132" customFormat="1" ht="11.5" customHeight="1">
      <c r="A42" s="706"/>
      <c r="B42" s="706"/>
      <c r="C42" s="706"/>
      <c r="D42" s="706"/>
      <c r="E42" s="706"/>
      <c r="F42" s="57"/>
      <c r="G42" s="57"/>
      <c r="H42" s="132"/>
      <c r="N42" s="53"/>
      <c r="P42" s="53"/>
      <c r="Q42" s="57"/>
      <c r="R42" s="57"/>
      <c r="S42" s="53"/>
      <c r="T42" s="53"/>
      <c r="U42" s="53"/>
      <c r="V42" s="53"/>
      <c r="W42" s="57"/>
      <c r="X42" s="53"/>
      <c r="Y42" s="53"/>
      <c r="Z42" s="707"/>
      <c r="AA42" s="53"/>
      <c r="AB42" s="53"/>
      <c r="AC42" s="53"/>
      <c r="AD42" s="53"/>
      <c r="AE42" s="53"/>
      <c r="AF42" s="56"/>
      <c r="AG42" s="54"/>
      <c r="AH42" s="54"/>
      <c r="AI42" s="54"/>
      <c r="AJ42" s="54"/>
      <c r="AK42" s="132">
        <v>11</v>
      </c>
    </row>
    <row r="43" s="132" customFormat="1" ht="11.5" customHeight="1">
      <c r="A43" s="706"/>
      <c r="B43" s="706"/>
      <c r="C43" s="706"/>
      <c r="D43" s="706"/>
      <c r="E43" s="706"/>
      <c r="F43" s="57"/>
      <c r="G43" s="57"/>
      <c r="H43" s="132"/>
      <c r="N43" s="53"/>
      <c r="P43" s="53"/>
      <c r="Q43" s="57"/>
      <c r="R43" s="57"/>
      <c r="S43" s="53"/>
      <c r="T43" s="53"/>
      <c r="U43" s="53"/>
      <c r="V43" s="53"/>
      <c r="W43" s="57"/>
      <c r="X43" s="53"/>
      <c r="Y43" s="53"/>
      <c r="Z43" s="707"/>
      <c r="AA43" s="53"/>
      <c r="AB43" s="53"/>
      <c r="AC43" s="53"/>
      <c r="AD43" s="53"/>
      <c r="AE43" s="53"/>
      <c r="AF43" s="56"/>
      <c r="AG43" s="54"/>
      <c r="AH43" s="54"/>
      <c r="AI43" s="54"/>
      <c r="AJ43" s="54"/>
      <c r="AK43" s="132">
        <v>11</v>
      </c>
    </row>
    <row r="44" s="132" customFormat="1" ht="11.5" customHeight="1">
      <c r="A44" s="706"/>
      <c r="B44" s="706"/>
      <c r="C44" s="706"/>
      <c r="D44" s="706"/>
      <c r="E44" s="706"/>
      <c r="F44" s="57"/>
      <c r="G44" s="57"/>
      <c r="H44" s="132"/>
      <c r="N44" s="53"/>
      <c r="P44" s="53"/>
      <c r="Q44" s="57"/>
      <c r="R44" s="57"/>
      <c r="S44" s="53"/>
      <c r="T44" s="53"/>
      <c r="U44" s="53"/>
      <c r="V44" s="53"/>
      <c r="W44" s="57"/>
      <c r="X44" s="53"/>
      <c r="Y44" s="53"/>
      <c r="Z44" s="707"/>
      <c r="AA44" s="53"/>
      <c r="AB44" s="53"/>
      <c r="AC44" s="53"/>
      <c r="AD44" s="53"/>
      <c r="AE44" s="53"/>
      <c r="AF44" s="56"/>
      <c r="AG44" s="54"/>
      <c r="AH44" s="54"/>
      <c r="AI44" s="54"/>
      <c r="AJ44" s="54"/>
      <c r="AK44" s="132">
        <v>11</v>
      </c>
    </row>
    <row r="45" s="132" customFormat="1" ht="11.5" customHeight="1">
      <c r="A45" s="706"/>
      <c r="B45" s="706"/>
      <c r="C45" s="706"/>
      <c r="D45" s="706"/>
      <c r="E45" s="706"/>
      <c r="F45" s="57"/>
      <c r="G45" s="57"/>
      <c r="H45" s="132"/>
      <c r="N45" s="53"/>
      <c r="P45" s="53"/>
      <c r="Q45" s="57"/>
      <c r="R45" s="57"/>
      <c r="S45" s="53"/>
      <c r="T45" s="53"/>
      <c r="U45" s="53"/>
      <c r="V45" s="53"/>
      <c r="W45" s="57"/>
      <c r="X45" s="53"/>
      <c r="Y45" s="53"/>
      <c r="Z45" s="707"/>
      <c r="AA45" s="53"/>
      <c r="AB45" s="53"/>
      <c r="AC45" s="53"/>
      <c r="AD45" s="53"/>
      <c r="AE45" s="53"/>
      <c r="AF45" s="56"/>
      <c r="AG45" s="54"/>
      <c r="AH45" s="54"/>
      <c r="AI45" s="54"/>
      <c r="AJ45" s="54"/>
      <c r="AK45" s="132">
        <v>11</v>
      </c>
    </row>
    <row r="46" s="132" customFormat="1" ht="11.5" customHeight="1">
      <c r="A46" s="706"/>
      <c r="B46" s="706"/>
      <c r="C46" s="706"/>
      <c r="D46" s="706"/>
      <c r="E46" s="706"/>
      <c r="F46" s="57"/>
      <c r="G46" s="57"/>
      <c r="H46" s="132"/>
      <c r="N46" s="53"/>
      <c r="P46" s="53"/>
      <c r="Q46" s="57"/>
      <c r="R46" s="57"/>
      <c r="S46" s="53"/>
      <c r="T46" s="53"/>
      <c r="U46" s="53"/>
      <c r="V46" s="53"/>
      <c r="W46" s="57"/>
      <c r="X46" s="53"/>
      <c r="Y46" s="53"/>
      <c r="Z46" s="707"/>
      <c r="AA46" s="53"/>
      <c r="AB46" s="53"/>
      <c r="AC46" s="53"/>
      <c r="AD46" s="53"/>
      <c r="AE46" s="53"/>
      <c r="AF46" s="56"/>
      <c r="AG46" s="54"/>
      <c r="AH46" s="54"/>
      <c r="AI46" s="54"/>
      <c r="AJ46" s="54"/>
      <c r="AK46" s="132">
        <v>11</v>
      </c>
    </row>
    <row r="47" s="132" customFormat="1" ht="11.5" customHeight="1">
      <c r="A47" s="706"/>
      <c r="B47" s="706"/>
      <c r="C47" s="706"/>
      <c r="D47" s="706"/>
      <c r="E47" s="706"/>
      <c r="F47" s="57"/>
      <c r="G47" s="57"/>
      <c r="H47" s="132"/>
      <c r="N47" s="53"/>
      <c r="P47" s="53"/>
      <c r="Q47" s="57"/>
      <c r="R47" s="57"/>
      <c r="S47" s="53"/>
      <c r="T47" s="53"/>
      <c r="U47" s="53"/>
      <c r="V47" s="53"/>
      <c r="W47" s="57"/>
      <c r="X47" s="53"/>
      <c r="Y47" s="53"/>
      <c r="Z47" s="707"/>
      <c r="AA47" s="53"/>
      <c r="AB47" s="53"/>
      <c r="AC47" s="53"/>
      <c r="AD47" s="53"/>
      <c r="AE47" s="53"/>
      <c r="AF47" s="56"/>
      <c r="AG47" s="54"/>
      <c r="AH47" s="54"/>
      <c r="AI47" s="54"/>
      <c r="AJ47" s="54"/>
      <c r="AK47" s="132">
        <v>11</v>
      </c>
    </row>
    <row r="48" s="132" customFormat="1" ht="11.5" customHeight="1">
      <c r="A48" s="706"/>
      <c r="B48" s="706"/>
      <c r="C48" s="706"/>
      <c r="D48" s="706"/>
      <c r="E48" s="706"/>
      <c r="F48" s="57"/>
      <c r="G48" s="57"/>
      <c r="H48" s="132"/>
      <c r="N48" s="53"/>
      <c r="P48" s="53"/>
      <c r="Q48" s="57"/>
      <c r="R48" s="57"/>
      <c r="S48" s="53"/>
      <c r="T48" s="53"/>
      <c r="U48" s="53"/>
      <c r="V48" s="53"/>
      <c r="W48" s="57"/>
      <c r="X48" s="53"/>
      <c r="Y48" s="53"/>
      <c r="Z48" s="707"/>
      <c r="AA48" s="53"/>
      <c r="AB48" s="53"/>
      <c r="AC48" s="53"/>
      <c r="AD48" s="53"/>
      <c r="AE48" s="53"/>
      <c r="AF48" s="56"/>
      <c r="AG48" s="54"/>
      <c r="AH48" s="54"/>
      <c r="AI48" s="54"/>
      <c r="AJ48" s="54"/>
      <c r="AK48" s="132">
        <v>11</v>
      </c>
    </row>
    <row r="49" s="132" customFormat="1" ht="11.5" customHeight="1">
      <c r="A49" s="706"/>
      <c r="B49" s="706"/>
      <c r="C49" s="706"/>
      <c r="D49" s="706"/>
      <c r="E49" s="706"/>
      <c r="F49" s="57"/>
      <c r="G49" s="57"/>
      <c r="H49" s="132"/>
      <c r="N49" s="53"/>
      <c r="P49" s="53"/>
      <c r="Q49" s="57"/>
      <c r="R49" s="57"/>
      <c r="S49" s="53"/>
      <c r="T49" s="53"/>
      <c r="U49" s="53"/>
      <c r="V49" s="53"/>
      <c r="W49" s="57"/>
      <c r="X49" s="53"/>
      <c r="Y49" s="53"/>
      <c r="Z49" s="707"/>
      <c r="AA49" s="53"/>
      <c r="AB49" s="53"/>
      <c r="AC49" s="53"/>
      <c r="AD49" s="53"/>
      <c r="AE49" s="53"/>
      <c r="AF49" s="56"/>
      <c r="AG49" s="54"/>
      <c r="AH49" s="54"/>
      <c r="AI49" s="54"/>
      <c r="AJ49" s="54"/>
      <c r="AK49" s="132">
        <v>11</v>
      </c>
    </row>
    <row r="50" s="132" customFormat="1" ht="11.5" customHeight="1">
      <c r="A50" s="706"/>
      <c r="B50" s="706"/>
      <c r="C50" s="706"/>
      <c r="D50" s="706"/>
      <c r="E50" s="706"/>
      <c r="F50" s="57"/>
      <c r="G50" s="57"/>
      <c r="H50" s="132"/>
      <c r="N50" s="53"/>
      <c r="P50" s="53"/>
      <c r="Q50" s="57"/>
      <c r="R50" s="57"/>
      <c r="S50" s="53"/>
      <c r="T50" s="53"/>
      <c r="U50" s="53"/>
      <c r="V50" s="53"/>
      <c r="W50" s="57"/>
      <c r="X50" s="53"/>
      <c r="Y50" s="53"/>
      <c r="Z50" s="707"/>
      <c r="AA50" s="53"/>
      <c r="AB50" s="53"/>
      <c r="AC50" s="53"/>
      <c r="AD50" s="53"/>
      <c r="AE50" s="53"/>
      <c r="AF50" s="56"/>
      <c r="AG50" s="54"/>
      <c r="AH50" s="54"/>
      <c r="AI50" s="54"/>
      <c r="AJ50" s="54"/>
      <c r="AK50" s="132">
        <v>11</v>
      </c>
    </row>
    <row r="51" s="132" customFormat="1" ht="11.5" customHeight="1">
      <c r="A51" s="706"/>
      <c r="B51" s="706"/>
      <c r="C51" s="706"/>
      <c r="D51" s="706"/>
      <c r="E51" s="706"/>
      <c r="F51" s="57"/>
      <c r="G51" s="57"/>
      <c r="H51" s="132"/>
      <c r="N51" s="53"/>
      <c r="P51" s="53"/>
      <c r="Q51" s="57"/>
      <c r="R51" s="57"/>
      <c r="S51" s="53"/>
      <c r="T51" s="53"/>
      <c r="U51" s="53"/>
      <c r="V51" s="53"/>
      <c r="W51" s="57"/>
      <c r="X51" s="53"/>
      <c r="Y51" s="53"/>
      <c r="Z51" s="707"/>
      <c r="AA51" s="53"/>
      <c r="AB51" s="53"/>
      <c r="AC51" s="53"/>
      <c r="AD51" s="53"/>
      <c r="AE51" s="53"/>
      <c r="AF51" s="56"/>
      <c r="AG51" s="54"/>
      <c r="AH51" s="54"/>
      <c r="AI51" s="54"/>
      <c r="AJ51" s="54"/>
      <c r="AK51" s="132">
        <v>11</v>
      </c>
    </row>
    <row r="52" s="132" customFormat="1" ht="11.5" customHeight="1">
      <c r="A52" s="706"/>
      <c r="B52" s="706"/>
      <c r="C52" s="706"/>
      <c r="D52" s="706"/>
      <c r="E52" s="706"/>
      <c r="F52" s="57"/>
      <c r="G52" s="57"/>
      <c r="H52" s="132"/>
      <c r="N52" s="53"/>
      <c r="P52" s="53"/>
      <c r="Q52" s="57"/>
      <c r="R52" s="57"/>
      <c r="S52" s="53"/>
      <c r="T52" s="53"/>
      <c r="U52" s="53"/>
      <c r="V52" s="53"/>
      <c r="W52" s="57"/>
      <c r="X52" s="53"/>
      <c r="Y52" s="53"/>
      <c r="Z52" s="707"/>
      <c r="AA52" s="53"/>
      <c r="AB52" s="53"/>
      <c r="AC52" s="53"/>
      <c r="AD52" s="53"/>
      <c r="AE52" s="53"/>
      <c r="AF52" s="56"/>
      <c r="AG52" s="54"/>
      <c r="AH52" s="54"/>
      <c r="AI52" s="54"/>
      <c r="AJ52" s="54"/>
      <c r="AK52" s="132">
        <v>11</v>
      </c>
    </row>
    <row r="53" s="132" customFormat="1" ht="11.5" customHeight="1">
      <c r="A53" s="706"/>
      <c r="B53" s="706"/>
      <c r="C53" s="706"/>
      <c r="D53" s="706"/>
      <c r="E53" s="706"/>
      <c r="F53" s="57"/>
      <c r="G53" s="57"/>
      <c r="H53" s="132"/>
      <c r="N53" s="53"/>
      <c r="P53" s="53"/>
      <c r="Q53" s="57"/>
      <c r="R53" s="57"/>
      <c r="S53" s="53"/>
      <c r="T53" s="53"/>
      <c r="U53" s="53"/>
      <c r="V53" s="53"/>
      <c r="W53" s="57"/>
      <c r="X53" s="53"/>
      <c r="Y53" s="53"/>
      <c r="Z53" s="707"/>
      <c r="AA53" s="53"/>
      <c r="AB53" s="53"/>
      <c r="AC53" s="53"/>
      <c r="AD53" s="53"/>
      <c r="AE53" s="53"/>
      <c r="AF53" s="56"/>
      <c r="AG53" s="54"/>
      <c r="AH53" s="54"/>
      <c r="AI53" s="54"/>
      <c r="AJ53" s="54"/>
      <c r="AK53" s="132">
        <v>11</v>
      </c>
    </row>
    <row r="54" s="132" customFormat="1" ht="11.5" customHeight="1">
      <c r="A54" s="706"/>
      <c r="B54" s="706"/>
      <c r="C54" s="706"/>
      <c r="D54" s="706"/>
      <c r="E54" s="706"/>
      <c r="F54" s="57"/>
      <c r="G54" s="57"/>
      <c r="H54" s="132"/>
      <c r="N54" s="53"/>
      <c r="P54" s="53"/>
      <c r="Q54" s="57"/>
      <c r="R54" s="57"/>
      <c r="S54" s="53"/>
      <c r="T54" s="53"/>
      <c r="U54" s="53"/>
      <c r="V54" s="53"/>
      <c r="W54" s="57"/>
      <c r="X54" s="53"/>
      <c r="Y54" s="53"/>
      <c r="Z54" s="707"/>
      <c r="AA54" s="53"/>
      <c r="AB54" s="53"/>
      <c r="AC54" s="53"/>
      <c r="AD54" s="53"/>
      <c r="AE54" s="53"/>
      <c r="AF54" s="56"/>
      <c r="AG54" s="54"/>
      <c r="AH54" s="54"/>
      <c r="AI54" s="54"/>
      <c r="AJ54" s="54"/>
      <c r="AK54" s="132">
        <v>11</v>
      </c>
    </row>
    <row r="55" s="132" customFormat="1" ht="11.5" customHeight="1">
      <c r="A55" s="706"/>
      <c r="B55" s="706"/>
      <c r="C55" s="706"/>
      <c r="D55" s="706"/>
      <c r="E55" s="706"/>
      <c r="F55" s="57"/>
      <c r="G55" s="57"/>
      <c r="H55" s="132"/>
      <c r="N55" s="53"/>
      <c r="P55" s="53"/>
      <c r="Q55" s="57"/>
      <c r="R55" s="57"/>
      <c r="S55" s="53"/>
      <c r="T55" s="53"/>
      <c r="U55" s="53"/>
      <c r="V55" s="53"/>
      <c r="W55" s="57"/>
      <c r="X55" s="53"/>
      <c r="Y55" s="53"/>
      <c r="Z55" s="707"/>
      <c r="AA55" s="53"/>
      <c r="AB55" s="53"/>
      <c r="AC55" s="53"/>
      <c r="AD55" s="53"/>
      <c r="AE55" s="53"/>
      <c r="AF55" s="56"/>
      <c r="AG55" s="54"/>
      <c r="AH55" s="54"/>
      <c r="AI55" s="54"/>
      <c r="AJ55" s="54"/>
      <c r="AK55" s="132">
        <v>11</v>
      </c>
    </row>
    <row r="56" s="132" customFormat="1" ht="11.5" customHeight="1">
      <c r="A56" s="706"/>
      <c r="B56" s="706"/>
      <c r="C56" s="706"/>
      <c r="D56" s="706"/>
      <c r="E56" s="706"/>
      <c r="F56" s="57"/>
      <c r="G56" s="57"/>
      <c r="H56" s="132"/>
      <c r="N56" s="53"/>
      <c r="P56" s="53"/>
      <c r="Q56" s="57"/>
      <c r="R56" s="57"/>
      <c r="S56" s="53"/>
      <c r="T56" s="53"/>
      <c r="U56" s="53"/>
      <c r="V56" s="53"/>
      <c r="W56" s="57"/>
      <c r="X56" s="53"/>
      <c r="Y56" s="53"/>
      <c r="Z56" s="707"/>
      <c r="AA56" s="53"/>
      <c r="AB56" s="53"/>
      <c r="AC56" s="53"/>
      <c r="AD56" s="53"/>
      <c r="AE56" s="53"/>
      <c r="AF56" s="56"/>
      <c r="AG56" s="54"/>
      <c r="AH56" s="54"/>
      <c r="AI56" s="54"/>
      <c r="AJ56" s="54"/>
      <c r="AK56" s="132">
        <v>11</v>
      </c>
    </row>
    <row r="57" s="132" customFormat="1" ht="11.5" customHeight="1">
      <c r="A57" s="706"/>
      <c r="B57" s="706"/>
      <c r="C57" s="706"/>
      <c r="D57" s="706"/>
      <c r="E57" s="706"/>
      <c r="F57" s="57"/>
      <c r="G57" s="57"/>
      <c r="H57" s="132"/>
      <c r="N57" s="53"/>
      <c r="P57" s="53"/>
      <c r="Q57" s="57"/>
      <c r="R57" s="57"/>
      <c r="S57" s="53"/>
      <c r="T57" s="53"/>
      <c r="U57" s="53"/>
      <c r="V57" s="53"/>
      <c r="W57" s="57"/>
      <c r="X57" s="53"/>
      <c r="Y57" s="53"/>
      <c r="Z57" s="707"/>
      <c r="AA57" s="53"/>
      <c r="AB57" s="53"/>
      <c r="AC57" s="53"/>
      <c r="AD57" s="53"/>
      <c r="AE57" s="53"/>
      <c r="AF57" s="56"/>
      <c r="AG57" s="54"/>
      <c r="AH57" s="54"/>
      <c r="AI57" s="54"/>
      <c r="AJ57" s="54"/>
      <c r="AK57" s="132">
        <v>11</v>
      </c>
    </row>
    <row r="58" s="132" customFormat="1" ht="11.5" customHeight="1">
      <c r="A58" s="706"/>
      <c r="B58" s="706"/>
      <c r="C58" s="706"/>
      <c r="D58" s="706"/>
      <c r="E58" s="706"/>
      <c r="F58" s="57"/>
      <c r="G58" s="57"/>
      <c r="H58" s="132"/>
      <c r="N58" s="53"/>
      <c r="P58" s="53"/>
      <c r="Q58" s="57"/>
      <c r="R58" s="57"/>
      <c r="S58" s="53"/>
      <c r="T58" s="53"/>
      <c r="U58" s="53"/>
      <c r="V58" s="53"/>
      <c r="W58" s="57"/>
      <c r="X58" s="53"/>
      <c r="Y58" s="53"/>
      <c r="Z58" s="707"/>
      <c r="AA58" s="53"/>
      <c r="AB58" s="53"/>
      <c r="AC58" s="53"/>
      <c r="AD58" s="53"/>
      <c r="AE58" s="53"/>
      <c r="AF58" s="56"/>
      <c r="AG58" s="54"/>
      <c r="AH58" s="54"/>
      <c r="AI58" s="54"/>
      <c r="AJ58" s="54"/>
      <c r="AK58" s="132">
        <v>11</v>
      </c>
    </row>
    <row r="59" s="132" customFormat="1" ht="11.5" customHeight="1">
      <c r="A59" s="706"/>
      <c r="B59" s="706"/>
      <c r="C59" s="706"/>
      <c r="D59" s="706"/>
      <c r="E59" s="706"/>
      <c r="F59" s="57"/>
      <c r="G59" s="57"/>
      <c r="H59" s="132"/>
      <c r="N59" s="53"/>
      <c r="P59" s="53"/>
      <c r="Q59" s="57"/>
      <c r="R59" s="57"/>
      <c r="S59" s="53"/>
      <c r="T59" s="53"/>
      <c r="U59" s="53"/>
      <c r="V59" s="53"/>
      <c r="W59" s="57"/>
      <c r="X59" s="53"/>
      <c r="Y59" s="53"/>
      <c r="Z59" s="707"/>
      <c r="AA59" s="53"/>
      <c r="AB59" s="53"/>
      <c r="AC59" s="53"/>
      <c r="AD59" s="53"/>
      <c r="AE59" s="53"/>
      <c r="AF59" s="56"/>
      <c r="AG59" s="54"/>
      <c r="AH59" s="54"/>
      <c r="AI59" s="54"/>
      <c r="AJ59" s="54"/>
      <c r="AK59" s="132">
        <v>11</v>
      </c>
    </row>
    <row r="60" s="132" customFormat="1" ht="11.5" customHeight="1">
      <c r="A60" s="706"/>
      <c r="B60" s="706"/>
      <c r="C60" s="706"/>
      <c r="D60" s="706"/>
      <c r="E60" s="706"/>
      <c r="F60" s="57"/>
      <c r="G60" s="57"/>
      <c r="H60" s="132"/>
      <c r="N60" s="53"/>
      <c r="P60" s="53"/>
      <c r="Q60" s="57"/>
      <c r="R60" s="57"/>
      <c r="S60" s="53"/>
      <c r="T60" s="53"/>
      <c r="U60" s="53"/>
      <c r="V60" s="53"/>
      <c r="W60" s="57"/>
      <c r="X60" s="53"/>
      <c r="Y60" s="53"/>
      <c r="Z60" s="707"/>
      <c r="AA60" s="53"/>
      <c r="AB60" s="53"/>
      <c r="AC60" s="53"/>
      <c r="AD60" s="53"/>
      <c r="AE60" s="53"/>
      <c r="AF60" s="56"/>
      <c r="AG60" s="54"/>
      <c r="AH60" s="54"/>
      <c r="AI60" s="54"/>
      <c r="AJ60" s="54"/>
      <c r="AK60" s="132">
        <v>11</v>
      </c>
    </row>
    <row r="61" s="132" customFormat="1" ht="11.5" customHeight="1">
      <c r="A61" s="706"/>
      <c r="B61" s="706"/>
      <c r="C61" s="706"/>
      <c r="D61" s="706"/>
      <c r="E61" s="706"/>
      <c r="F61" s="57"/>
      <c r="G61" s="57"/>
      <c r="H61" s="132"/>
      <c r="N61" s="53"/>
      <c r="P61" s="53"/>
      <c r="Q61" s="57"/>
      <c r="R61" s="57"/>
      <c r="S61" s="53"/>
      <c r="T61" s="53"/>
      <c r="U61" s="53"/>
      <c r="V61" s="53"/>
      <c r="W61" s="57"/>
      <c r="X61" s="53"/>
      <c r="Y61" s="53"/>
      <c r="Z61" s="707"/>
      <c r="AA61" s="53"/>
      <c r="AB61" s="53"/>
      <c r="AC61" s="53"/>
      <c r="AD61" s="53"/>
      <c r="AE61" s="53"/>
      <c r="AF61" s="56"/>
      <c r="AG61" s="54"/>
      <c r="AH61" s="54"/>
      <c r="AI61" s="54"/>
      <c r="AJ61" s="54"/>
      <c r="AK61" s="132">
        <v>11</v>
      </c>
    </row>
    <row r="62" s="132" customFormat="1" ht="11.5" customHeight="1">
      <c r="A62" s="706"/>
      <c r="B62" s="706"/>
      <c r="C62" s="706"/>
      <c r="D62" s="706"/>
      <c r="E62" s="706"/>
      <c r="F62" s="57"/>
      <c r="G62" s="57"/>
      <c r="H62" s="132"/>
      <c r="N62" s="53"/>
      <c r="P62" s="53"/>
      <c r="Q62" s="57"/>
      <c r="R62" s="57"/>
      <c r="S62" s="53"/>
      <c r="T62" s="53"/>
      <c r="U62" s="53"/>
      <c r="V62" s="53"/>
      <c r="W62" s="57"/>
      <c r="X62" s="53"/>
      <c r="Y62" s="53"/>
      <c r="Z62" s="707"/>
      <c r="AA62" s="53"/>
      <c r="AB62" s="53"/>
      <c r="AC62" s="53"/>
      <c r="AD62" s="53"/>
      <c r="AE62" s="53"/>
      <c r="AF62" s="56"/>
      <c r="AG62" s="54"/>
      <c r="AH62" s="54"/>
      <c r="AI62" s="54"/>
      <c r="AJ62" s="54"/>
      <c r="AK62" s="132">
        <v>11</v>
      </c>
    </row>
    <row r="63" s="132" customFormat="1" ht="11.5" customHeight="1">
      <c r="A63" s="706"/>
      <c r="B63" s="706"/>
      <c r="C63" s="706"/>
      <c r="D63" s="706"/>
      <c r="E63" s="706"/>
      <c r="F63" s="57"/>
      <c r="G63" s="57"/>
      <c r="H63" s="132"/>
      <c r="N63" s="53"/>
      <c r="P63" s="53"/>
      <c r="Q63" s="57"/>
      <c r="R63" s="57"/>
      <c r="S63" s="53"/>
      <c r="T63" s="53"/>
      <c r="U63" s="53"/>
      <c r="V63" s="53"/>
      <c r="W63" s="57"/>
      <c r="X63" s="53"/>
      <c r="Y63" s="53"/>
      <c r="Z63" s="707"/>
      <c r="AA63" s="53"/>
      <c r="AB63" s="53"/>
      <c r="AC63" s="53"/>
      <c r="AD63" s="53"/>
      <c r="AE63" s="53"/>
      <c r="AF63" s="56"/>
      <c r="AG63" s="54"/>
      <c r="AH63" s="54"/>
      <c r="AI63" s="54"/>
      <c r="AJ63" s="54"/>
      <c r="AK63" s="132">
        <v>11</v>
      </c>
    </row>
    <row r="64" s="132" customFormat="1" ht="11.5" customHeight="1">
      <c r="A64" s="706"/>
      <c r="B64" s="706"/>
      <c r="C64" s="706"/>
      <c r="D64" s="706"/>
      <c r="E64" s="706"/>
      <c r="F64" s="57"/>
      <c r="G64" s="57"/>
      <c r="H64" s="132"/>
      <c r="N64" s="53"/>
      <c r="P64" s="53"/>
      <c r="Q64" s="57"/>
      <c r="R64" s="57"/>
      <c r="S64" s="53"/>
      <c r="T64" s="53"/>
      <c r="U64" s="53"/>
      <c r="V64" s="53"/>
      <c r="W64" s="57"/>
      <c r="X64" s="53"/>
      <c r="Y64" s="53"/>
      <c r="Z64" s="707"/>
      <c r="AA64" s="53"/>
      <c r="AB64" s="53"/>
      <c r="AC64" s="53"/>
      <c r="AD64" s="53"/>
      <c r="AE64" s="53"/>
      <c r="AF64" s="56"/>
      <c r="AG64" s="54"/>
      <c r="AH64" s="54"/>
      <c r="AI64" s="54"/>
      <c r="AJ64" s="54"/>
      <c r="AK64" s="132">
        <v>11</v>
      </c>
    </row>
    <row r="65" s="132" customFormat="1" ht="11.5" customHeight="1">
      <c r="A65" s="706"/>
      <c r="B65" s="706"/>
      <c r="C65" s="706"/>
      <c r="D65" s="706"/>
      <c r="E65" s="706"/>
      <c r="F65" s="57"/>
      <c r="G65" s="57"/>
      <c r="H65" s="132"/>
      <c r="N65" s="53"/>
      <c r="P65" s="53"/>
      <c r="Q65" s="57"/>
      <c r="R65" s="57"/>
      <c r="S65" s="53"/>
      <c r="T65" s="53"/>
      <c r="U65" s="53"/>
      <c r="V65" s="53"/>
      <c r="W65" s="57"/>
      <c r="X65" s="53"/>
      <c r="Y65" s="53"/>
      <c r="Z65" s="707"/>
      <c r="AA65" s="53"/>
      <c r="AB65" s="53"/>
      <c r="AC65" s="53"/>
      <c r="AD65" s="53"/>
      <c r="AE65" s="53"/>
      <c r="AF65" s="56"/>
      <c r="AG65" s="54"/>
      <c r="AH65" s="54"/>
      <c r="AI65" s="54"/>
      <c r="AJ65" s="54"/>
      <c r="AK65" s="132">
        <v>11</v>
      </c>
    </row>
    <row r="66" s="132" customFormat="1" ht="11.5" customHeight="1">
      <c r="A66" s="706"/>
      <c r="B66" s="706"/>
      <c r="C66" s="706"/>
      <c r="D66" s="706"/>
      <c r="E66" s="706"/>
      <c r="F66" s="57"/>
      <c r="G66" s="57"/>
      <c r="H66" s="132"/>
      <c r="N66" s="53"/>
      <c r="P66" s="53"/>
      <c r="Q66" s="57"/>
      <c r="R66" s="57"/>
      <c r="S66" s="53"/>
      <c r="T66" s="53"/>
      <c r="U66" s="53"/>
      <c r="V66" s="53"/>
      <c r="W66" s="57"/>
      <c r="X66" s="53"/>
      <c r="Y66" s="53"/>
      <c r="Z66" s="707"/>
      <c r="AA66" s="53"/>
      <c r="AB66" s="53"/>
      <c r="AC66" s="53"/>
      <c r="AD66" s="53"/>
      <c r="AE66" s="53"/>
      <c r="AF66" s="56"/>
      <c r="AG66" s="54"/>
      <c r="AH66" s="54"/>
      <c r="AI66" s="54"/>
      <c r="AJ66" s="54"/>
      <c r="AK66" s="132">
        <v>11</v>
      </c>
    </row>
    <row r="67" s="132" customFormat="1" ht="11.5" customHeight="1">
      <c r="A67" s="706"/>
      <c r="B67" s="706"/>
      <c r="C67" s="706"/>
      <c r="D67" s="706"/>
      <c r="E67" s="706"/>
      <c r="F67" s="57"/>
      <c r="G67" s="57"/>
      <c r="H67" s="132"/>
      <c r="N67" s="53"/>
      <c r="P67" s="53"/>
      <c r="Q67" s="57"/>
      <c r="R67" s="57"/>
      <c r="S67" s="53"/>
      <c r="T67" s="53"/>
      <c r="U67" s="53"/>
      <c r="V67" s="53"/>
      <c r="W67" s="57"/>
      <c r="X67" s="53"/>
      <c r="Y67" s="53"/>
      <c r="Z67" s="707"/>
      <c r="AA67" s="53"/>
      <c r="AB67" s="53"/>
      <c r="AC67" s="53"/>
      <c r="AD67" s="53"/>
      <c r="AE67" s="53"/>
      <c r="AF67" s="56"/>
      <c r="AG67" s="54"/>
      <c r="AH67" s="54"/>
      <c r="AI67" s="54"/>
      <c r="AJ67" s="54"/>
      <c r="AK67" s="132">
        <v>11</v>
      </c>
    </row>
    <row r="68" s="132" customFormat="1" ht="11.5" customHeight="1">
      <c r="A68" s="706"/>
      <c r="B68" s="706"/>
      <c r="C68" s="706"/>
      <c r="D68" s="706"/>
      <c r="E68" s="706"/>
      <c r="F68" s="57"/>
      <c r="G68" s="57"/>
      <c r="H68" s="132"/>
      <c r="N68" s="53"/>
      <c r="P68" s="53"/>
      <c r="Q68" s="57"/>
      <c r="R68" s="57"/>
      <c r="S68" s="53"/>
      <c r="T68" s="53"/>
      <c r="U68" s="53"/>
      <c r="V68" s="53"/>
      <c r="W68" s="57"/>
      <c r="X68" s="53"/>
      <c r="Y68" s="53"/>
      <c r="Z68" s="707"/>
      <c r="AA68" s="53"/>
      <c r="AB68" s="53"/>
      <c r="AC68" s="53"/>
      <c r="AD68" s="53"/>
      <c r="AE68" s="53"/>
      <c r="AF68" s="56"/>
      <c r="AG68" s="54"/>
      <c r="AH68" s="54"/>
      <c r="AI68" s="54"/>
      <c r="AJ68" s="54"/>
      <c r="AK68" s="132">
        <v>11</v>
      </c>
    </row>
    <row r="69" s="132" customFormat="1" ht="11.5" customHeight="1">
      <c r="A69" s="706"/>
      <c r="B69" s="706"/>
      <c r="C69" s="706"/>
      <c r="D69" s="706"/>
      <c r="E69" s="706"/>
      <c r="F69" s="57"/>
      <c r="G69" s="57"/>
      <c r="H69" s="132"/>
      <c r="N69" s="53"/>
      <c r="P69" s="53"/>
      <c r="Q69" s="57"/>
      <c r="R69" s="57"/>
      <c r="S69" s="53"/>
      <c r="T69" s="53"/>
      <c r="U69" s="53"/>
      <c r="V69" s="53"/>
      <c r="W69" s="57"/>
      <c r="X69" s="53"/>
      <c r="Y69" s="53"/>
      <c r="Z69" s="707"/>
      <c r="AA69" s="53"/>
      <c r="AB69" s="53"/>
      <c r="AC69" s="53"/>
      <c r="AD69" s="53"/>
      <c r="AE69" s="53"/>
      <c r="AF69" s="56"/>
      <c r="AG69" s="54"/>
      <c r="AH69" s="54"/>
      <c r="AI69" s="54"/>
      <c r="AJ69" s="54"/>
      <c r="AK69" s="132">
        <v>11</v>
      </c>
    </row>
    <row r="70" s="132" customFormat="1" ht="11.5" customHeight="1">
      <c r="A70" s="706"/>
      <c r="B70" s="706"/>
      <c r="C70" s="706"/>
      <c r="D70" s="706"/>
      <c r="E70" s="706"/>
      <c r="F70" s="57"/>
      <c r="G70" s="57"/>
      <c r="H70" s="132"/>
      <c r="N70" s="53"/>
      <c r="P70" s="53"/>
      <c r="Q70" s="57"/>
      <c r="R70" s="57"/>
      <c r="S70" s="53"/>
      <c r="T70" s="53"/>
      <c r="U70" s="53"/>
      <c r="V70" s="53"/>
      <c r="W70" s="57"/>
      <c r="X70" s="53"/>
      <c r="Y70" s="53"/>
      <c r="Z70" s="707"/>
      <c r="AA70" s="53"/>
      <c r="AB70" s="53"/>
      <c r="AC70" s="53"/>
      <c r="AD70" s="53"/>
      <c r="AE70" s="53"/>
      <c r="AF70" s="56"/>
      <c r="AG70" s="54"/>
      <c r="AH70" s="54"/>
      <c r="AI70" s="54"/>
      <c r="AJ70" s="54"/>
      <c r="AK70" s="132">
        <v>11</v>
      </c>
    </row>
    <row r="71" s="132" customFormat="1" ht="11.5" customHeight="1">
      <c r="A71" s="706"/>
      <c r="B71" s="706"/>
      <c r="C71" s="706"/>
      <c r="D71" s="706"/>
      <c r="E71" s="706"/>
      <c r="F71" s="57"/>
      <c r="G71" s="57"/>
      <c r="H71" s="132"/>
      <c r="N71" s="53"/>
      <c r="P71" s="53"/>
      <c r="Q71" s="57"/>
      <c r="R71" s="57"/>
      <c r="S71" s="53"/>
      <c r="T71" s="53"/>
      <c r="U71" s="53"/>
      <c r="V71" s="53"/>
      <c r="W71" s="57"/>
      <c r="X71" s="53"/>
      <c r="Y71" s="53"/>
      <c r="Z71" s="707"/>
      <c r="AA71" s="53"/>
      <c r="AB71" s="53"/>
      <c r="AC71" s="53"/>
      <c r="AD71" s="53"/>
      <c r="AE71" s="53"/>
      <c r="AF71" s="56"/>
      <c r="AG71" s="54"/>
      <c r="AH71" s="54"/>
      <c r="AI71" s="54"/>
      <c r="AJ71" s="54"/>
      <c r="AK71" s="132">
        <v>11</v>
      </c>
    </row>
    <row r="72" s="132" customFormat="1" ht="11.5" customHeight="1">
      <c r="A72" s="706"/>
      <c r="B72" s="706"/>
      <c r="C72" s="706"/>
      <c r="D72" s="706"/>
      <c r="E72" s="706"/>
      <c r="F72" s="57"/>
      <c r="G72" s="57"/>
      <c r="H72" s="132"/>
      <c r="N72" s="53"/>
      <c r="P72" s="53"/>
      <c r="Q72" s="57"/>
      <c r="R72" s="57"/>
      <c r="S72" s="53"/>
      <c r="T72" s="53"/>
      <c r="U72" s="53"/>
      <c r="V72" s="53"/>
      <c r="W72" s="57"/>
      <c r="X72" s="53"/>
      <c r="Y72" s="53"/>
      <c r="Z72" s="707"/>
      <c r="AA72" s="53"/>
      <c r="AB72" s="53"/>
      <c r="AC72" s="53"/>
      <c r="AD72" s="53"/>
      <c r="AE72" s="53"/>
      <c r="AF72" s="56"/>
      <c r="AG72" s="54"/>
      <c r="AH72" s="54"/>
      <c r="AI72" s="54"/>
      <c r="AJ72" s="54"/>
      <c r="AK72" s="132">
        <v>11</v>
      </c>
    </row>
    <row r="73" s="132" customFormat="1" ht="11.5" customHeight="1">
      <c r="A73" s="706"/>
      <c r="B73" s="706"/>
      <c r="C73" s="706"/>
      <c r="D73" s="706"/>
      <c r="E73" s="706"/>
      <c r="F73" s="57"/>
      <c r="G73" s="57"/>
      <c r="H73" s="132"/>
      <c r="N73" s="53"/>
      <c r="P73" s="53"/>
      <c r="Q73" s="57"/>
      <c r="R73" s="57"/>
      <c r="S73" s="53"/>
      <c r="T73" s="53"/>
      <c r="U73" s="53"/>
      <c r="V73" s="53"/>
      <c r="W73" s="57"/>
      <c r="X73" s="53"/>
      <c r="Y73" s="53"/>
      <c r="Z73" s="707"/>
      <c r="AA73" s="53"/>
      <c r="AB73" s="53"/>
      <c r="AC73" s="53"/>
      <c r="AD73" s="53"/>
      <c r="AE73" s="53"/>
      <c r="AF73" s="56"/>
      <c r="AG73" s="54"/>
      <c r="AH73" s="54"/>
      <c r="AI73" s="54"/>
      <c r="AJ73" s="54"/>
      <c r="AK73" s="132">
        <v>11</v>
      </c>
    </row>
    <row r="74" s="132" customFormat="1" ht="11.5" customHeight="1">
      <c r="A74" s="706"/>
      <c r="B74" s="706"/>
      <c r="C74" s="706"/>
      <c r="D74" s="706"/>
      <c r="E74" s="706"/>
      <c r="F74" s="57"/>
      <c r="G74" s="57"/>
      <c r="H74" s="132"/>
      <c r="N74" s="53"/>
      <c r="P74" s="53"/>
      <c r="Q74" s="57"/>
      <c r="R74" s="57"/>
      <c r="S74" s="53"/>
      <c r="T74" s="53"/>
      <c r="U74" s="53"/>
      <c r="V74" s="53"/>
      <c r="W74" s="57"/>
      <c r="X74" s="53"/>
      <c r="Y74" s="53"/>
      <c r="Z74" s="707"/>
      <c r="AA74" s="53"/>
      <c r="AB74" s="53"/>
      <c r="AC74" s="53"/>
      <c r="AD74" s="53"/>
      <c r="AE74" s="53"/>
      <c r="AF74" s="56"/>
      <c r="AG74" s="54"/>
      <c r="AH74" s="54"/>
      <c r="AI74" s="54"/>
      <c r="AJ74" s="54"/>
      <c r="AK74" s="132">
        <v>11</v>
      </c>
    </row>
    <row r="75" s="132" customFormat="1" ht="11.5" customHeight="1">
      <c r="A75" s="706"/>
      <c r="B75" s="706"/>
      <c r="C75" s="706"/>
      <c r="D75" s="706"/>
      <c r="E75" s="706"/>
      <c r="F75" s="57"/>
      <c r="G75" s="57"/>
      <c r="H75" s="132"/>
      <c r="N75" s="53"/>
      <c r="P75" s="53"/>
      <c r="Q75" s="57"/>
      <c r="R75" s="57"/>
      <c r="S75" s="53"/>
      <c r="T75" s="53"/>
      <c r="U75" s="53"/>
      <c r="V75" s="53"/>
      <c r="W75" s="57"/>
      <c r="X75" s="53"/>
      <c r="Y75" s="53"/>
      <c r="Z75" s="707"/>
      <c r="AA75" s="53"/>
      <c r="AB75" s="53"/>
      <c r="AC75" s="53"/>
      <c r="AD75" s="53"/>
      <c r="AE75" s="53"/>
      <c r="AF75" s="56"/>
      <c r="AG75" s="54"/>
      <c r="AH75" s="54"/>
      <c r="AI75" s="54"/>
      <c r="AJ75" s="54"/>
      <c r="AK75" s="132">
        <v>11</v>
      </c>
    </row>
    <row r="76" s="132" customFormat="1" ht="11.5" customHeight="1">
      <c r="A76" s="706"/>
      <c r="B76" s="706"/>
      <c r="C76" s="706"/>
      <c r="D76" s="706"/>
      <c r="E76" s="706"/>
      <c r="F76" s="57"/>
      <c r="G76" s="57"/>
      <c r="H76" s="132"/>
      <c r="N76" s="53"/>
      <c r="P76" s="53"/>
      <c r="Q76" s="57"/>
      <c r="R76" s="57"/>
      <c r="S76" s="53"/>
      <c r="T76" s="53"/>
      <c r="U76" s="53"/>
      <c r="V76" s="53"/>
      <c r="W76" s="57"/>
      <c r="X76" s="53"/>
      <c r="Y76" s="53"/>
      <c r="Z76" s="707"/>
      <c r="AA76" s="53"/>
      <c r="AB76" s="53"/>
      <c r="AC76" s="53"/>
      <c r="AD76" s="53"/>
      <c r="AE76" s="53"/>
      <c r="AF76" s="56"/>
      <c r="AG76" s="54"/>
      <c r="AH76" s="54"/>
      <c r="AI76" s="54"/>
      <c r="AJ76" s="54"/>
      <c r="AK76" s="132">
        <v>11</v>
      </c>
    </row>
    <row r="77" s="132" customFormat="1" ht="11.5" customHeight="1">
      <c r="A77" s="706"/>
      <c r="B77" s="706"/>
      <c r="C77" s="706"/>
      <c r="D77" s="706"/>
      <c r="E77" s="706"/>
      <c r="F77" s="57"/>
      <c r="G77" s="57"/>
      <c r="H77" s="132"/>
      <c r="N77" s="53"/>
      <c r="P77" s="53"/>
      <c r="Q77" s="57"/>
      <c r="R77" s="57"/>
      <c r="S77" s="53"/>
      <c r="T77" s="53"/>
      <c r="U77" s="53"/>
      <c r="V77" s="53"/>
      <c r="W77" s="57"/>
      <c r="X77" s="53"/>
      <c r="Y77" s="53"/>
      <c r="Z77" s="707"/>
      <c r="AA77" s="53"/>
      <c r="AB77" s="53"/>
      <c r="AC77" s="53"/>
      <c r="AD77" s="53"/>
      <c r="AE77" s="53"/>
      <c r="AF77" s="56"/>
      <c r="AG77" s="54"/>
      <c r="AH77" s="54"/>
      <c r="AI77" s="54"/>
      <c r="AJ77" s="54"/>
      <c r="AK77" s="132">
        <v>11</v>
      </c>
    </row>
    <row r="78" s="132" customFormat="1" ht="11.5" customHeight="1">
      <c r="A78" s="706"/>
      <c r="B78" s="706"/>
      <c r="C78" s="706"/>
      <c r="D78" s="706"/>
      <c r="E78" s="706"/>
      <c r="F78" s="57"/>
      <c r="G78" s="57"/>
      <c r="H78" s="132"/>
      <c r="N78" s="53"/>
      <c r="P78" s="53"/>
      <c r="Q78" s="57"/>
      <c r="R78" s="57"/>
      <c r="S78" s="53"/>
      <c r="T78" s="53"/>
      <c r="U78" s="53"/>
      <c r="V78" s="53"/>
      <c r="W78" s="57"/>
      <c r="X78" s="53"/>
      <c r="Y78" s="53"/>
      <c r="Z78" s="707"/>
      <c r="AA78" s="53"/>
      <c r="AB78" s="53"/>
      <c r="AC78" s="53"/>
      <c r="AD78" s="53"/>
      <c r="AE78" s="53"/>
      <c r="AF78" s="56"/>
      <c r="AG78" s="54"/>
      <c r="AH78" s="54"/>
      <c r="AI78" s="54"/>
      <c r="AJ78" s="54"/>
      <c r="AK78" s="132">
        <v>11</v>
      </c>
    </row>
    <row r="79" s="132" customFormat="1" ht="11.5" customHeight="1">
      <c r="A79" s="706"/>
      <c r="B79" s="706"/>
      <c r="C79" s="706"/>
      <c r="D79" s="706"/>
      <c r="E79" s="706"/>
      <c r="F79" s="57"/>
      <c r="G79" s="57"/>
      <c r="H79" s="132"/>
      <c r="N79" s="53"/>
      <c r="P79" s="53"/>
      <c r="Q79" s="57"/>
      <c r="R79" s="57"/>
      <c r="S79" s="53"/>
      <c r="T79" s="53"/>
      <c r="U79" s="53"/>
      <c r="V79" s="53"/>
      <c r="W79" s="57"/>
      <c r="X79" s="53"/>
      <c r="Y79" s="53"/>
      <c r="Z79" s="707"/>
      <c r="AA79" s="53"/>
      <c r="AB79" s="53"/>
      <c r="AC79" s="53"/>
      <c r="AD79" s="53"/>
      <c r="AE79" s="53"/>
      <c r="AF79" s="56"/>
      <c r="AG79" s="54"/>
      <c r="AH79" s="54"/>
      <c r="AI79" s="54"/>
      <c r="AJ79" s="54"/>
      <c r="AK79" s="132">
        <v>11</v>
      </c>
    </row>
    <row r="80" s="132" customFormat="1" ht="11.5" customHeight="1">
      <c r="A80" s="706"/>
      <c r="B80" s="706"/>
      <c r="C80" s="706"/>
      <c r="D80" s="706"/>
      <c r="E80" s="706"/>
      <c r="F80" s="57"/>
      <c r="G80" s="57"/>
      <c r="H80" s="132"/>
      <c r="N80" s="53"/>
      <c r="P80" s="53"/>
      <c r="Q80" s="57"/>
      <c r="R80" s="57"/>
      <c r="S80" s="53"/>
      <c r="T80" s="53"/>
      <c r="U80" s="53"/>
      <c r="V80" s="53"/>
      <c r="W80" s="57"/>
      <c r="X80" s="53"/>
      <c r="Y80" s="53"/>
      <c r="Z80" s="707"/>
      <c r="AA80" s="53"/>
      <c r="AB80" s="53"/>
      <c r="AC80" s="53"/>
      <c r="AD80" s="53"/>
      <c r="AE80" s="53"/>
      <c r="AF80" s="56"/>
      <c r="AG80" s="54"/>
      <c r="AH80" s="54"/>
      <c r="AI80" s="54"/>
      <c r="AJ80" s="54"/>
      <c r="AK80" s="132">
        <v>11</v>
      </c>
    </row>
    <row r="81" s="132" customFormat="1" ht="11.5" customHeight="1">
      <c r="A81" s="706"/>
      <c r="B81" s="706"/>
      <c r="C81" s="706"/>
      <c r="D81" s="706"/>
      <c r="E81" s="706"/>
      <c r="F81" s="57"/>
      <c r="G81" s="57"/>
      <c r="H81" s="132"/>
      <c r="N81" s="53"/>
      <c r="P81" s="53"/>
      <c r="Q81" s="57"/>
      <c r="R81" s="57"/>
      <c r="S81" s="53"/>
      <c r="T81" s="53"/>
      <c r="U81" s="53"/>
      <c r="V81" s="53"/>
      <c r="W81" s="57"/>
      <c r="X81" s="53"/>
      <c r="Y81" s="53"/>
      <c r="Z81" s="707"/>
      <c r="AA81" s="53"/>
      <c r="AB81" s="53"/>
      <c r="AC81" s="53"/>
      <c r="AD81" s="53"/>
      <c r="AE81" s="53"/>
      <c r="AF81" s="56"/>
      <c r="AG81" s="54"/>
      <c r="AH81" s="54"/>
      <c r="AI81" s="54"/>
      <c r="AJ81" s="54"/>
      <c r="AK81" s="132">
        <v>11</v>
      </c>
    </row>
    <row r="82" s="132" customFormat="1" ht="11.5" customHeight="1">
      <c r="A82" s="706"/>
      <c r="B82" s="706"/>
      <c r="C82" s="706"/>
      <c r="D82" s="706"/>
      <c r="E82" s="706"/>
      <c r="F82" s="57"/>
      <c r="G82" s="57"/>
      <c r="H82" s="132"/>
      <c r="N82" s="53"/>
      <c r="P82" s="53"/>
      <c r="Q82" s="57"/>
      <c r="R82" s="57"/>
      <c r="S82" s="53"/>
      <c r="T82" s="53"/>
      <c r="U82" s="53"/>
      <c r="V82" s="53"/>
      <c r="W82" s="57"/>
      <c r="X82" s="53"/>
      <c r="Y82" s="53"/>
      <c r="Z82" s="707"/>
      <c r="AA82" s="53"/>
      <c r="AB82" s="53"/>
      <c r="AC82" s="53"/>
      <c r="AD82" s="53"/>
      <c r="AE82" s="53"/>
      <c r="AF82" s="56"/>
      <c r="AG82" s="54"/>
      <c r="AH82" s="54"/>
      <c r="AI82" s="54"/>
      <c r="AJ82" s="54"/>
      <c r="AK82" s="132">
        <v>11</v>
      </c>
    </row>
    <row r="83" s="132" customFormat="1" ht="11.5" customHeight="1">
      <c r="A83" s="706"/>
      <c r="B83" s="706"/>
      <c r="C83" s="706"/>
      <c r="D83" s="706"/>
      <c r="E83" s="706"/>
      <c r="F83" s="57"/>
      <c r="G83" s="57"/>
      <c r="H83" s="132"/>
      <c r="N83" s="53"/>
      <c r="P83" s="53"/>
      <c r="Q83" s="57"/>
      <c r="R83" s="57"/>
      <c r="S83" s="53"/>
      <c r="T83" s="53"/>
      <c r="U83" s="53"/>
      <c r="V83" s="53"/>
      <c r="W83" s="57"/>
      <c r="X83" s="53"/>
      <c r="Y83" s="53"/>
      <c r="Z83" s="707"/>
      <c r="AA83" s="53"/>
      <c r="AB83" s="53"/>
      <c r="AC83" s="53"/>
      <c r="AD83" s="53"/>
      <c r="AE83" s="53"/>
      <c r="AF83" s="56"/>
      <c r="AG83" s="54"/>
      <c r="AH83" s="54"/>
      <c r="AI83" s="54"/>
      <c r="AJ83" s="54"/>
      <c r="AK83" s="132">
        <v>11</v>
      </c>
    </row>
    <row r="84" s="132" customFormat="1" ht="11.5" customHeight="1">
      <c r="A84" s="706"/>
      <c r="B84" s="706"/>
      <c r="C84" s="706"/>
      <c r="D84" s="706"/>
      <c r="E84" s="706"/>
      <c r="F84" s="57"/>
      <c r="G84" s="57"/>
      <c r="H84" s="132"/>
      <c r="N84" s="53"/>
      <c r="P84" s="53"/>
      <c r="Q84" s="57"/>
      <c r="R84" s="57"/>
      <c r="S84" s="53"/>
      <c r="T84" s="53"/>
      <c r="U84" s="53"/>
      <c r="V84" s="53"/>
      <c r="W84" s="57"/>
      <c r="X84" s="53"/>
      <c r="Y84" s="53"/>
      <c r="Z84" s="707"/>
      <c r="AA84" s="53"/>
      <c r="AB84" s="53"/>
      <c r="AC84" s="53"/>
      <c r="AD84" s="53"/>
      <c r="AE84" s="53"/>
      <c r="AF84" s="56"/>
      <c r="AG84" s="54"/>
      <c r="AH84" s="54"/>
      <c r="AI84" s="54"/>
      <c r="AJ84" s="54"/>
      <c r="AK84" s="132">
        <v>11</v>
      </c>
    </row>
    <row r="85" s="132" customFormat="1" ht="11.5" customHeight="1">
      <c r="A85" s="706"/>
      <c r="B85" s="706"/>
      <c r="C85" s="706"/>
      <c r="D85" s="706"/>
      <c r="E85" s="706"/>
      <c r="F85" s="57"/>
      <c r="G85" s="57"/>
      <c r="H85" s="132"/>
      <c r="N85" s="53"/>
      <c r="P85" s="53"/>
      <c r="Q85" s="57"/>
      <c r="R85" s="57"/>
      <c r="S85" s="53"/>
      <c r="T85" s="53"/>
      <c r="U85" s="53"/>
      <c r="V85" s="53"/>
      <c r="W85" s="57"/>
      <c r="X85" s="53"/>
      <c r="Y85" s="53"/>
      <c r="Z85" s="707"/>
      <c r="AA85" s="53"/>
      <c r="AB85" s="53"/>
      <c r="AC85" s="53"/>
      <c r="AD85" s="53"/>
      <c r="AE85" s="53"/>
      <c r="AF85" s="56"/>
      <c r="AG85" s="54"/>
      <c r="AH85" s="54"/>
      <c r="AI85" s="54"/>
      <c r="AJ85" s="54"/>
      <c r="AK85" s="132">
        <v>11</v>
      </c>
    </row>
    <row r="86" s="132" customFormat="1" ht="11.5" customHeight="1">
      <c r="A86" s="706"/>
      <c r="B86" s="706"/>
      <c r="C86" s="706"/>
      <c r="D86" s="706"/>
      <c r="E86" s="706"/>
      <c r="F86" s="57"/>
      <c r="G86" s="57"/>
      <c r="H86" s="132"/>
      <c r="N86" s="53"/>
      <c r="P86" s="53"/>
      <c r="Q86" s="57"/>
      <c r="R86" s="57"/>
      <c r="S86" s="53"/>
      <c r="T86" s="53"/>
      <c r="U86" s="53"/>
      <c r="V86" s="53"/>
      <c r="W86" s="57"/>
      <c r="X86" s="53"/>
      <c r="Y86" s="53"/>
      <c r="Z86" s="707"/>
      <c r="AA86" s="53"/>
      <c r="AB86" s="53"/>
      <c r="AC86" s="53"/>
      <c r="AD86" s="53"/>
      <c r="AE86" s="53"/>
      <c r="AF86" s="56"/>
      <c r="AG86" s="54"/>
      <c r="AH86" s="54"/>
      <c r="AI86" s="54"/>
      <c r="AJ86" s="54"/>
      <c r="AK86" s="132">
        <v>11</v>
      </c>
    </row>
    <row r="87" s="132" customFormat="1" ht="11.5" customHeight="1">
      <c r="A87" s="706"/>
      <c r="B87" s="706"/>
      <c r="C87" s="706"/>
      <c r="D87" s="706"/>
      <c r="E87" s="706"/>
      <c r="F87" s="57"/>
      <c r="G87" s="57"/>
      <c r="H87" s="132"/>
      <c r="N87" s="53"/>
      <c r="P87" s="53"/>
      <c r="Q87" s="57"/>
      <c r="R87" s="57"/>
      <c r="S87" s="53"/>
      <c r="T87" s="53"/>
      <c r="U87" s="53"/>
      <c r="V87" s="53"/>
      <c r="W87" s="57"/>
      <c r="X87" s="53"/>
      <c r="Y87" s="53"/>
      <c r="Z87" s="707"/>
      <c r="AA87" s="53"/>
      <c r="AB87" s="53"/>
      <c r="AC87" s="53"/>
      <c r="AD87" s="53"/>
      <c r="AE87" s="53"/>
      <c r="AF87" s="56"/>
      <c r="AG87" s="54"/>
      <c r="AH87" s="54"/>
      <c r="AI87" s="54"/>
      <c r="AJ87" s="54"/>
      <c r="AK87" s="132">
        <v>11</v>
      </c>
    </row>
    <row r="88" s="132" customFormat="1" ht="11.5" customHeight="1">
      <c r="A88" s="706"/>
      <c r="B88" s="706"/>
      <c r="C88" s="706"/>
      <c r="D88" s="706"/>
      <c r="E88" s="706"/>
      <c r="F88" s="57"/>
      <c r="G88" s="57"/>
      <c r="H88" s="132"/>
      <c r="N88" s="53"/>
      <c r="P88" s="53"/>
      <c r="Q88" s="57"/>
      <c r="R88" s="57"/>
      <c r="S88" s="53"/>
      <c r="T88" s="53"/>
      <c r="U88" s="53"/>
      <c r="V88" s="53"/>
      <c r="W88" s="57"/>
      <c r="X88" s="53"/>
      <c r="Y88" s="53"/>
      <c r="Z88" s="707"/>
      <c r="AA88" s="53"/>
      <c r="AB88" s="53"/>
      <c r="AC88" s="53"/>
      <c r="AD88" s="53"/>
      <c r="AE88" s="53"/>
      <c r="AF88" s="56"/>
      <c r="AG88" s="54"/>
      <c r="AH88" s="54"/>
      <c r="AI88" s="54"/>
      <c r="AJ88" s="54"/>
      <c r="AK88" s="132">
        <v>11</v>
      </c>
    </row>
    <row r="89" s="132" customFormat="1" ht="11.5" customHeight="1">
      <c r="A89" s="706"/>
      <c r="B89" s="706"/>
      <c r="C89" s="706"/>
      <c r="D89" s="706"/>
      <c r="E89" s="706"/>
      <c r="F89" s="57"/>
      <c r="G89" s="57"/>
      <c r="H89" s="132"/>
      <c r="N89" s="53"/>
      <c r="P89" s="53"/>
      <c r="Q89" s="57"/>
      <c r="R89" s="57"/>
      <c r="S89" s="53"/>
      <c r="T89" s="53"/>
      <c r="U89" s="53"/>
      <c r="V89" s="53"/>
      <c r="W89" s="57"/>
      <c r="X89" s="53"/>
      <c r="Y89" s="53"/>
      <c r="Z89" s="707"/>
      <c r="AA89" s="53"/>
      <c r="AB89" s="53"/>
      <c r="AC89" s="53"/>
      <c r="AD89" s="53"/>
      <c r="AE89" s="53"/>
      <c r="AF89" s="56"/>
      <c r="AG89" s="54"/>
      <c r="AH89" s="54"/>
      <c r="AI89" s="54"/>
      <c r="AJ89" s="54"/>
      <c r="AK89" s="132">
        <v>11</v>
      </c>
    </row>
    <row r="90" s="132" customFormat="1" ht="11.5" customHeight="1">
      <c r="A90" s="706"/>
      <c r="B90" s="706"/>
      <c r="C90" s="706"/>
      <c r="D90" s="706"/>
      <c r="E90" s="706"/>
      <c r="F90" s="57"/>
      <c r="G90" s="57"/>
      <c r="H90" s="132"/>
      <c r="N90" s="53"/>
      <c r="P90" s="53"/>
      <c r="Q90" s="57"/>
      <c r="R90" s="57"/>
      <c r="S90" s="53"/>
      <c r="T90" s="53"/>
      <c r="U90" s="53"/>
      <c r="V90" s="53"/>
      <c r="W90" s="57"/>
      <c r="X90" s="53"/>
      <c r="Y90" s="53"/>
      <c r="Z90" s="707"/>
      <c r="AA90" s="53"/>
      <c r="AB90" s="53"/>
      <c r="AC90" s="53"/>
      <c r="AD90" s="53"/>
      <c r="AE90" s="53"/>
      <c r="AF90" s="56"/>
      <c r="AG90" s="54"/>
      <c r="AH90" s="54"/>
      <c r="AI90" s="54"/>
      <c r="AJ90" s="54"/>
      <c r="AK90" s="132">
        <v>11</v>
      </c>
    </row>
    <row r="91" s="132" customFormat="1" ht="11.5" customHeight="1">
      <c r="A91" s="706"/>
      <c r="B91" s="706"/>
      <c r="C91" s="706"/>
      <c r="D91" s="706"/>
      <c r="E91" s="706"/>
      <c r="F91" s="57"/>
      <c r="G91" s="57"/>
      <c r="H91" s="132"/>
      <c r="N91" s="53"/>
      <c r="P91" s="53"/>
      <c r="Q91" s="57"/>
      <c r="R91" s="57"/>
      <c r="S91" s="53"/>
      <c r="T91" s="53"/>
      <c r="U91" s="53"/>
      <c r="V91" s="53"/>
      <c r="W91" s="57"/>
      <c r="X91" s="53"/>
      <c r="Y91" s="53"/>
      <c r="Z91" s="707"/>
      <c r="AA91" s="53"/>
      <c r="AB91" s="53"/>
      <c r="AC91" s="53"/>
      <c r="AD91" s="53"/>
      <c r="AE91" s="53"/>
      <c r="AF91" s="56"/>
      <c r="AG91" s="54"/>
      <c r="AH91" s="54"/>
      <c r="AI91" s="54"/>
      <c r="AJ91" s="54"/>
      <c r="AK91" s="132">
        <v>11</v>
      </c>
    </row>
    <row r="92" s="132" customFormat="1" ht="11.5" customHeight="1">
      <c r="A92" s="706"/>
      <c r="B92" s="706"/>
      <c r="C92" s="706"/>
      <c r="D92" s="706"/>
      <c r="E92" s="706"/>
      <c r="F92" s="57"/>
      <c r="G92" s="57"/>
      <c r="H92" s="132"/>
      <c r="N92" s="53"/>
      <c r="P92" s="53"/>
      <c r="Q92" s="57"/>
      <c r="R92" s="57"/>
      <c r="S92" s="53"/>
      <c r="T92" s="53"/>
      <c r="U92" s="53"/>
      <c r="V92" s="53"/>
      <c r="W92" s="57"/>
      <c r="X92" s="53"/>
      <c r="Y92" s="53"/>
      <c r="Z92" s="707"/>
      <c r="AA92" s="53"/>
      <c r="AB92" s="53"/>
      <c r="AC92" s="53"/>
      <c r="AD92" s="53"/>
      <c r="AE92" s="53"/>
      <c r="AF92" s="56"/>
      <c r="AG92" s="54"/>
      <c r="AH92" s="54"/>
      <c r="AI92" s="54"/>
      <c r="AJ92" s="54"/>
      <c r="AK92" s="132">
        <v>11</v>
      </c>
    </row>
    <row r="93" s="132" customFormat="1" ht="11.5" customHeight="1">
      <c r="A93" s="706"/>
      <c r="B93" s="706"/>
      <c r="C93" s="706"/>
      <c r="D93" s="706"/>
      <c r="E93" s="706"/>
      <c r="F93" s="57"/>
      <c r="G93" s="57"/>
      <c r="H93" s="132"/>
      <c r="N93" s="53"/>
      <c r="P93" s="53"/>
      <c r="Q93" s="57"/>
      <c r="R93" s="57"/>
      <c r="S93" s="53"/>
      <c r="T93" s="53"/>
      <c r="U93" s="53"/>
      <c r="V93" s="53"/>
      <c r="W93" s="57"/>
      <c r="X93" s="53"/>
      <c r="Y93" s="53"/>
      <c r="Z93" s="707"/>
      <c r="AA93" s="53"/>
      <c r="AB93" s="53"/>
      <c r="AC93" s="53"/>
      <c r="AD93" s="53"/>
      <c r="AE93" s="53"/>
      <c r="AF93" s="56"/>
      <c r="AG93" s="54"/>
      <c r="AH93" s="54"/>
      <c r="AI93" s="54"/>
      <c r="AJ93" s="54"/>
      <c r="AK93" s="132">
        <v>11</v>
      </c>
    </row>
    <row r="94" s="132" customFormat="1" ht="11.5" customHeight="1">
      <c r="A94" s="706"/>
      <c r="B94" s="706"/>
      <c r="C94" s="706"/>
      <c r="D94" s="706"/>
      <c r="E94" s="706"/>
      <c r="F94" s="57"/>
      <c r="G94" s="57"/>
      <c r="H94" s="132"/>
      <c r="N94" s="53"/>
      <c r="P94" s="53"/>
      <c r="Q94" s="57"/>
      <c r="R94" s="57"/>
      <c r="S94" s="53"/>
      <c r="T94" s="53"/>
      <c r="U94" s="53"/>
      <c r="V94" s="53"/>
      <c r="W94" s="57"/>
      <c r="X94" s="53"/>
      <c r="Y94" s="53"/>
      <c r="Z94" s="707"/>
      <c r="AA94" s="53"/>
      <c r="AB94" s="53"/>
      <c r="AC94" s="53"/>
      <c r="AD94" s="53"/>
      <c r="AE94" s="53"/>
      <c r="AF94" s="56"/>
      <c r="AG94" s="54"/>
      <c r="AH94" s="54"/>
      <c r="AI94" s="54"/>
      <c r="AJ94" s="54"/>
      <c r="AK94" s="132">
        <v>11</v>
      </c>
    </row>
    <row r="95" s="132" customFormat="1" ht="11.5" customHeight="1">
      <c r="A95" s="706"/>
      <c r="B95" s="706"/>
      <c r="C95" s="706"/>
      <c r="D95" s="706"/>
      <c r="E95" s="706"/>
      <c r="F95" s="57"/>
      <c r="G95" s="57"/>
      <c r="H95" s="132"/>
      <c r="N95" s="53"/>
      <c r="P95" s="53"/>
      <c r="Q95" s="57"/>
      <c r="R95" s="57"/>
      <c r="S95" s="53"/>
      <c r="T95" s="53"/>
      <c r="U95" s="53"/>
      <c r="V95" s="53"/>
      <c r="W95" s="57"/>
      <c r="X95" s="53"/>
      <c r="Y95" s="53"/>
      <c r="Z95" s="707"/>
      <c r="AA95" s="53"/>
      <c r="AB95" s="53"/>
      <c r="AC95" s="53"/>
      <c r="AD95" s="53"/>
      <c r="AE95" s="53"/>
      <c r="AF95" s="56"/>
      <c r="AG95" s="54"/>
      <c r="AH95" s="54"/>
      <c r="AI95" s="54"/>
      <c r="AJ95" s="54"/>
      <c r="AK95" s="132">
        <v>11</v>
      </c>
    </row>
    <row r="96" s="132" customFormat="1" ht="11.5" customHeight="1">
      <c r="A96" s="706"/>
      <c r="B96" s="706"/>
      <c r="C96" s="706"/>
      <c r="D96" s="706"/>
      <c r="E96" s="706"/>
      <c r="F96" s="57"/>
      <c r="G96" s="57"/>
      <c r="H96" s="132"/>
      <c r="N96" s="53"/>
      <c r="P96" s="53"/>
      <c r="Q96" s="57"/>
      <c r="R96" s="57"/>
      <c r="S96" s="53"/>
      <c r="T96" s="53"/>
      <c r="U96" s="53"/>
      <c r="V96" s="53"/>
      <c r="W96" s="57"/>
      <c r="X96" s="53"/>
      <c r="Y96" s="53"/>
      <c r="Z96" s="707"/>
      <c r="AA96" s="53"/>
      <c r="AB96" s="53"/>
      <c r="AC96" s="53"/>
      <c r="AD96" s="53"/>
      <c r="AE96" s="53"/>
      <c r="AF96" s="56"/>
      <c r="AG96" s="54"/>
      <c r="AH96" s="54"/>
      <c r="AI96" s="54"/>
      <c r="AJ96" s="54"/>
      <c r="AK96" s="132">
        <v>11</v>
      </c>
    </row>
    <row r="97" s="132" customFormat="1" ht="11.5" customHeight="1">
      <c r="A97" s="706"/>
      <c r="B97" s="706"/>
      <c r="C97" s="706"/>
      <c r="D97" s="706"/>
      <c r="E97" s="706"/>
      <c r="F97" s="57"/>
      <c r="G97" s="57"/>
      <c r="H97" s="132"/>
      <c r="N97" s="53"/>
      <c r="P97" s="53"/>
      <c r="Q97" s="57"/>
      <c r="R97" s="57"/>
      <c r="S97" s="53"/>
      <c r="T97" s="53"/>
      <c r="U97" s="53"/>
      <c r="V97" s="53"/>
      <c r="W97" s="57"/>
      <c r="X97" s="53"/>
      <c r="Y97" s="53"/>
      <c r="Z97" s="707"/>
      <c r="AA97" s="53"/>
      <c r="AB97" s="53"/>
      <c r="AC97" s="53"/>
      <c r="AD97" s="53"/>
      <c r="AE97" s="53"/>
      <c r="AF97" s="56"/>
      <c r="AG97" s="54"/>
      <c r="AH97" s="54"/>
      <c r="AI97" s="54"/>
      <c r="AJ97" s="54"/>
      <c r="AK97" s="132">
        <v>11</v>
      </c>
    </row>
    <row r="98" s="132" customFormat="1" ht="11.5" customHeight="1">
      <c r="A98" s="706"/>
      <c r="B98" s="706"/>
      <c r="C98" s="706"/>
      <c r="D98" s="706"/>
      <c r="E98" s="706"/>
      <c r="F98" s="57"/>
      <c r="G98" s="57"/>
      <c r="H98" s="132"/>
      <c r="N98" s="53"/>
      <c r="P98" s="53"/>
      <c r="Q98" s="57"/>
      <c r="R98" s="57"/>
      <c r="S98" s="53"/>
      <c r="T98" s="53"/>
      <c r="U98" s="53"/>
      <c r="V98" s="53"/>
      <c r="W98" s="57"/>
      <c r="X98" s="53"/>
      <c r="Y98" s="53"/>
      <c r="Z98" s="707"/>
      <c r="AA98" s="53"/>
      <c r="AB98" s="53"/>
      <c r="AC98" s="53"/>
      <c r="AD98" s="53"/>
      <c r="AE98" s="53"/>
      <c r="AF98" s="56"/>
      <c r="AG98" s="54"/>
      <c r="AH98" s="54"/>
      <c r="AI98" s="54"/>
      <c r="AJ98" s="54"/>
      <c r="AK98" s="132">
        <v>11</v>
      </c>
    </row>
    <row r="99" s="132" customFormat="1" ht="11.5" customHeight="1">
      <c r="A99" s="706"/>
      <c r="B99" s="706"/>
      <c r="C99" s="706"/>
      <c r="D99" s="706"/>
      <c r="E99" s="706"/>
      <c r="F99" s="57"/>
      <c r="G99" s="57"/>
      <c r="H99" s="132"/>
      <c r="N99" s="53"/>
      <c r="P99" s="53"/>
      <c r="Q99" s="57"/>
      <c r="R99" s="57"/>
      <c r="S99" s="53"/>
      <c r="T99" s="53"/>
      <c r="U99" s="53"/>
      <c r="V99" s="53"/>
      <c r="W99" s="57"/>
      <c r="X99" s="53"/>
      <c r="Y99" s="53"/>
      <c r="Z99" s="707"/>
      <c r="AA99" s="53"/>
      <c r="AB99" s="53"/>
      <c r="AC99" s="53"/>
      <c r="AD99" s="53"/>
      <c r="AE99" s="53"/>
      <c r="AF99" s="56"/>
      <c r="AG99" s="54"/>
      <c r="AH99" s="54"/>
      <c r="AI99" s="54"/>
      <c r="AJ99" s="54"/>
      <c r="AK99" s="132">
        <v>11</v>
      </c>
    </row>
    <row r="100" s="132" customFormat="1" ht="11.5" customHeight="1">
      <c r="A100" s="706"/>
      <c r="B100" s="706"/>
      <c r="C100" s="706"/>
      <c r="D100" s="706"/>
      <c r="E100" s="706"/>
      <c r="F100" s="57"/>
      <c r="G100" s="57"/>
      <c r="H100" s="132"/>
      <c r="N100" s="53"/>
      <c r="P100" s="53"/>
      <c r="Q100" s="57"/>
      <c r="R100" s="57"/>
      <c r="S100" s="53"/>
      <c r="T100" s="53"/>
      <c r="U100" s="53"/>
      <c r="V100" s="53"/>
      <c r="W100" s="57"/>
      <c r="X100" s="53"/>
      <c r="Y100" s="53"/>
      <c r="Z100" s="707"/>
      <c r="AA100" s="53"/>
      <c r="AB100" s="53"/>
      <c r="AC100" s="53"/>
      <c r="AD100" s="53"/>
      <c r="AE100" s="53"/>
      <c r="AF100" s="56"/>
      <c r="AG100" s="54"/>
      <c r="AH100" s="54"/>
      <c r="AI100" s="54"/>
      <c r="AJ100" s="54"/>
      <c r="AK100" s="132">
        <v>11</v>
      </c>
    </row>
    <row r="101" s="132" customFormat="1" ht="11.5" customHeight="1">
      <c r="A101" s="706"/>
      <c r="B101" s="706"/>
      <c r="C101" s="706"/>
      <c r="D101" s="706"/>
      <c r="E101" s="706"/>
      <c r="F101" s="57"/>
      <c r="G101" s="57"/>
      <c r="H101" s="132"/>
      <c r="N101" s="53"/>
      <c r="P101" s="53"/>
      <c r="Q101" s="57"/>
      <c r="R101" s="57"/>
      <c r="S101" s="53"/>
      <c r="T101" s="53"/>
      <c r="U101" s="53"/>
      <c r="V101" s="53"/>
      <c r="W101" s="57"/>
      <c r="X101" s="53"/>
      <c r="Y101" s="53"/>
      <c r="Z101" s="707"/>
      <c r="AA101" s="53"/>
      <c r="AB101" s="53"/>
      <c r="AC101" s="53"/>
      <c r="AD101" s="53"/>
      <c r="AE101" s="53"/>
      <c r="AF101" s="56"/>
      <c r="AG101" s="54"/>
      <c r="AH101" s="54"/>
      <c r="AI101" s="54"/>
      <c r="AJ101" s="54"/>
      <c r="AK101" s="132">
        <v>11</v>
      </c>
    </row>
    <row r="102" s="132" customFormat="1" ht="11.5" customHeight="1">
      <c r="A102" s="706"/>
      <c r="B102" s="706"/>
      <c r="C102" s="706"/>
      <c r="D102" s="706"/>
      <c r="E102" s="706"/>
      <c r="F102" s="57"/>
      <c r="G102" s="57"/>
      <c r="H102" s="132"/>
      <c r="N102" s="53"/>
      <c r="P102" s="53"/>
      <c r="Q102" s="57"/>
      <c r="R102" s="57"/>
      <c r="S102" s="53"/>
      <c r="T102" s="53"/>
      <c r="U102" s="53"/>
      <c r="V102" s="53"/>
      <c r="W102" s="57"/>
      <c r="X102" s="53"/>
      <c r="Y102" s="53"/>
      <c r="Z102" s="707"/>
      <c r="AA102" s="53"/>
      <c r="AB102" s="53"/>
      <c r="AC102" s="53"/>
      <c r="AD102" s="53"/>
      <c r="AE102" s="53"/>
      <c r="AF102" s="56"/>
      <c r="AG102" s="54"/>
      <c r="AH102" s="54"/>
      <c r="AI102" s="54"/>
      <c r="AJ102" s="54"/>
      <c r="AK102" s="132">
        <v>11</v>
      </c>
    </row>
    <row r="103" s="132" customFormat="1" ht="11.5" customHeight="1">
      <c r="A103" s="706"/>
      <c r="B103" s="706"/>
      <c r="C103" s="706"/>
      <c r="D103" s="706"/>
      <c r="E103" s="706"/>
      <c r="F103" s="57"/>
      <c r="G103" s="57"/>
      <c r="H103" s="132"/>
      <c r="N103" s="53"/>
      <c r="P103" s="53"/>
      <c r="Q103" s="57"/>
      <c r="R103" s="57"/>
      <c r="S103" s="53"/>
      <c r="T103" s="53"/>
      <c r="U103" s="53"/>
      <c r="V103" s="53"/>
      <c r="W103" s="57"/>
      <c r="X103" s="53"/>
      <c r="Y103" s="53"/>
      <c r="Z103" s="707"/>
      <c r="AA103" s="53"/>
      <c r="AB103" s="53"/>
      <c r="AC103" s="53"/>
      <c r="AD103" s="53"/>
      <c r="AE103" s="53"/>
      <c r="AF103" s="56"/>
      <c r="AG103" s="54"/>
      <c r="AH103" s="54"/>
      <c r="AI103" s="54"/>
      <c r="AJ103" s="54"/>
      <c r="AK103" s="132">
        <v>11</v>
      </c>
    </row>
    <row r="104" s="132" customFormat="1" ht="11.5" customHeight="1">
      <c r="A104" s="706"/>
      <c r="B104" s="706"/>
      <c r="C104" s="706"/>
      <c r="D104" s="706"/>
      <c r="E104" s="706"/>
      <c r="F104" s="57"/>
      <c r="G104" s="57"/>
      <c r="H104" s="132"/>
      <c r="N104" s="53"/>
      <c r="P104" s="53"/>
      <c r="Q104" s="57"/>
      <c r="R104" s="57"/>
      <c r="S104" s="53"/>
      <c r="T104" s="53"/>
      <c r="U104" s="53"/>
      <c r="V104" s="53"/>
      <c r="W104" s="57"/>
      <c r="X104" s="53"/>
      <c r="Y104" s="53"/>
      <c r="Z104" s="707"/>
      <c r="AA104" s="53"/>
      <c r="AB104" s="53"/>
      <c r="AC104" s="53"/>
      <c r="AD104" s="53"/>
      <c r="AE104" s="53"/>
      <c r="AF104" s="56"/>
      <c r="AG104" s="54"/>
      <c r="AH104" s="54"/>
      <c r="AI104" s="54"/>
      <c r="AJ104" s="54"/>
      <c r="AK104" s="132">
        <v>11</v>
      </c>
    </row>
    <row r="105" s="132" customFormat="1" ht="11.5" customHeight="1">
      <c r="A105" s="706"/>
      <c r="B105" s="706"/>
      <c r="C105" s="706"/>
      <c r="D105" s="706"/>
      <c r="E105" s="706"/>
      <c r="F105" s="57"/>
      <c r="G105" s="57"/>
      <c r="H105" s="132"/>
      <c r="N105" s="53"/>
      <c r="P105" s="53"/>
      <c r="Q105" s="57"/>
      <c r="R105" s="57"/>
      <c r="S105" s="53"/>
      <c r="T105" s="53"/>
      <c r="U105" s="53"/>
      <c r="V105" s="53"/>
      <c r="W105" s="57"/>
      <c r="X105" s="53"/>
      <c r="Y105" s="53"/>
      <c r="Z105" s="707"/>
      <c r="AA105" s="53"/>
      <c r="AB105" s="53"/>
      <c r="AC105" s="53"/>
      <c r="AD105" s="53"/>
      <c r="AE105" s="53"/>
      <c r="AF105" s="56"/>
      <c r="AG105" s="54"/>
      <c r="AH105" s="54"/>
      <c r="AI105" s="54"/>
      <c r="AJ105" s="54"/>
      <c r="AK105" s="132">
        <v>11</v>
      </c>
    </row>
    <row r="106" s="132" customFormat="1" ht="11.5" customHeight="1">
      <c r="A106" s="706"/>
      <c r="B106" s="706"/>
      <c r="C106" s="706"/>
      <c r="D106" s="706"/>
      <c r="E106" s="706"/>
      <c r="F106" s="57"/>
      <c r="G106" s="57"/>
      <c r="H106" s="132"/>
      <c r="N106" s="53"/>
      <c r="P106" s="53"/>
      <c r="Q106" s="57"/>
      <c r="R106" s="57"/>
      <c r="S106" s="53"/>
      <c r="T106" s="53"/>
      <c r="U106" s="53"/>
      <c r="V106" s="53"/>
      <c r="W106" s="57"/>
      <c r="X106" s="53"/>
      <c r="Y106" s="53"/>
      <c r="Z106" s="707"/>
      <c r="AA106" s="53"/>
      <c r="AB106" s="53"/>
      <c r="AC106" s="53"/>
      <c r="AD106" s="53"/>
      <c r="AE106" s="53"/>
      <c r="AF106" s="56"/>
      <c r="AG106" s="54"/>
      <c r="AH106" s="54"/>
      <c r="AI106" s="54"/>
      <c r="AJ106" s="54"/>
      <c r="AK106" s="132">
        <v>11</v>
      </c>
    </row>
    <row r="107" s="132" customFormat="1" ht="11.5" customHeight="1">
      <c r="A107" s="706"/>
      <c r="B107" s="706"/>
      <c r="C107" s="706"/>
      <c r="D107" s="706"/>
      <c r="E107" s="706"/>
      <c r="F107" s="57"/>
      <c r="G107" s="57"/>
      <c r="H107" s="132"/>
      <c r="N107" s="53"/>
      <c r="P107" s="53"/>
      <c r="Q107" s="57"/>
      <c r="R107" s="57"/>
      <c r="S107" s="53"/>
      <c r="T107" s="53"/>
      <c r="U107" s="53"/>
      <c r="V107" s="53"/>
      <c r="W107" s="57"/>
      <c r="X107" s="53"/>
      <c r="Y107" s="53"/>
      <c r="Z107" s="707"/>
      <c r="AA107" s="53"/>
      <c r="AB107" s="53"/>
      <c r="AC107" s="53"/>
      <c r="AD107" s="53"/>
      <c r="AE107" s="53"/>
      <c r="AF107" s="56"/>
      <c r="AG107" s="54"/>
      <c r="AH107" s="54"/>
      <c r="AI107" s="54"/>
      <c r="AJ107" s="54"/>
      <c r="AK107" s="132">
        <v>11</v>
      </c>
    </row>
    <row r="108" s="132" customFormat="1" ht="11.5" customHeight="1">
      <c r="A108" s="706"/>
      <c r="B108" s="706"/>
      <c r="C108" s="706"/>
      <c r="D108" s="706"/>
      <c r="E108" s="706"/>
      <c r="F108" s="57"/>
      <c r="G108" s="57"/>
      <c r="H108" s="132"/>
      <c r="N108" s="53"/>
      <c r="P108" s="53"/>
      <c r="Q108" s="57"/>
      <c r="R108" s="57"/>
      <c r="S108" s="53"/>
      <c r="T108" s="53"/>
      <c r="U108" s="53"/>
      <c r="V108" s="53"/>
      <c r="W108" s="57"/>
      <c r="X108" s="53"/>
      <c r="Y108" s="53"/>
      <c r="Z108" s="707"/>
      <c r="AA108" s="53"/>
      <c r="AB108" s="53"/>
      <c r="AC108" s="53"/>
      <c r="AD108" s="53"/>
      <c r="AE108" s="53"/>
      <c r="AF108" s="56"/>
      <c r="AG108" s="54"/>
      <c r="AH108" s="54"/>
      <c r="AI108" s="54"/>
      <c r="AJ108" s="54"/>
      <c r="AK108" s="132">
        <v>11</v>
      </c>
    </row>
    <row r="109" s="132" customFormat="1" ht="11.5" customHeight="1">
      <c r="A109" s="706"/>
      <c r="B109" s="706"/>
      <c r="C109" s="706"/>
      <c r="D109" s="706"/>
      <c r="E109" s="706"/>
      <c r="F109" s="57"/>
      <c r="G109" s="57"/>
      <c r="H109" s="132"/>
      <c r="N109" s="53"/>
      <c r="P109" s="53"/>
      <c r="Q109" s="57"/>
      <c r="R109" s="57"/>
      <c r="S109" s="53"/>
      <c r="T109" s="53"/>
      <c r="U109" s="53"/>
      <c r="V109" s="53"/>
      <c r="W109" s="57"/>
      <c r="X109" s="53"/>
      <c r="Y109" s="53"/>
      <c r="Z109" s="707"/>
      <c r="AA109" s="53"/>
      <c r="AB109" s="53"/>
      <c r="AC109" s="53"/>
      <c r="AD109" s="53"/>
      <c r="AE109" s="53"/>
      <c r="AF109" s="56"/>
      <c r="AG109" s="54"/>
      <c r="AH109" s="54"/>
      <c r="AI109" s="54"/>
      <c r="AJ109" s="54"/>
      <c r="AK109" s="132">
        <v>11</v>
      </c>
    </row>
    <row r="110" s="132" customFormat="1" ht="11.5" customHeight="1">
      <c r="A110" s="706"/>
      <c r="B110" s="706"/>
      <c r="C110" s="706"/>
      <c r="D110" s="706"/>
      <c r="E110" s="706"/>
      <c r="F110" s="57"/>
      <c r="G110" s="57"/>
      <c r="H110" s="132"/>
      <c r="N110" s="53"/>
      <c r="P110" s="53"/>
      <c r="Q110" s="57"/>
      <c r="R110" s="57"/>
      <c r="S110" s="53"/>
      <c r="T110" s="53"/>
      <c r="U110" s="53"/>
      <c r="V110" s="53"/>
      <c r="W110" s="57"/>
      <c r="X110" s="53"/>
      <c r="Y110" s="53"/>
      <c r="Z110" s="707"/>
      <c r="AA110" s="53"/>
      <c r="AB110" s="53"/>
      <c r="AC110" s="53"/>
      <c r="AD110" s="53"/>
      <c r="AE110" s="53"/>
      <c r="AF110" s="56"/>
      <c r="AG110" s="54"/>
      <c r="AH110" s="54"/>
      <c r="AI110" s="54"/>
      <c r="AJ110" s="54"/>
      <c r="AK110" s="132">
        <v>11</v>
      </c>
    </row>
    <row r="111" s="132" customFormat="1" ht="11.5" customHeight="1">
      <c r="A111" s="706"/>
      <c r="B111" s="706"/>
      <c r="C111" s="706"/>
      <c r="D111" s="706"/>
      <c r="E111" s="706"/>
      <c r="F111" s="57"/>
      <c r="G111" s="57"/>
      <c r="H111" s="132"/>
      <c r="N111" s="53"/>
      <c r="P111" s="53"/>
      <c r="Q111" s="57"/>
      <c r="R111" s="57"/>
      <c r="S111" s="53"/>
      <c r="T111" s="53"/>
      <c r="U111" s="53"/>
      <c r="V111" s="53"/>
      <c r="W111" s="57"/>
      <c r="X111" s="53"/>
      <c r="Y111" s="53"/>
      <c r="Z111" s="707"/>
      <c r="AA111" s="53"/>
      <c r="AB111" s="53"/>
      <c r="AC111" s="53"/>
      <c r="AD111" s="53"/>
      <c r="AE111" s="53"/>
      <c r="AF111" s="56"/>
      <c r="AG111" s="54"/>
      <c r="AH111" s="54"/>
      <c r="AI111" s="54"/>
      <c r="AJ111" s="54"/>
      <c r="AK111" s="132">
        <v>11</v>
      </c>
    </row>
    <row r="112" s="132" customFormat="1" ht="11.5" customHeight="1">
      <c r="A112" s="706"/>
      <c r="B112" s="706"/>
      <c r="C112" s="706"/>
      <c r="D112" s="706"/>
      <c r="E112" s="706"/>
      <c r="F112" s="57"/>
      <c r="G112" s="57"/>
      <c r="H112" s="132"/>
      <c r="N112" s="53"/>
      <c r="P112" s="53"/>
      <c r="Q112" s="57"/>
      <c r="R112" s="57"/>
      <c r="S112" s="53"/>
      <c r="T112" s="53"/>
      <c r="U112" s="53"/>
      <c r="V112" s="53"/>
      <c r="W112" s="57"/>
      <c r="X112" s="53"/>
      <c r="Y112" s="53"/>
      <c r="Z112" s="707"/>
      <c r="AA112" s="53"/>
      <c r="AB112" s="53"/>
      <c r="AC112" s="53"/>
      <c r="AD112" s="53"/>
      <c r="AE112" s="53"/>
      <c r="AF112" s="56"/>
      <c r="AG112" s="54"/>
      <c r="AH112" s="54"/>
      <c r="AI112" s="54"/>
      <c r="AJ112" s="54"/>
      <c r="AK112" s="132">
        <v>11</v>
      </c>
    </row>
    <row r="113" s="132" customFormat="1" ht="11.5" customHeight="1">
      <c r="A113" s="706"/>
      <c r="B113" s="706"/>
      <c r="C113" s="706"/>
      <c r="D113" s="706"/>
      <c r="E113" s="706"/>
      <c r="F113" s="57"/>
      <c r="G113" s="57"/>
      <c r="H113" s="132"/>
      <c r="N113" s="53"/>
      <c r="P113" s="53"/>
      <c r="Q113" s="57"/>
      <c r="R113" s="57"/>
      <c r="S113" s="53"/>
      <c r="T113" s="53"/>
      <c r="U113" s="53"/>
      <c r="V113" s="53"/>
      <c r="W113" s="57"/>
      <c r="X113" s="53"/>
      <c r="Y113" s="53"/>
      <c r="Z113" s="707"/>
      <c r="AA113" s="53"/>
      <c r="AB113" s="53"/>
      <c r="AC113" s="53"/>
      <c r="AD113" s="53"/>
      <c r="AE113" s="53"/>
      <c r="AF113" s="56"/>
      <c r="AG113" s="54"/>
      <c r="AH113" s="54"/>
      <c r="AI113" s="54"/>
      <c r="AJ113" s="54"/>
      <c r="AK113" s="132">
        <v>11</v>
      </c>
    </row>
    <row r="114" s="132" customFormat="1" ht="11.5" customHeight="1">
      <c r="A114" s="706"/>
      <c r="B114" s="706"/>
      <c r="C114" s="706"/>
      <c r="D114" s="706"/>
      <c r="E114" s="706"/>
      <c r="F114" s="57"/>
      <c r="G114" s="57"/>
      <c r="H114" s="132"/>
      <c r="N114" s="53"/>
      <c r="P114" s="53"/>
      <c r="Q114" s="57"/>
      <c r="R114" s="57"/>
      <c r="S114" s="53"/>
      <c r="T114" s="53"/>
      <c r="U114" s="53"/>
      <c r="V114" s="53"/>
      <c r="W114" s="57"/>
      <c r="X114" s="53"/>
      <c r="Y114" s="53"/>
      <c r="Z114" s="707"/>
      <c r="AA114" s="53"/>
      <c r="AB114" s="53"/>
      <c r="AC114" s="53"/>
      <c r="AD114" s="53"/>
      <c r="AE114" s="53"/>
      <c r="AF114" s="56"/>
      <c r="AG114" s="54"/>
      <c r="AH114" s="54"/>
      <c r="AI114" s="54"/>
      <c r="AJ114" s="54"/>
      <c r="AK114" s="132">
        <v>11</v>
      </c>
    </row>
    <row r="115" s="132" customFormat="1" ht="11.5" customHeight="1">
      <c r="A115" s="706"/>
      <c r="B115" s="706"/>
      <c r="C115" s="706"/>
      <c r="D115" s="706"/>
      <c r="E115" s="706"/>
      <c r="F115" s="57"/>
      <c r="G115" s="57"/>
      <c r="H115" s="132"/>
      <c r="N115" s="53"/>
      <c r="P115" s="53"/>
      <c r="Q115" s="57"/>
      <c r="R115" s="57"/>
      <c r="S115" s="53"/>
      <c r="T115" s="53"/>
      <c r="U115" s="53"/>
      <c r="V115" s="53"/>
      <c r="W115" s="57"/>
      <c r="X115" s="53"/>
      <c r="Y115" s="53"/>
      <c r="Z115" s="707"/>
      <c r="AA115" s="53"/>
      <c r="AB115" s="53"/>
      <c r="AC115" s="53"/>
      <c r="AD115" s="53"/>
      <c r="AE115" s="53"/>
      <c r="AF115" s="56"/>
      <c r="AG115" s="54"/>
      <c r="AH115" s="54"/>
      <c r="AI115" s="54"/>
      <c r="AJ115" s="54"/>
      <c r="AK115" s="132">
        <v>11</v>
      </c>
    </row>
    <row r="116" s="132" customFormat="1" ht="11.5" customHeight="1">
      <c r="A116" s="706"/>
      <c r="B116" s="706"/>
      <c r="C116" s="706"/>
      <c r="D116" s="706"/>
      <c r="E116" s="706"/>
      <c r="F116" s="57"/>
      <c r="G116" s="57"/>
      <c r="H116" s="132"/>
      <c r="N116" s="53"/>
      <c r="P116" s="53"/>
      <c r="Q116" s="57"/>
      <c r="R116" s="57"/>
      <c r="S116" s="53"/>
      <c r="T116" s="53"/>
      <c r="U116" s="53"/>
      <c r="V116" s="53"/>
      <c r="W116" s="57"/>
      <c r="X116" s="53"/>
      <c r="Y116" s="53"/>
      <c r="Z116" s="707"/>
      <c r="AA116" s="53"/>
      <c r="AB116" s="53"/>
      <c r="AC116" s="53"/>
      <c r="AD116" s="53"/>
      <c r="AE116" s="53"/>
      <c r="AF116" s="56"/>
      <c r="AG116" s="54"/>
      <c r="AH116" s="54"/>
      <c r="AI116" s="54"/>
      <c r="AJ116" s="54"/>
      <c r="AK116" s="132">
        <v>11</v>
      </c>
    </row>
    <row r="117" s="132" customFormat="1" ht="11.5" customHeight="1">
      <c r="A117" s="706"/>
      <c r="B117" s="706"/>
      <c r="C117" s="706"/>
      <c r="D117" s="706"/>
      <c r="E117" s="706"/>
      <c r="F117" s="57"/>
      <c r="G117" s="57"/>
      <c r="H117" s="132"/>
      <c r="N117" s="53"/>
      <c r="P117" s="53"/>
      <c r="Q117" s="57"/>
      <c r="R117" s="57"/>
      <c r="S117" s="53"/>
      <c r="T117" s="53"/>
      <c r="U117" s="53"/>
      <c r="V117" s="53"/>
      <c r="W117" s="57"/>
      <c r="X117" s="53"/>
      <c r="Y117" s="53"/>
      <c r="Z117" s="707"/>
      <c r="AA117" s="53"/>
      <c r="AB117" s="53"/>
      <c r="AC117" s="53"/>
      <c r="AD117" s="53"/>
      <c r="AE117" s="53"/>
      <c r="AF117" s="56"/>
      <c r="AG117" s="54"/>
      <c r="AH117" s="54"/>
      <c r="AI117" s="54"/>
      <c r="AJ117" s="54"/>
      <c r="AK117" s="132">
        <v>11</v>
      </c>
    </row>
    <row r="118" s="132" customFormat="1" ht="11.5" customHeight="1">
      <c r="A118" s="706"/>
      <c r="B118" s="706"/>
      <c r="C118" s="706"/>
      <c r="D118" s="706"/>
      <c r="E118" s="706"/>
      <c r="F118" s="57"/>
      <c r="G118" s="57"/>
      <c r="H118" s="132"/>
      <c r="N118" s="53"/>
      <c r="P118" s="53"/>
      <c r="Q118" s="57"/>
      <c r="R118" s="57"/>
      <c r="S118" s="53"/>
      <c r="T118" s="53"/>
      <c r="U118" s="53"/>
      <c r="V118" s="53"/>
      <c r="W118" s="57"/>
      <c r="X118" s="53"/>
      <c r="Y118" s="53"/>
      <c r="Z118" s="707"/>
      <c r="AA118" s="53"/>
      <c r="AB118" s="53"/>
      <c r="AC118" s="53"/>
      <c r="AD118" s="53"/>
      <c r="AE118" s="53"/>
      <c r="AF118" s="56"/>
      <c r="AG118" s="54"/>
      <c r="AH118" s="54"/>
      <c r="AI118" s="54"/>
      <c r="AJ118" s="54"/>
      <c r="AK118" s="132">
        <v>11</v>
      </c>
    </row>
    <row r="119" s="132" customFormat="1" ht="11.5" customHeight="1">
      <c r="A119" s="706"/>
      <c r="B119" s="706"/>
      <c r="C119" s="706"/>
      <c r="D119" s="706"/>
      <c r="E119" s="706"/>
      <c r="F119" s="57"/>
      <c r="G119" s="57"/>
      <c r="H119" s="132"/>
      <c r="N119" s="53"/>
      <c r="P119" s="53"/>
      <c r="Q119" s="57"/>
      <c r="R119" s="57"/>
      <c r="S119" s="53"/>
      <c r="T119" s="53"/>
      <c r="U119" s="53"/>
      <c r="V119" s="53"/>
      <c r="W119" s="57"/>
      <c r="X119" s="53"/>
      <c r="Y119" s="53"/>
      <c r="Z119" s="707"/>
      <c r="AA119" s="53"/>
      <c r="AB119" s="53"/>
      <c r="AC119" s="53"/>
      <c r="AD119" s="53"/>
      <c r="AE119" s="53"/>
      <c r="AF119" s="56"/>
      <c r="AG119" s="54"/>
      <c r="AH119" s="54"/>
      <c r="AI119" s="54"/>
      <c r="AJ119" s="54"/>
      <c r="AK119" s="132">
        <v>11</v>
      </c>
    </row>
    <row r="120" s="132" customFormat="1" ht="11.5" customHeight="1">
      <c r="A120" s="706"/>
      <c r="B120" s="706"/>
      <c r="C120" s="706"/>
      <c r="D120" s="706"/>
      <c r="E120" s="706"/>
      <c r="F120" s="57"/>
      <c r="G120" s="57"/>
      <c r="H120" s="132"/>
      <c r="N120" s="53"/>
      <c r="P120" s="53"/>
      <c r="Q120" s="57"/>
      <c r="R120" s="57"/>
      <c r="S120" s="53"/>
      <c r="T120" s="53"/>
      <c r="U120" s="53"/>
      <c r="V120" s="53"/>
      <c r="W120" s="57"/>
      <c r="X120" s="53"/>
      <c r="Y120" s="53"/>
      <c r="Z120" s="707"/>
      <c r="AA120" s="53"/>
      <c r="AB120" s="53"/>
      <c r="AC120" s="53"/>
      <c r="AD120" s="53"/>
      <c r="AE120" s="53"/>
      <c r="AF120" s="56"/>
      <c r="AG120" s="54"/>
      <c r="AH120" s="54"/>
      <c r="AI120" s="54"/>
      <c r="AJ120" s="54"/>
      <c r="AK120" s="132">
        <v>11</v>
      </c>
    </row>
    <row r="121" s="132" customFormat="1" ht="11.5" customHeight="1">
      <c r="A121" s="706"/>
      <c r="B121" s="706"/>
      <c r="C121" s="706"/>
      <c r="D121" s="706"/>
      <c r="E121" s="706"/>
      <c r="F121" s="57"/>
      <c r="G121" s="57"/>
      <c r="H121" s="132"/>
      <c r="N121" s="53"/>
      <c r="P121" s="53"/>
      <c r="Q121" s="57"/>
      <c r="R121" s="57"/>
      <c r="S121" s="53"/>
      <c r="T121" s="53"/>
      <c r="U121" s="53"/>
      <c r="V121" s="53"/>
      <c r="W121" s="57"/>
      <c r="X121" s="53"/>
      <c r="Y121" s="53"/>
      <c r="Z121" s="707"/>
      <c r="AA121" s="53"/>
      <c r="AB121" s="53"/>
      <c r="AC121" s="53"/>
      <c r="AD121" s="53"/>
      <c r="AE121" s="53"/>
      <c r="AF121" s="56"/>
      <c r="AG121" s="54"/>
      <c r="AH121" s="54"/>
      <c r="AI121" s="54"/>
      <c r="AJ121" s="54"/>
      <c r="AK121" s="132">
        <v>11</v>
      </c>
    </row>
    <row r="122" s="132" customFormat="1" ht="11.5" customHeight="1">
      <c r="A122" s="706"/>
      <c r="B122" s="706"/>
      <c r="C122" s="706"/>
      <c r="D122" s="706"/>
      <c r="E122" s="706"/>
      <c r="F122" s="57"/>
      <c r="G122" s="57"/>
      <c r="H122" s="132"/>
      <c r="N122" s="53"/>
      <c r="P122" s="53"/>
      <c r="Q122" s="57"/>
      <c r="R122" s="57"/>
      <c r="S122" s="53"/>
      <c r="T122" s="53"/>
      <c r="U122" s="53"/>
      <c r="V122" s="53"/>
      <c r="W122" s="57"/>
      <c r="X122" s="53"/>
      <c r="Y122" s="53"/>
      <c r="Z122" s="707"/>
      <c r="AA122" s="53"/>
      <c r="AB122" s="53"/>
      <c r="AC122" s="53"/>
      <c r="AD122" s="53"/>
      <c r="AE122" s="53"/>
      <c r="AF122" s="56"/>
      <c r="AG122" s="54"/>
      <c r="AH122" s="54"/>
      <c r="AI122" s="54"/>
      <c r="AJ122" s="54"/>
      <c r="AK122" s="132">
        <v>11</v>
      </c>
    </row>
    <row r="123" s="132" customFormat="1" ht="11.5" customHeight="1">
      <c r="A123" s="706"/>
      <c r="B123" s="706"/>
      <c r="C123" s="706"/>
      <c r="D123" s="706"/>
      <c r="E123" s="706"/>
      <c r="F123" s="57"/>
      <c r="G123" s="57"/>
      <c r="H123" s="132"/>
      <c r="N123" s="53"/>
      <c r="P123" s="53"/>
      <c r="Q123" s="57"/>
      <c r="R123" s="57"/>
      <c r="S123" s="53"/>
      <c r="T123" s="53"/>
      <c r="U123" s="53"/>
      <c r="V123" s="53"/>
      <c r="W123" s="57"/>
      <c r="X123" s="53"/>
      <c r="Y123" s="53"/>
      <c r="Z123" s="707"/>
      <c r="AA123" s="53"/>
      <c r="AB123" s="53"/>
      <c r="AC123" s="53"/>
      <c r="AD123" s="53"/>
      <c r="AE123" s="53"/>
      <c r="AF123" s="56"/>
      <c r="AG123" s="54"/>
      <c r="AH123" s="54"/>
      <c r="AI123" s="54"/>
      <c r="AJ123" s="54"/>
      <c r="AK123" s="132">
        <v>11</v>
      </c>
    </row>
    <row r="124" s="132" customFormat="1" ht="11.5" customHeight="1">
      <c r="A124" s="706"/>
      <c r="B124" s="706"/>
      <c r="C124" s="706"/>
      <c r="D124" s="706"/>
      <c r="E124" s="706"/>
      <c r="F124" s="57"/>
      <c r="G124" s="57"/>
      <c r="H124" s="132"/>
      <c r="N124" s="53"/>
      <c r="P124" s="53"/>
      <c r="Q124" s="57"/>
      <c r="R124" s="57"/>
      <c r="S124" s="53"/>
      <c r="T124" s="53"/>
      <c r="U124" s="53"/>
      <c r="V124" s="53"/>
      <c r="W124" s="57"/>
      <c r="X124" s="53"/>
      <c r="Y124" s="53"/>
      <c r="Z124" s="707"/>
      <c r="AA124" s="53"/>
      <c r="AB124" s="53"/>
      <c r="AC124" s="53"/>
      <c r="AD124" s="53"/>
      <c r="AE124" s="53"/>
      <c r="AF124" s="56"/>
      <c r="AG124" s="54"/>
      <c r="AH124" s="54"/>
      <c r="AI124" s="54"/>
      <c r="AJ124" s="54"/>
      <c r="AK124" s="132">
        <v>11</v>
      </c>
    </row>
    <row r="125" s="132" customFormat="1" ht="11.5" customHeight="1">
      <c r="A125" s="706"/>
      <c r="B125" s="706"/>
      <c r="C125" s="706"/>
      <c r="D125" s="706"/>
      <c r="E125" s="706"/>
      <c r="F125" s="57"/>
      <c r="G125" s="57"/>
      <c r="H125" s="132"/>
      <c r="N125" s="53"/>
      <c r="P125" s="53"/>
      <c r="Q125" s="57"/>
      <c r="R125" s="57"/>
      <c r="S125" s="53"/>
      <c r="T125" s="53"/>
      <c r="U125" s="53"/>
      <c r="V125" s="53"/>
      <c r="W125" s="57"/>
      <c r="X125" s="53"/>
      <c r="Y125" s="53"/>
      <c r="Z125" s="707"/>
      <c r="AA125" s="53"/>
      <c r="AB125" s="53"/>
      <c r="AC125" s="53"/>
      <c r="AD125" s="53"/>
      <c r="AE125" s="53"/>
      <c r="AF125" s="56"/>
      <c r="AG125" s="54"/>
      <c r="AH125" s="54"/>
      <c r="AI125" s="54"/>
      <c r="AJ125" s="54"/>
      <c r="AK125" s="132">
        <v>11</v>
      </c>
    </row>
    <row r="126" s="132" customFormat="1" ht="11.5" customHeight="1">
      <c r="A126" s="706"/>
      <c r="B126" s="706"/>
      <c r="C126" s="706"/>
      <c r="D126" s="706"/>
      <c r="E126" s="706"/>
      <c r="F126" s="57"/>
      <c r="G126" s="57"/>
      <c r="H126" s="132"/>
      <c r="N126" s="53"/>
      <c r="P126" s="53"/>
      <c r="Q126" s="57"/>
      <c r="R126" s="57"/>
      <c r="S126" s="53"/>
      <c r="T126" s="53"/>
      <c r="U126" s="53"/>
      <c r="V126" s="53"/>
      <c r="W126" s="57"/>
      <c r="X126" s="53"/>
      <c r="Y126" s="53"/>
      <c r="Z126" s="707"/>
      <c r="AA126" s="53"/>
      <c r="AB126" s="53"/>
      <c r="AC126" s="53"/>
      <c r="AD126" s="53"/>
      <c r="AE126" s="53"/>
      <c r="AF126" s="56"/>
      <c r="AG126" s="54"/>
      <c r="AH126" s="54"/>
      <c r="AI126" s="54"/>
      <c r="AJ126" s="54"/>
      <c r="AK126" s="132">
        <v>11</v>
      </c>
    </row>
    <row r="127" s="132" customFormat="1" ht="11.5" customHeight="1">
      <c r="A127" s="706"/>
      <c r="B127" s="706"/>
      <c r="C127" s="706"/>
      <c r="D127" s="706"/>
      <c r="E127" s="706"/>
      <c r="F127" s="57"/>
      <c r="G127" s="57"/>
      <c r="H127" s="132"/>
      <c r="N127" s="53"/>
      <c r="P127" s="53"/>
      <c r="Q127" s="57"/>
      <c r="R127" s="57"/>
      <c r="S127" s="53"/>
      <c r="T127" s="53"/>
      <c r="U127" s="53"/>
      <c r="V127" s="53"/>
      <c r="W127" s="57"/>
      <c r="X127" s="53"/>
      <c r="Y127" s="53"/>
      <c r="Z127" s="707"/>
      <c r="AA127" s="53"/>
      <c r="AB127" s="53"/>
      <c r="AC127" s="53"/>
      <c r="AD127" s="53"/>
      <c r="AE127" s="53"/>
      <c r="AF127" s="56"/>
      <c r="AG127" s="54"/>
      <c r="AH127" s="54"/>
      <c r="AI127" s="54"/>
      <c r="AJ127" s="54"/>
      <c r="AK127" s="132">
        <v>11</v>
      </c>
    </row>
    <row r="128" s="132" customFormat="1" ht="11.5" customHeight="1">
      <c r="A128" s="706"/>
      <c r="B128" s="706"/>
      <c r="C128" s="706"/>
      <c r="D128" s="706"/>
      <c r="E128" s="706"/>
      <c r="F128" s="57"/>
      <c r="G128" s="57"/>
      <c r="H128" s="132"/>
      <c r="N128" s="53"/>
      <c r="P128" s="53"/>
      <c r="Q128" s="57"/>
      <c r="R128" s="57"/>
      <c r="S128" s="53"/>
      <c r="T128" s="53"/>
      <c r="U128" s="53"/>
      <c r="V128" s="53"/>
      <c r="W128" s="57"/>
      <c r="X128" s="53"/>
      <c r="Y128" s="53"/>
      <c r="Z128" s="707"/>
      <c r="AA128" s="53"/>
      <c r="AB128" s="53"/>
      <c r="AC128" s="53"/>
      <c r="AD128" s="53"/>
      <c r="AE128" s="53"/>
      <c r="AF128" s="56"/>
      <c r="AG128" s="54"/>
      <c r="AH128" s="54"/>
      <c r="AI128" s="54"/>
      <c r="AJ128" s="54"/>
      <c r="AK128" s="132">
        <v>11</v>
      </c>
    </row>
    <row r="129" s="132" customFormat="1" ht="11.5" customHeight="1">
      <c r="A129" s="706"/>
      <c r="B129" s="706"/>
      <c r="C129" s="706"/>
      <c r="D129" s="706"/>
      <c r="E129" s="706"/>
      <c r="F129" s="57"/>
      <c r="G129" s="57"/>
      <c r="H129" s="132"/>
      <c r="N129" s="53"/>
      <c r="P129" s="53"/>
      <c r="Q129" s="57"/>
      <c r="R129" s="57"/>
      <c r="S129" s="53"/>
      <c r="T129" s="53"/>
      <c r="U129" s="53"/>
      <c r="V129" s="53"/>
      <c r="W129" s="57"/>
      <c r="X129" s="53"/>
      <c r="Y129" s="53"/>
      <c r="Z129" s="707"/>
      <c r="AA129" s="53"/>
      <c r="AB129" s="53"/>
      <c r="AC129" s="53"/>
      <c r="AD129" s="53"/>
      <c r="AE129" s="53"/>
      <c r="AF129" s="56"/>
      <c r="AG129" s="54"/>
      <c r="AH129" s="54"/>
      <c r="AI129" s="54"/>
      <c r="AJ129" s="54"/>
      <c r="AK129" s="132">
        <v>11</v>
      </c>
    </row>
    <row r="130" s="132" customFormat="1" ht="11.5" customHeight="1">
      <c r="A130" s="706"/>
      <c r="B130" s="706"/>
      <c r="C130" s="706"/>
      <c r="D130" s="706"/>
      <c r="E130" s="706"/>
      <c r="F130" s="57"/>
      <c r="G130" s="57"/>
      <c r="H130" s="132"/>
      <c r="N130" s="53"/>
      <c r="P130" s="53"/>
      <c r="Q130" s="57"/>
      <c r="R130" s="57"/>
      <c r="S130" s="53"/>
      <c r="T130" s="53"/>
      <c r="U130" s="53"/>
      <c r="V130" s="53"/>
      <c r="W130" s="57"/>
      <c r="X130" s="53"/>
      <c r="Y130" s="53"/>
      <c r="Z130" s="707"/>
      <c r="AA130" s="53"/>
      <c r="AB130" s="53"/>
      <c r="AC130" s="53"/>
      <c r="AD130" s="53"/>
      <c r="AE130" s="53"/>
      <c r="AF130" s="56"/>
      <c r="AG130" s="54"/>
      <c r="AH130" s="54"/>
      <c r="AI130" s="54"/>
      <c r="AJ130" s="54"/>
      <c r="AK130" s="132">
        <v>11</v>
      </c>
    </row>
    <row r="131" s="132" customFormat="1" ht="11.5" customHeight="1">
      <c r="A131" s="706"/>
      <c r="B131" s="706"/>
      <c r="C131" s="706"/>
      <c r="D131" s="706"/>
      <c r="E131" s="706"/>
      <c r="F131" s="57"/>
      <c r="G131" s="57"/>
      <c r="H131" s="132"/>
      <c r="N131" s="53"/>
      <c r="P131" s="53"/>
      <c r="Q131" s="57"/>
      <c r="R131" s="57"/>
      <c r="S131" s="53"/>
      <c r="T131" s="53"/>
      <c r="U131" s="53"/>
      <c r="V131" s="53"/>
      <c r="W131" s="57"/>
      <c r="X131" s="53"/>
      <c r="Y131" s="53"/>
      <c r="Z131" s="707"/>
      <c r="AA131" s="53"/>
      <c r="AB131" s="53"/>
      <c r="AC131" s="53"/>
      <c r="AD131" s="53"/>
      <c r="AE131" s="53"/>
      <c r="AF131" s="56"/>
      <c r="AG131" s="54"/>
      <c r="AH131" s="54"/>
      <c r="AI131" s="54"/>
      <c r="AJ131" s="54"/>
      <c r="AK131" s="132">
        <v>11</v>
      </c>
    </row>
    <row r="132" s="132" customFormat="1" ht="11.5" customHeight="1">
      <c r="A132" s="706"/>
      <c r="B132" s="706"/>
      <c r="C132" s="706"/>
      <c r="D132" s="706"/>
      <c r="E132" s="706"/>
      <c r="F132" s="57"/>
      <c r="G132" s="57"/>
      <c r="H132" s="132"/>
      <c r="N132" s="53"/>
      <c r="P132" s="53"/>
      <c r="Q132" s="57"/>
      <c r="R132" s="57"/>
      <c r="S132" s="53"/>
      <c r="T132" s="53"/>
      <c r="U132" s="53"/>
      <c r="V132" s="53"/>
      <c r="W132" s="57"/>
      <c r="X132" s="53"/>
      <c r="Y132" s="53"/>
      <c r="Z132" s="707"/>
      <c r="AA132" s="53"/>
      <c r="AB132" s="53"/>
      <c r="AC132" s="53"/>
      <c r="AD132" s="53"/>
      <c r="AE132" s="53"/>
      <c r="AF132" s="56"/>
      <c r="AG132" s="54"/>
      <c r="AH132" s="54"/>
      <c r="AI132" s="54"/>
      <c r="AJ132" s="54"/>
      <c r="AK132" s="132">
        <v>11</v>
      </c>
    </row>
    <row r="133" s="132" customFormat="1" ht="11.5" customHeight="1">
      <c r="A133" s="706"/>
      <c r="B133" s="706"/>
      <c r="C133" s="706"/>
      <c r="D133" s="706"/>
      <c r="E133" s="706"/>
      <c r="F133" s="57"/>
      <c r="G133" s="57"/>
      <c r="H133" s="132"/>
      <c r="N133" s="53"/>
      <c r="P133" s="53"/>
      <c r="Q133" s="57"/>
      <c r="R133" s="57"/>
      <c r="S133" s="53"/>
      <c r="T133" s="53"/>
      <c r="U133" s="53"/>
      <c r="V133" s="53"/>
      <c r="W133" s="57"/>
      <c r="X133" s="53"/>
      <c r="Y133" s="53"/>
      <c r="Z133" s="707"/>
      <c r="AA133" s="53"/>
      <c r="AB133" s="53"/>
      <c r="AC133" s="53"/>
      <c r="AD133" s="53"/>
      <c r="AE133" s="53"/>
      <c r="AF133" s="56"/>
      <c r="AG133" s="54"/>
      <c r="AH133" s="54"/>
      <c r="AI133" s="54"/>
      <c r="AJ133" s="54"/>
      <c r="AK133" s="132">
        <v>11</v>
      </c>
    </row>
    <row r="134" s="132" customFormat="1" ht="11.5" customHeight="1">
      <c r="A134" s="706"/>
      <c r="B134" s="706"/>
      <c r="C134" s="706"/>
      <c r="D134" s="706"/>
      <c r="E134" s="706"/>
      <c r="F134" s="57"/>
      <c r="G134" s="57"/>
      <c r="H134" s="132"/>
      <c r="N134" s="53"/>
      <c r="P134" s="53"/>
      <c r="Q134" s="57"/>
      <c r="R134" s="57"/>
      <c r="S134" s="53"/>
      <c r="T134" s="53"/>
      <c r="U134" s="53"/>
      <c r="V134" s="53"/>
      <c r="W134" s="57"/>
      <c r="X134" s="53"/>
      <c r="Y134" s="53"/>
      <c r="Z134" s="707"/>
      <c r="AA134" s="53"/>
      <c r="AB134" s="53"/>
      <c r="AC134" s="53"/>
      <c r="AD134" s="53"/>
      <c r="AE134" s="53"/>
      <c r="AF134" s="56"/>
      <c r="AG134" s="54"/>
      <c r="AH134" s="54"/>
      <c r="AI134" s="54"/>
      <c r="AJ134" s="54"/>
      <c r="AK134" s="132">
        <v>11</v>
      </c>
    </row>
    <row r="135" s="132" customFormat="1" ht="11.5" customHeight="1">
      <c r="A135" s="706"/>
      <c r="B135" s="706"/>
      <c r="C135" s="706"/>
      <c r="D135" s="706"/>
      <c r="E135" s="706"/>
      <c r="F135" s="57"/>
      <c r="G135" s="57"/>
      <c r="H135" s="132"/>
      <c r="N135" s="53"/>
      <c r="P135" s="53"/>
      <c r="Q135" s="57"/>
      <c r="R135" s="57"/>
      <c r="S135" s="53"/>
      <c r="T135" s="53"/>
      <c r="U135" s="53"/>
      <c r="V135" s="53"/>
      <c r="W135" s="57"/>
      <c r="X135" s="53"/>
      <c r="Y135" s="53"/>
      <c r="Z135" s="707"/>
      <c r="AA135" s="53"/>
      <c r="AB135" s="53"/>
      <c r="AC135" s="53"/>
      <c r="AD135" s="53"/>
      <c r="AE135" s="53"/>
      <c r="AF135" s="56"/>
      <c r="AG135" s="54"/>
      <c r="AH135" s="54"/>
      <c r="AI135" s="54"/>
      <c r="AJ135" s="54"/>
      <c r="AK135" s="132">
        <v>11</v>
      </c>
    </row>
    <row r="136" s="132" customFormat="1" ht="11.5" customHeight="1">
      <c r="A136" s="706"/>
      <c r="B136" s="706"/>
      <c r="C136" s="706"/>
      <c r="D136" s="706"/>
      <c r="E136" s="706"/>
      <c r="F136" s="57"/>
      <c r="G136" s="57"/>
      <c r="H136" s="132"/>
      <c r="N136" s="53"/>
      <c r="P136" s="53"/>
      <c r="Q136" s="57"/>
      <c r="R136" s="57"/>
      <c r="S136" s="53"/>
      <c r="T136" s="53"/>
      <c r="U136" s="53"/>
      <c r="V136" s="53"/>
      <c r="W136" s="57"/>
      <c r="X136" s="53"/>
      <c r="Y136" s="53"/>
      <c r="Z136" s="707"/>
      <c r="AA136" s="53"/>
      <c r="AB136" s="53"/>
      <c r="AC136" s="53"/>
      <c r="AD136" s="53"/>
      <c r="AE136" s="53"/>
      <c r="AF136" s="56"/>
      <c r="AG136" s="54"/>
      <c r="AH136" s="54"/>
      <c r="AI136" s="54"/>
      <c r="AJ136" s="54"/>
      <c r="AK136" s="132">
        <v>11</v>
      </c>
    </row>
    <row r="137" s="132" customFormat="1" ht="11.5" customHeight="1">
      <c r="A137" s="706"/>
      <c r="B137" s="706"/>
      <c r="C137" s="706"/>
      <c r="D137" s="706"/>
      <c r="E137" s="706"/>
      <c r="F137" s="57"/>
      <c r="G137" s="57"/>
      <c r="H137" s="132"/>
      <c r="N137" s="53"/>
      <c r="P137" s="53"/>
      <c r="Q137" s="57"/>
      <c r="R137" s="57"/>
      <c r="S137" s="53"/>
      <c r="T137" s="53"/>
      <c r="U137" s="53"/>
      <c r="V137" s="53"/>
      <c r="W137" s="57"/>
      <c r="X137" s="53"/>
      <c r="Y137" s="53"/>
      <c r="Z137" s="707"/>
      <c r="AA137" s="53"/>
      <c r="AB137" s="53"/>
      <c r="AC137" s="53"/>
      <c r="AD137" s="53"/>
      <c r="AE137" s="53"/>
      <c r="AF137" s="56"/>
      <c r="AG137" s="54"/>
      <c r="AH137" s="54"/>
      <c r="AI137" s="54"/>
      <c r="AJ137" s="54"/>
      <c r="AK137" s="132">
        <v>11</v>
      </c>
    </row>
    <row r="138" s="132" customFormat="1" ht="11.5" customHeight="1">
      <c r="A138" s="706"/>
      <c r="B138" s="706"/>
      <c r="C138" s="706"/>
      <c r="D138" s="706"/>
      <c r="E138" s="706"/>
      <c r="F138" s="57"/>
      <c r="G138" s="57"/>
      <c r="H138" s="132"/>
      <c r="N138" s="53"/>
      <c r="P138" s="53"/>
      <c r="Q138" s="57"/>
      <c r="R138" s="57"/>
      <c r="S138" s="53"/>
      <c r="T138" s="53"/>
      <c r="U138" s="53"/>
      <c r="V138" s="53"/>
      <c r="W138" s="57"/>
      <c r="X138" s="53"/>
      <c r="Y138" s="53"/>
      <c r="Z138" s="707"/>
      <c r="AA138" s="53"/>
      <c r="AB138" s="53"/>
      <c r="AC138" s="53"/>
      <c r="AD138" s="53"/>
      <c r="AE138" s="53"/>
      <c r="AF138" s="56"/>
      <c r="AG138" s="54"/>
      <c r="AH138" s="54"/>
      <c r="AI138" s="54"/>
      <c r="AJ138" s="54"/>
      <c r="AK138" s="132">
        <v>11</v>
      </c>
    </row>
    <row r="139" s="132" customFormat="1" ht="11.5" customHeight="1">
      <c r="A139" s="706"/>
      <c r="B139" s="706"/>
      <c r="C139" s="706"/>
      <c r="D139" s="706"/>
      <c r="E139" s="706"/>
      <c r="F139" s="57"/>
      <c r="G139" s="57"/>
      <c r="H139" s="132"/>
      <c r="N139" s="53"/>
      <c r="P139" s="53"/>
      <c r="Q139" s="57"/>
      <c r="R139" s="57"/>
      <c r="S139" s="53"/>
      <c r="T139" s="53"/>
      <c r="U139" s="53"/>
      <c r="V139" s="53"/>
      <c r="W139" s="57"/>
      <c r="X139" s="53"/>
      <c r="Y139" s="53"/>
      <c r="Z139" s="707"/>
      <c r="AA139" s="53"/>
      <c r="AB139" s="53"/>
      <c r="AC139" s="53"/>
      <c r="AD139" s="53"/>
      <c r="AE139" s="53"/>
      <c r="AF139" s="56"/>
      <c r="AG139" s="54"/>
      <c r="AH139" s="54"/>
      <c r="AI139" s="54"/>
      <c r="AJ139" s="54"/>
      <c r="AK139" s="132">
        <v>11</v>
      </c>
    </row>
    <row r="140" s="132" customFormat="1" ht="11.5" customHeight="1">
      <c r="A140" s="706"/>
      <c r="B140" s="706"/>
      <c r="C140" s="706"/>
      <c r="D140" s="706"/>
      <c r="E140" s="706"/>
      <c r="F140" s="57"/>
      <c r="G140" s="57"/>
      <c r="H140" s="132"/>
      <c r="N140" s="53"/>
      <c r="P140" s="53"/>
      <c r="Q140" s="57"/>
      <c r="R140" s="57"/>
      <c r="S140" s="53"/>
      <c r="T140" s="53"/>
      <c r="U140" s="53"/>
      <c r="V140" s="53"/>
      <c r="W140" s="57"/>
      <c r="X140" s="53"/>
      <c r="Y140" s="53"/>
      <c r="Z140" s="707"/>
      <c r="AA140" s="53"/>
      <c r="AB140" s="53"/>
      <c r="AC140" s="53"/>
      <c r="AD140" s="53"/>
      <c r="AE140" s="53"/>
      <c r="AF140" s="56"/>
      <c r="AG140" s="54"/>
      <c r="AH140" s="54"/>
      <c r="AI140" s="54"/>
      <c r="AJ140" s="54"/>
      <c r="AK140" s="132">
        <v>11</v>
      </c>
    </row>
    <row r="141" s="132" customFormat="1" ht="11.5" customHeight="1">
      <c r="A141" s="706"/>
      <c r="B141" s="706"/>
      <c r="C141" s="706"/>
      <c r="D141" s="706"/>
      <c r="E141" s="706"/>
      <c r="F141" s="57"/>
      <c r="G141" s="57"/>
      <c r="H141" s="132"/>
      <c r="N141" s="53"/>
      <c r="P141" s="53"/>
      <c r="Q141" s="57"/>
      <c r="R141" s="57"/>
      <c r="S141" s="53"/>
      <c r="T141" s="53"/>
      <c r="U141" s="53"/>
      <c r="V141" s="53"/>
      <c r="W141" s="57"/>
      <c r="X141" s="53"/>
      <c r="Y141" s="53"/>
      <c r="Z141" s="707"/>
      <c r="AA141" s="53"/>
      <c r="AB141" s="53"/>
      <c r="AC141" s="53"/>
      <c r="AD141" s="53"/>
      <c r="AE141" s="53"/>
      <c r="AF141" s="56"/>
      <c r="AG141" s="54"/>
      <c r="AH141" s="54"/>
      <c r="AI141" s="54"/>
      <c r="AJ141" s="54"/>
      <c r="AK141" s="132">
        <v>11</v>
      </c>
    </row>
    <row r="142" s="132" customFormat="1" ht="11.5" customHeight="1">
      <c r="A142" s="706"/>
      <c r="B142" s="706"/>
      <c r="C142" s="706"/>
      <c r="D142" s="706"/>
      <c r="E142" s="706"/>
      <c r="F142" s="57"/>
      <c r="G142" s="57"/>
      <c r="H142" s="132"/>
      <c r="N142" s="53"/>
      <c r="P142" s="53"/>
      <c r="Q142" s="57"/>
      <c r="R142" s="57"/>
      <c r="S142" s="53"/>
      <c r="T142" s="53"/>
      <c r="U142" s="53"/>
      <c r="V142" s="53"/>
      <c r="W142" s="57"/>
      <c r="X142" s="53"/>
      <c r="Y142" s="53"/>
      <c r="Z142" s="707"/>
      <c r="AA142" s="53"/>
      <c r="AB142" s="53"/>
      <c r="AC142" s="53"/>
      <c r="AD142" s="53"/>
      <c r="AE142" s="53"/>
      <c r="AF142" s="56"/>
      <c r="AG142" s="54"/>
      <c r="AH142" s="54"/>
      <c r="AI142" s="54"/>
      <c r="AJ142" s="54"/>
      <c r="AK142" s="132">
        <v>11</v>
      </c>
    </row>
    <row r="143" s="132" customFormat="1" ht="11.5" customHeight="1">
      <c r="A143" s="706"/>
      <c r="B143" s="706"/>
      <c r="C143" s="706"/>
      <c r="D143" s="706"/>
      <c r="E143" s="706"/>
      <c r="F143" s="57"/>
      <c r="G143" s="57"/>
      <c r="H143" s="132"/>
      <c r="N143" s="53"/>
      <c r="P143" s="53"/>
      <c r="Q143" s="57"/>
      <c r="R143" s="57"/>
      <c r="S143" s="53"/>
      <c r="T143" s="53"/>
      <c r="U143" s="53"/>
      <c r="V143" s="53"/>
      <c r="W143" s="57"/>
      <c r="X143" s="53"/>
      <c r="Y143" s="53"/>
      <c r="Z143" s="707"/>
      <c r="AA143" s="53"/>
      <c r="AB143" s="53"/>
      <c r="AC143" s="53"/>
      <c r="AD143" s="53"/>
      <c r="AE143" s="53"/>
      <c r="AF143" s="56"/>
      <c r="AG143" s="54"/>
      <c r="AH143" s="54"/>
      <c r="AI143" s="54"/>
      <c r="AJ143" s="54"/>
      <c r="AK143" s="132">
        <v>11</v>
      </c>
    </row>
    <row r="144" s="132" customFormat="1" ht="11.5" customHeight="1">
      <c r="A144" s="706"/>
      <c r="B144" s="706"/>
      <c r="C144" s="706"/>
      <c r="D144" s="706"/>
      <c r="E144" s="706"/>
      <c r="F144" s="57"/>
      <c r="G144" s="57"/>
      <c r="H144" s="132"/>
      <c r="N144" s="53"/>
      <c r="P144" s="53"/>
      <c r="Q144" s="57"/>
      <c r="R144" s="57"/>
      <c r="S144" s="53"/>
      <c r="T144" s="53"/>
      <c r="U144" s="53"/>
      <c r="V144" s="53"/>
      <c r="W144" s="57"/>
      <c r="X144" s="53"/>
      <c r="Y144" s="53"/>
      <c r="Z144" s="707"/>
      <c r="AA144" s="53"/>
      <c r="AB144" s="53"/>
      <c r="AC144" s="53"/>
      <c r="AD144" s="53"/>
      <c r="AE144" s="53"/>
      <c r="AF144" s="56"/>
      <c r="AG144" s="54"/>
      <c r="AH144" s="54"/>
      <c r="AI144" s="54"/>
      <c r="AJ144" s="54"/>
      <c r="AK144" s="132">
        <v>11</v>
      </c>
    </row>
    <row r="145" s="132" customFormat="1" ht="11.5" customHeight="1">
      <c r="A145" s="706"/>
      <c r="B145" s="706"/>
      <c r="C145" s="706"/>
      <c r="D145" s="706"/>
      <c r="E145" s="706"/>
      <c r="F145" s="57"/>
      <c r="G145" s="57"/>
      <c r="H145" s="132"/>
      <c r="N145" s="53"/>
      <c r="P145" s="53"/>
      <c r="Q145" s="57"/>
      <c r="R145" s="57"/>
      <c r="S145" s="53"/>
      <c r="T145" s="53"/>
      <c r="U145" s="53"/>
      <c r="V145" s="53"/>
      <c r="W145" s="57"/>
      <c r="X145" s="53"/>
      <c r="Y145" s="53"/>
      <c r="Z145" s="707"/>
      <c r="AA145" s="53"/>
      <c r="AB145" s="53"/>
      <c r="AC145" s="53"/>
      <c r="AD145" s="53"/>
      <c r="AE145" s="53"/>
      <c r="AF145" s="56"/>
      <c r="AG145" s="54"/>
      <c r="AH145" s="54"/>
      <c r="AI145" s="54"/>
      <c r="AJ145" s="54"/>
      <c r="AK145" s="132">
        <v>11</v>
      </c>
    </row>
    <row r="146" s="132" customFormat="1" ht="11.5" customHeight="1">
      <c r="A146" s="706"/>
      <c r="B146" s="706"/>
      <c r="C146" s="706"/>
      <c r="D146" s="706"/>
      <c r="E146" s="706"/>
      <c r="F146" s="57"/>
      <c r="G146" s="57"/>
      <c r="H146" s="132"/>
      <c r="N146" s="53"/>
      <c r="P146" s="53"/>
      <c r="Q146" s="57"/>
      <c r="R146" s="57"/>
      <c r="S146" s="53"/>
      <c r="T146" s="53"/>
      <c r="U146" s="53"/>
      <c r="V146" s="53"/>
      <c r="W146" s="57"/>
      <c r="X146" s="53"/>
      <c r="Y146" s="53"/>
      <c r="Z146" s="707"/>
      <c r="AA146" s="53"/>
      <c r="AB146" s="53"/>
      <c r="AC146" s="53"/>
      <c r="AD146" s="53"/>
      <c r="AE146" s="53"/>
      <c r="AF146" s="56"/>
      <c r="AG146" s="54"/>
      <c r="AH146" s="54"/>
      <c r="AI146" s="54"/>
      <c r="AJ146" s="54"/>
      <c r="AK146" s="132">
        <v>11</v>
      </c>
    </row>
    <row r="147" s="132" customFormat="1" ht="11.5" customHeight="1">
      <c r="A147" s="706"/>
      <c r="B147" s="706"/>
      <c r="C147" s="706"/>
      <c r="D147" s="706"/>
      <c r="E147" s="706"/>
      <c r="F147" s="57"/>
      <c r="G147" s="57"/>
      <c r="H147" s="132"/>
      <c r="N147" s="53"/>
      <c r="P147" s="53"/>
      <c r="Q147" s="57"/>
      <c r="R147" s="57"/>
      <c r="S147" s="53"/>
      <c r="T147" s="53"/>
      <c r="U147" s="53"/>
      <c r="V147" s="53"/>
      <c r="W147" s="57"/>
      <c r="X147" s="53"/>
      <c r="Y147" s="53"/>
      <c r="Z147" s="707"/>
      <c r="AA147" s="53"/>
      <c r="AB147" s="53"/>
      <c r="AC147" s="53"/>
      <c r="AD147" s="53"/>
      <c r="AE147" s="53"/>
      <c r="AF147" s="56"/>
      <c r="AG147" s="54"/>
      <c r="AH147" s="54"/>
      <c r="AI147" s="54"/>
      <c r="AJ147" s="54"/>
      <c r="AK147" s="132">
        <v>11</v>
      </c>
    </row>
    <row r="148" s="132" customFormat="1" ht="11.5" customHeight="1">
      <c r="A148" s="706"/>
      <c r="B148" s="706"/>
      <c r="C148" s="706"/>
      <c r="D148" s="706"/>
      <c r="E148" s="706"/>
      <c r="F148" s="57"/>
      <c r="G148" s="57"/>
      <c r="H148" s="132"/>
      <c r="N148" s="53"/>
      <c r="P148" s="53"/>
      <c r="Q148" s="57"/>
      <c r="R148" s="57"/>
      <c r="S148" s="53"/>
      <c r="T148" s="53"/>
      <c r="U148" s="53"/>
      <c r="V148" s="53"/>
      <c r="W148" s="57"/>
      <c r="X148" s="53"/>
      <c r="Y148" s="53"/>
      <c r="Z148" s="707"/>
      <c r="AA148" s="53"/>
      <c r="AB148" s="53"/>
      <c r="AC148" s="53"/>
      <c r="AD148" s="53"/>
      <c r="AE148" s="53"/>
      <c r="AF148" s="56"/>
      <c r="AG148" s="54"/>
      <c r="AH148" s="54"/>
      <c r="AI148" s="54"/>
      <c r="AJ148" s="54"/>
      <c r="AK148" s="132">
        <v>11</v>
      </c>
    </row>
    <row r="149" s="132" customFormat="1" ht="11.5" customHeight="1">
      <c r="A149" s="706"/>
      <c r="B149" s="706"/>
      <c r="C149" s="706"/>
      <c r="D149" s="706"/>
      <c r="E149" s="706"/>
      <c r="F149" s="57"/>
      <c r="G149" s="57"/>
      <c r="H149" s="132"/>
      <c r="N149" s="53"/>
      <c r="P149" s="53"/>
      <c r="Q149" s="57"/>
      <c r="R149" s="57"/>
      <c r="S149" s="53"/>
      <c r="T149" s="53"/>
      <c r="U149" s="53"/>
      <c r="V149" s="53"/>
      <c r="W149" s="57"/>
      <c r="X149" s="53"/>
      <c r="Y149" s="53"/>
      <c r="Z149" s="707"/>
      <c r="AA149" s="53"/>
      <c r="AB149" s="53"/>
      <c r="AC149" s="53"/>
      <c r="AD149" s="53"/>
      <c r="AE149" s="53"/>
      <c r="AF149" s="56"/>
      <c r="AG149" s="54"/>
      <c r="AH149" s="54"/>
      <c r="AI149" s="54"/>
      <c r="AJ149" s="54"/>
      <c r="AK149" s="132">
        <v>11</v>
      </c>
    </row>
    <row r="150" s="132" customFormat="1" ht="11.5" customHeight="1">
      <c r="A150" s="706"/>
      <c r="B150" s="706"/>
      <c r="C150" s="706"/>
      <c r="D150" s="706"/>
      <c r="E150" s="706"/>
      <c r="F150" s="57"/>
      <c r="G150" s="57"/>
      <c r="H150" s="132"/>
      <c r="N150" s="53"/>
      <c r="P150" s="53"/>
      <c r="Q150" s="57"/>
      <c r="R150" s="57"/>
      <c r="S150" s="53"/>
      <c r="T150" s="53"/>
      <c r="U150" s="53"/>
      <c r="V150" s="53"/>
      <c r="W150" s="57"/>
      <c r="X150" s="53"/>
      <c r="Y150" s="53"/>
      <c r="Z150" s="707"/>
      <c r="AA150" s="53"/>
      <c r="AB150" s="53"/>
      <c r="AC150" s="53"/>
      <c r="AD150" s="53"/>
      <c r="AE150" s="53"/>
      <c r="AF150" s="56"/>
      <c r="AG150" s="54"/>
      <c r="AH150" s="54"/>
      <c r="AI150" s="54"/>
      <c r="AJ150" s="54"/>
      <c r="AK150" s="132">
        <v>11</v>
      </c>
    </row>
    <row r="151" s="132" customFormat="1" ht="11.5" customHeight="1">
      <c r="A151" s="706"/>
      <c r="B151" s="706"/>
      <c r="C151" s="706"/>
      <c r="D151" s="706"/>
      <c r="E151" s="706"/>
      <c r="F151" s="57"/>
      <c r="G151" s="57"/>
      <c r="H151" s="132"/>
      <c r="N151" s="53"/>
      <c r="P151" s="53"/>
      <c r="Q151" s="57"/>
      <c r="R151" s="57"/>
      <c r="S151" s="53"/>
      <c r="T151" s="53"/>
      <c r="U151" s="53"/>
      <c r="V151" s="53"/>
      <c r="W151" s="57"/>
      <c r="X151" s="53"/>
      <c r="Y151" s="53"/>
      <c r="Z151" s="707"/>
      <c r="AA151" s="53"/>
      <c r="AB151" s="53"/>
      <c r="AC151" s="53"/>
      <c r="AD151" s="53"/>
      <c r="AE151" s="53"/>
      <c r="AF151" s="56"/>
      <c r="AG151" s="54"/>
      <c r="AH151" s="54"/>
      <c r="AI151" s="54"/>
      <c r="AJ151" s="54"/>
      <c r="AK151" s="132">
        <v>11</v>
      </c>
    </row>
    <row r="152" s="132" customFormat="1" ht="11.5" customHeight="1">
      <c r="A152" s="706"/>
      <c r="B152" s="706"/>
      <c r="C152" s="706"/>
      <c r="D152" s="706"/>
      <c r="E152" s="706"/>
      <c r="F152" s="57"/>
      <c r="G152" s="57"/>
      <c r="H152" s="132"/>
      <c r="N152" s="53"/>
      <c r="P152" s="53"/>
      <c r="Q152" s="57"/>
      <c r="R152" s="57"/>
      <c r="S152" s="53"/>
      <c r="T152" s="53"/>
      <c r="U152" s="53"/>
      <c r="V152" s="53"/>
      <c r="W152" s="57"/>
      <c r="X152" s="53"/>
      <c r="Y152" s="53"/>
      <c r="Z152" s="707"/>
      <c r="AA152" s="53"/>
      <c r="AB152" s="53"/>
      <c r="AC152" s="53"/>
      <c r="AD152" s="53"/>
      <c r="AE152" s="53"/>
      <c r="AF152" s="56"/>
      <c r="AG152" s="54"/>
      <c r="AH152" s="54"/>
      <c r="AI152" s="54"/>
      <c r="AJ152" s="54"/>
      <c r="AK152" s="132">
        <v>11</v>
      </c>
    </row>
    <row r="153" s="132" customFormat="1" ht="11.5" customHeight="1">
      <c r="A153" s="706"/>
      <c r="B153" s="706"/>
      <c r="C153" s="706"/>
      <c r="D153" s="706"/>
      <c r="E153" s="706"/>
      <c r="F153" s="57"/>
      <c r="G153" s="57"/>
      <c r="H153" s="132"/>
      <c r="N153" s="53"/>
      <c r="P153" s="53"/>
      <c r="Q153" s="57"/>
      <c r="R153" s="57"/>
      <c r="S153" s="53"/>
      <c r="T153" s="53"/>
      <c r="U153" s="53"/>
      <c r="V153" s="53"/>
      <c r="W153" s="57"/>
      <c r="X153" s="53"/>
      <c r="Y153" s="53"/>
      <c r="Z153" s="707"/>
      <c r="AA153" s="53"/>
      <c r="AB153" s="53"/>
      <c r="AC153" s="53"/>
      <c r="AD153" s="53"/>
      <c r="AE153" s="53"/>
      <c r="AF153" s="56"/>
      <c r="AG153" s="54"/>
      <c r="AH153" s="54"/>
      <c r="AI153" s="54"/>
      <c r="AJ153" s="54"/>
      <c r="AK153" s="132">
        <v>11</v>
      </c>
    </row>
    <row r="154" s="132" customFormat="1" ht="11.5" customHeight="1">
      <c r="A154" s="706"/>
      <c r="B154" s="706"/>
      <c r="C154" s="706"/>
      <c r="D154" s="706"/>
      <c r="E154" s="706"/>
      <c r="F154" s="57"/>
      <c r="G154" s="57"/>
      <c r="H154" s="132"/>
      <c r="N154" s="53"/>
      <c r="P154" s="53"/>
      <c r="Q154" s="57"/>
      <c r="R154" s="57"/>
      <c r="S154" s="53"/>
      <c r="T154" s="53"/>
      <c r="U154" s="53"/>
      <c r="V154" s="53"/>
      <c r="W154" s="57"/>
      <c r="X154" s="53"/>
      <c r="Y154" s="53"/>
      <c r="Z154" s="707"/>
      <c r="AA154" s="53"/>
      <c r="AB154" s="53"/>
      <c r="AC154" s="53"/>
      <c r="AD154" s="53"/>
      <c r="AE154" s="53"/>
      <c r="AF154" s="56"/>
      <c r="AG154" s="54"/>
      <c r="AH154" s="54"/>
      <c r="AI154" s="54"/>
      <c r="AJ154" s="54"/>
      <c r="AK154" s="132">
        <v>11</v>
      </c>
    </row>
    <row r="155" s="132" customFormat="1" ht="11.5" customHeight="1">
      <c r="A155" s="706"/>
      <c r="B155" s="706"/>
      <c r="C155" s="706"/>
      <c r="D155" s="706"/>
      <c r="E155" s="706"/>
      <c r="F155" s="57"/>
      <c r="G155" s="57"/>
      <c r="H155" s="132"/>
      <c r="N155" s="53"/>
      <c r="P155" s="53"/>
      <c r="Q155" s="57"/>
      <c r="R155" s="57"/>
      <c r="S155" s="53"/>
      <c r="T155" s="53"/>
      <c r="U155" s="53"/>
      <c r="V155" s="53"/>
      <c r="W155" s="57"/>
      <c r="X155" s="53"/>
      <c r="Y155" s="53"/>
      <c r="Z155" s="707"/>
      <c r="AA155" s="53"/>
      <c r="AB155" s="53"/>
      <c r="AC155" s="53"/>
      <c r="AD155" s="53"/>
      <c r="AE155" s="53"/>
      <c r="AF155" s="56"/>
      <c r="AG155" s="54"/>
      <c r="AH155" s="54"/>
      <c r="AI155" s="54"/>
      <c r="AJ155" s="54"/>
      <c r="AK155" s="132">
        <v>11</v>
      </c>
    </row>
    <row r="156" s="132" customFormat="1" ht="11.5" customHeight="1">
      <c r="A156" s="706"/>
      <c r="B156" s="706"/>
      <c r="C156" s="706"/>
      <c r="D156" s="706"/>
      <c r="E156" s="706"/>
      <c r="F156" s="57"/>
      <c r="G156" s="57"/>
      <c r="H156" s="132"/>
      <c r="N156" s="53"/>
      <c r="P156" s="53"/>
      <c r="Q156" s="57"/>
      <c r="R156" s="57"/>
      <c r="S156" s="53"/>
      <c r="T156" s="53"/>
      <c r="U156" s="53"/>
      <c r="V156" s="53"/>
      <c r="W156" s="57"/>
      <c r="X156" s="53"/>
      <c r="Y156" s="53"/>
      <c r="Z156" s="707"/>
      <c r="AA156" s="53"/>
      <c r="AB156" s="53"/>
      <c r="AC156" s="53"/>
      <c r="AD156" s="53"/>
      <c r="AE156" s="53"/>
      <c r="AF156" s="56"/>
      <c r="AG156" s="54"/>
      <c r="AH156" s="54"/>
      <c r="AI156" s="54"/>
      <c r="AJ156" s="54"/>
      <c r="AK156" s="132">
        <v>11</v>
      </c>
    </row>
    <row r="157" s="132" customFormat="1" ht="11.5" customHeight="1">
      <c r="A157" s="706"/>
      <c r="B157" s="706"/>
      <c r="C157" s="706"/>
      <c r="D157" s="706"/>
      <c r="E157" s="706"/>
      <c r="F157" s="57"/>
      <c r="G157" s="57"/>
      <c r="H157" s="132"/>
      <c r="N157" s="53"/>
      <c r="P157" s="53"/>
      <c r="Q157" s="57"/>
      <c r="R157" s="57"/>
      <c r="S157" s="53"/>
      <c r="T157" s="53"/>
      <c r="U157" s="53"/>
      <c r="V157" s="53"/>
      <c r="W157" s="57"/>
      <c r="X157" s="53"/>
      <c r="Y157" s="53"/>
      <c r="Z157" s="707"/>
      <c r="AA157" s="53"/>
      <c r="AB157" s="53"/>
      <c r="AC157" s="53"/>
      <c r="AD157" s="53"/>
      <c r="AE157" s="53"/>
      <c r="AF157" s="56"/>
      <c r="AG157" s="54"/>
      <c r="AH157" s="54"/>
      <c r="AI157" s="54"/>
      <c r="AJ157" s="54"/>
      <c r="AK157" s="132">
        <v>11</v>
      </c>
    </row>
    <row r="158" s="132" customFormat="1" ht="11.5" customHeight="1">
      <c r="A158" s="706"/>
      <c r="B158" s="706"/>
      <c r="C158" s="706"/>
      <c r="D158" s="706"/>
      <c r="E158" s="706"/>
      <c r="F158" s="57"/>
      <c r="G158" s="57"/>
      <c r="H158" s="132"/>
      <c r="N158" s="53"/>
      <c r="P158" s="53"/>
      <c r="Q158" s="57"/>
      <c r="R158" s="57"/>
      <c r="S158" s="53"/>
      <c r="T158" s="53"/>
      <c r="U158" s="53"/>
      <c r="V158" s="53"/>
      <c r="W158" s="57"/>
      <c r="X158" s="53"/>
      <c r="Y158" s="53"/>
      <c r="Z158" s="707"/>
      <c r="AA158" s="53"/>
      <c r="AB158" s="53"/>
      <c r="AC158" s="53"/>
      <c r="AD158" s="53"/>
      <c r="AE158" s="53"/>
      <c r="AF158" s="56"/>
      <c r="AG158" s="54"/>
      <c r="AH158" s="54"/>
      <c r="AI158" s="54"/>
      <c r="AJ158" s="54"/>
      <c r="AK158" s="132">
        <v>11</v>
      </c>
    </row>
    <row r="159" s="132" customFormat="1" ht="11.5" customHeight="1">
      <c r="A159" s="706"/>
      <c r="B159" s="706"/>
      <c r="C159" s="706"/>
      <c r="D159" s="706"/>
      <c r="E159" s="706"/>
      <c r="F159" s="57"/>
      <c r="G159" s="57"/>
      <c r="H159" s="132"/>
      <c r="N159" s="53"/>
      <c r="P159" s="53"/>
      <c r="Q159" s="57"/>
      <c r="R159" s="57"/>
      <c r="S159" s="53"/>
      <c r="T159" s="53"/>
      <c r="U159" s="53"/>
      <c r="V159" s="53"/>
      <c r="W159" s="57"/>
      <c r="X159" s="53"/>
      <c r="Y159" s="53"/>
      <c r="Z159" s="707"/>
      <c r="AA159" s="53"/>
      <c r="AB159" s="53"/>
      <c r="AC159" s="53"/>
      <c r="AD159" s="53"/>
      <c r="AE159" s="53"/>
      <c r="AF159" s="56"/>
      <c r="AG159" s="54"/>
      <c r="AH159" s="54"/>
      <c r="AI159" s="54"/>
      <c r="AJ159" s="54"/>
      <c r="AK159" s="132">
        <v>11</v>
      </c>
    </row>
    <row r="160" s="132" customFormat="1" ht="11.5" customHeight="1">
      <c r="A160" s="706"/>
      <c r="B160" s="706"/>
      <c r="C160" s="706"/>
      <c r="D160" s="706"/>
      <c r="E160" s="706"/>
      <c r="F160" s="57"/>
      <c r="G160" s="57"/>
      <c r="H160" s="132"/>
      <c r="N160" s="53"/>
      <c r="P160" s="53"/>
      <c r="Q160" s="57"/>
      <c r="R160" s="57"/>
      <c r="S160" s="53"/>
      <c r="T160" s="53"/>
      <c r="U160" s="53"/>
      <c r="V160" s="53"/>
      <c r="W160" s="57"/>
      <c r="X160" s="53"/>
      <c r="Y160" s="53"/>
      <c r="Z160" s="707"/>
      <c r="AA160" s="53"/>
      <c r="AB160" s="53"/>
      <c r="AC160" s="53"/>
      <c r="AD160" s="53"/>
      <c r="AE160" s="53"/>
      <c r="AF160" s="56"/>
      <c r="AG160" s="54"/>
      <c r="AH160" s="54"/>
      <c r="AI160" s="54"/>
      <c r="AJ160" s="54"/>
      <c r="AK160" s="132">
        <v>11</v>
      </c>
    </row>
    <row r="161" s="132" customFormat="1" ht="11.5" customHeight="1">
      <c r="A161" s="706"/>
      <c r="B161" s="706"/>
      <c r="C161" s="706"/>
      <c r="D161" s="706"/>
      <c r="E161" s="706"/>
      <c r="F161" s="57"/>
      <c r="G161" s="57"/>
      <c r="H161" s="132"/>
      <c r="N161" s="53"/>
      <c r="P161" s="53"/>
      <c r="Q161" s="57"/>
      <c r="R161" s="57"/>
      <c r="S161" s="53"/>
      <c r="T161" s="53"/>
      <c r="U161" s="53"/>
      <c r="V161" s="53"/>
      <c r="W161" s="57"/>
      <c r="X161" s="53"/>
      <c r="Y161" s="53"/>
      <c r="Z161" s="707"/>
      <c r="AA161" s="53"/>
      <c r="AB161" s="53"/>
      <c r="AC161" s="53"/>
      <c r="AD161" s="53"/>
      <c r="AE161" s="53"/>
      <c r="AF161" s="56"/>
      <c r="AG161" s="54"/>
      <c r="AH161" s="54"/>
      <c r="AI161" s="54"/>
      <c r="AJ161" s="54"/>
      <c r="AK161" s="132">
        <v>11</v>
      </c>
    </row>
    <row r="162" s="132" customFormat="1" ht="11.5" customHeight="1">
      <c r="A162" s="706"/>
      <c r="B162" s="706"/>
      <c r="C162" s="706"/>
      <c r="D162" s="706"/>
      <c r="E162" s="706"/>
      <c r="F162" s="57"/>
      <c r="G162" s="57"/>
      <c r="H162" s="132"/>
      <c r="N162" s="53"/>
      <c r="P162" s="53"/>
      <c r="Q162" s="57"/>
      <c r="R162" s="57"/>
      <c r="S162" s="53"/>
      <c r="T162" s="53"/>
      <c r="U162" s="53"/>
      <c r="V162" s="53"/>
      <c r="W162" s="57"/>
      <c r="X162" s="53"/>
      <c r="Y162" s="53"/>
      <c r="Z162" s="707"/>
      <c r="AA162" s="53"/>
      <c r="AB162" s="53"/>
      <c r="AC162" s="53"/>
      <c r="AD162" s="53"/>
      <c r="AE162" s="53"/>
      <c r="AF162" s="56"/>
      <c r="AG162" s="54"/>
      <c r="AH162" s="54"/>
      <c r="AI162" s="54"/>
      <c r="AJ162" s="54"/>
      <c r="AK162" s="132">
        <v>11</v>
      </c>
    </row>
    <row r="163" s="132" customFormat="1" ht="11.5" customHeight="1">
      <c r="A163" s="706"/>
      <c r="B163" s="706"/>
      <c r="C163" s="706"/>
      <c r="D163" s="706"/>
      <c r="E163" s="706"/>
      <c r="F163" s="57"/>
      <c r="G163" s="57"/>
      <c r="H163" s="132"/>
      <c r="N163" s="53"/>
      <c r="P163" s="53"/>
      <c r="Q163" s="57"/>
      <c r="R163" s="57"/>
      <c r="S163" s="53"/>
      <c r="T163" s="53"/>
      <c r="U163" s="53"/>
      <c r="V163" s="53"/>
      <c r="W163" s="57"/>
      <c r="X163" s="53"/>
      <c r="Y163" s="53"/>
      <c r="Z163" s="707"/>
      <c r="AA163" s="53"/>
      <c r="AB163" s="53"/>
      <c r="AC163" s="53"/>
      <c r="AD163" s="53"/>
      <c r="AE163" s="53"/>
      <c r="AF163" s="56"/>
      <c r="AG163" s="54"/>
      <c r="AH163" s="54"/>
      <c r="AI163" s="54"/>
      <c r="AJ163" s="54"/>
      <c r="AK163" s="132">
        <v>11</v>
      </c>
    </row>
    <row r="164" s="132" customFormat="1" ht="11.5" customHeight="1">
      <c r="A164" s="706"/>
      <c r="B164" s="706"/>
      <c r="C164" s="706"/>
      <c r="D164" s="706"/>
      <c r="E164" s="706"/>
      <c r="F164" s="57"/>
      <c r="G164" s="57"/>
      <c r="H164" s="132"/>
      <c r="N164" s="53"/>
      <c r="P164" s="53"/>
      <c r="Q164" s="57"/>
      <c r="R164" s="57"/>
      <c r="S164" s="53"/>
      <c r="T164" s="53"/>
      <c r="U164" s="53"/>
      <c r="V164" s="53"/>
      <c r="W164" s="57"/>
      <c r="X164" s="53"/>
      <c r="Y164" s="53"/>
      <c r="Z164" s="707"/>
      <c r="AA164" s="53"/>
      <c r="AB164" s="53"/>
      <c r="AC164" s="53"/>
      <c r="AD164" s="53"/>
      <c r="AE164" s="53"/>
      <c r="AF164" s="56"/>
      <c r="AG164" s="54"/>
      <c r="AH164" s="54"/>
      <c r="AI164" s="54"/>
      <c r="AJ164" s="54"/>
      <c r="AK164" s="132">
        <v>11</v>
      </c>
    </row>
    <row r="165" s="132" customFormat="1" ht="11.5" customHeight="1">
      <c r="A165" s="706"/>
      <c r="B165" s="706"/>
      <c r="C165" s="706"/>
      <c r="D165" s="706"/>
      <c r="E165" s="706"/>
      <c r="F165" s="57"/>
      <c r="G165" s="57"/>
      <c r="H165" s="132"/>
      <c r="N165" s="53"/>
      <c r="P165" s="53"/>
      <c r="Q165" s="57"/>
      <c r="R165" s="57"/>
      <c r="S165" s="53"/>
      <c r="T165" s="53"/>
      <c r="U165" s="53"/>
      <c r="V165" s="53"/>
      <c r="W165" s="57"/>
      <c r="X165" s="53"/>
      <c r="Y165" s="53"/>
      <c r="Z165" s="707"/>
      <c r="AA165" s="53"/>
      <c r="AB165" s="53"/>
      <c r="AC165" s="53"/>
      <c r="AD165" s="53"/>
      <c r="AE165" s="53"/>
      <c r="AF165" s="56"/>
      <c r="AG165" s="54"/>
      <c r="AH165" s="54"/>
      <c r="AI165" s="54"/>
      <c r="AJ165" s="54"/>
      <c r="AK165" s="132">
        <v>11</v>
      </c>
    </row>
    <row r="166" s="132" customFormat="1" ht="11.5" customHeight="1">
      <c r="A166" s="706"/>
      <c r="B166" s="706"/>
      <c r="C166" s="706"/>
      <c r="D166" s="706"/>
      <c r="E166" s="706"/>
      <c r="F166" s="57"/>
      <c r="G166" s="57"/>
      <c r="H166" s="132"/>
      <c r="N166" s="53"/>
      <c r="P166" s="53"/>
      <c r="Q166" s="57"/>
      <c r="R166" s="57"/>
      <c r="S166" s="53"/>
      <c r="T166" s="53"/>
      <c r="U166" s="53"/>
      <c r="V166" s="53"/>
      <c r="W166" s="57"/>
      <c r="X166" s="53"/>
      <c r="Y166" s="53"/>
      <c r="Z166" s="707"/>
      <c r="AA166" s="53"/>
      <c r="AB166" s="53"/>
      <c r="AC166" s="53"/>
      <c r="AD166" s="53"/>
      <c r="AE166" s="53"/>
      <c r="AF166" s="56"/>
      <c r="AG166" s="54"/>
      <c r="AH166" s="54"/>
      <c r="AI166" s="54"/>
      <c r="AJ166" s="54"/>
      <c r="AK166" s="132">
        <v>11</v>
      </c>
    </row>
    <row r="167" s="132" customFormat="1" ht="11.5" customHeight="1">
      <c r="A167" s="706"/>
      <c r="B167" s="706"/>
      <c r="C167" s="706"/>
      <c r="D167" s="706"/>
      <c r="E167" s="706"/>
      <c r="F167" s="57"/>
      <c r="G167" s="57"/>
      <c r="H167" s="132"/>
      <c r="N167" s="53"/>
      <c r="P167" s="53"/>
      <c r="Q167" s="57"/>
      <c r="R167" s="57"/>
      <c r="S167" s="53"/>
      <c r="T167" s="53"/>
      <c r="U167" s="53"/>
      <c r="V167" s="53"/>
      <c r="W167" s="57"/>
      <c r="X167" s="53"/>
      <c r="Y167" s="53"/>
      <c r="Z167" s="707"/>
      <c r="AA167" s="53"/>
      <c r="AB167" s="53"/>
      <c r="AC167" s="53"/>
      <c r="AD167" s="53"/>
      <c r="AE167" s="53"/>
      <c r="AF167" s="56"/>
      <c r="AG167" s="54"/>
      <c r="AH167" s="54"/>
      <c r="AI167" s="54"/>
      <c r="AJ167" s="54"/>
      <c r="AK167" s="132">
        <v>11</v>
      </c>
    </row>
    <row r="168" s="132" customFormat="1" ht="11.5" customHeight="1">
      <c r="A168" s="706"/>
      <c r="B168" s="706"/>
      <c r="C168" s="706"/>
      <c r="D168" s="706"/>
      <c r="E168" s="706"/>
      <c r="F168" s="57"/>
      <c r="G168" s="57"/>
      <c r="H168" s="132"/>
      <c r="N168" s="53"/>
      <c r="P168" s="53"/>
      <c r="Q168" s="57"/>
      <c r="R168" s="57"/>
      <c r="S168" s="53"/>
      <c r="T168" s="53"/>
      <c r="U168" s="53"/>
      <c r="V168" s="53"/>
      <c r="W168" s="57"/>
      <c r="X168" s="53"/>
      <c r="Y168" s="53"/>
      <c r="Z168" s="707"/>
      <c r="AA168" s="53"/>
      <c r="AB168" s="53"/>
      <c r="AC168" s="53"/>
      <c r="AD168" s="53"/>
      <c r="AE168" s="53"/>
      <c r="AF168" s="56"/>
      <c r="AG168" s="54"/>
      <c r="AH168" s="54"/>
      <c r="AI168" s="54"/>
      <c r="AJ168" s="54"/>
      <c r="AK168" s="132">
        <v>11</v>
      </c>
    </row>
    <row r="169" s="132" customFormat="1" ht="11.5" customHeight="1">
      <c r="A169" s="706"/>
      <c r="B169" s="706"/>
      <c r="C169" s="706"/>
      <c r="D169" s="706"/>
      <c r="E169" s="706"/>
      <c r="F169" s="57"/>
      <c r="G169" s="57"/>
      <c r="H169" s="132"/>
      <c r="N169" s="53"/>
      <c r="P169" s="53"/>
      <c r="Q169" s="57"/>
      <c r="R169" s="57"/>
      <c r="S169" s="53"/>
      <c r="T169" s="53"/>
      <c r="U169" s="53"/>
      <c r="V169" s="53"/>
      <c r="W169" s="57"/>
      <c r="X169" s="53"/>
      <c r="Y169" s="53"/>
      <c r="Z169" s="707"/>
      <c r="AA169" s="53"/>
      <c r="AB169" s="53"/>
      <c r="AC169" s="53"/>
      <c r="AD169" s="53"/>
      <c r="AE169" s="53"/>
      <c r="AF169" s="56"/>
      <c r="AG169" s="54"/>
      <c r="AH169" s="54"/>
      <c r="AI169" s="54"/>
      <c r="AJ169" s="54"/>
      <c r="AK169" s="132">
        <v>11</v>
      </c>
    </row>
    <row r="170" s="132" customFormat="1" ht="11.5" customHeight="1">
      <c r="A170" s="706"/>
      <c r="B170" s="706"/>
      <c r="C170" s="706"/>
      <c r="D170" s="706"/>
      <c r="E170" s="706"/>
      <c r="F170" s="57"/>
      <c r="G170" s="57"/>
      <c r="H170" s="132"/>
      <c r="N170" s="53"/>
      <c r="P170" s="53"/>
      <c r="Q170" s="57"/>
      <c r="R170" s="57"/>
      <c r="S170" s="53"/>
      <c r="T170" s="53"/>
      <c r="U170" s="53"/>
      <c r="V170" s="53"/>
      <c r="W170" s="57"/>
      <c r="X170" s="53"/>
      <c r="Y170" s="53"/>
      <c r="Z170" s="707"/>
      <c r="AA170" s="53"/>
      <c r="AB170" s="53"/>
      <c r="AC170" s="53"/>
      <c r="AD170" s="53"/>
      <c r="AE170" s="53"/>
      <c r="AF170" s="56"/>
      <c r="AG170" s="54"/>
      <c r="AH170" s="54"/>
      <c r="AI170" s="54"/>
      <c r="AJ170" s="54"/>
      <c r="AK170" s="132">
        <v>11</v>
      </c>
    </row>
    <row r="171" s="132" customFormat="1" ht="11.5" customHeight="1">
      <c r="A171" s="706"/>
      <c r="B171" s="706"/>
      <c r="C171" s="706"/>
      <c r="D171" s="706"/>
      <c r="E171" s="706"/>
      <c r="F171" s="57"/>
      <c r="G171" s="57"/>
      <c r="H171" s="132"/>
      <c r="N171" s="53"/>
      <c r="P171" s="53"/>
      <c r="Q171" s="57"/>
      <c r="R171" s="57"/>
      <c r="S171" s="53"/>
      <c r="T171" s="53"/>
      <c r="U171" s="53"/>
      <c r="V171" s="53"/>
      <c r="W171" s="57"/>
      <c r="X171" s="53"/>
      <c r="Y171" s="53"/>
      <c r="Z171" s="707"/>
      <c r="AA171" s="53"/>
      <c r="AB171" s="53"/>
      <c r="AC171" s="53"/>
      <c r="AD171" s="53"/>
      <c r="AE171" s="53"/>
      <c r="AF171" s="56"/>
      <c r="AG171" s="54"/>
      <c r="AH171" s="54"/>
      <c r="AI171" s="54"/>
      <c r="AJ171" s="54"/>
      <c r="AK171" s="132">
        <v>11</v>
      </c>
    </row>
    <row r="172" s="132" customFormat="1" ht="11.5" customHeight="1">
      <c r="A172" s="706"/>
      <c r="B172" s="706"/>
      <c r="C172" s="706"/>
      <c r="D172" s="706"/>
      <c r="E172" s="706"/>
      <c r="F172" s="57"/>
      <c r="G172" s="57"/>
      <c r="H172" s="132"/>
      <c r="N172" s="53"/>
      <c r="P172" s="53"/>
      <c r="Q172" s="57"/>
      <c r="R172" s="57"/>
      <c r="S172" s="53"/>
      <c r="T172" s="53"/>
      <c r="U172" s="53"/>
      <c r="V172" s="53"/>
      <c r="W172" s="57"/>
      <c r="X172" s="53"/>
      <c r="Y172" s="53"/>
      <c r="Z172" s="707"/>
      <c r="AA172" s="53"/>
      <c r="AB172" s="53"/>
      <c r="AC172" s="53"/>
      <c r="AD172" s="53"/>
      <c r="AE172" s="53"/>
      <c r="AF172" s="56"/>
      <c r="AG172" s="54"/>
      <c r="AH172" s="54"/>
      <c r="AI172" s="54"/>
      <c r="AJ172" s="54"/>
      <c r="AK172" s="132">
        <v>11</v>
      </c>
    </row>
    <row r="173" s="132" customFormat="1" ht="11.5" customHeight="1">
      <c r="A173" s="706"/>
      <c r="B173" s="706"/>
      <c r="C173" s="706"/>
      <c r="D173" s="706"/>
      <c r="E173" s="706"/>
      <c r="F173" s="57"/>
      <c r="G173" s="57"/>
      <c r="H173" s="132"/>
      <c r="N173" s="53"/>
      <c r="P173" s="53"/>
      <c r="Q173" s="57"/>
      <c r="R173" s="57"/>
      <c r="S173" s="53"/>
      <c r="T173" s="53"/>
      <c r="U173" s="53"/>
      <c r="V173" s="53"/>
      <c r="W173" s="57"/>
      <c r="X173" s="53"/>
      <c r="Y173" s="53"/>
      <c r="Z173" s="707"/>
      <c r="AA173" s="53"/>
      <c r="AB173" s="53"/>
      <c r="AC173" s="53"/>
      <c r="AD173" s="53"/>
      <c r="AE173" s="53"/>
      <c r="AF173" s="56"/>
      <c r="AG173" s="54"/>
      <c r="AH173" s="54"/>
      <c r="AI173" s="54"/>
      <c r="AJ173" s="54"/>
      <c r="AK173" s="132">
        <v>11</v>
      </c>
    </row>
    <row r="174" s="132" customFormat="1" ht="11.5" customHeight="1">
      <c r="A174" s="706"/>
      <c r="B174" s="706"/>
      <c r="C174" s="706"/>
      <c r="D174" s="706"/>
      <c r="E174" s="706"/>
      <c r="F174" s="57"/>
      <c r="G174" s="57"/>
      <c r="H174" s="132"/>
      <c r="N174" s="53"/>
      <c r="P174" s="53"/>
      <c r="Q174" s="57"/>
      <c r="R174" s="57"/>
      <c r="S174" s="53"/>
      <c r="T174" s="53"/>
      <c r="U174" s="53"/>
      <c r="V174" s="53"/>
      <c r="W174" s="57"/>
      <c r="X174" s="53"/>
      <c r="Y174" s="53"/>
      <c r="Z174" s="707"/>
      <c r="AA174" s="53"/>
      <c r="AB174" s="53"/>
      <c r="AC174" s="53"/>
      <c r="AD174" s="53"/>
      <c r="AE174" s="53"/>
      <c r="AF174" s="56"/>
      <c r="AG174" s="54"/>
      <c r="AH174" s="54"/>
      <c r="AI174" s="54"/>
      <c r="AJ174" s="54"/>
      <c r="AK174" s="132">
        <v>11</v>
      </c>
    </row>
    <row r="175" s="132" customFormat="1" ht="11.5" customHeight="1">
      <c r="A175" s="706"/>
      <c r="B175" s="706"/>
      <c r="C175" s="706"/>
      <c r="D175" s="706"/>
      <c r="E175" s="706"/>
      <c r="F175" s="57"/>
      <c r="G175" s="57"/>
      <c r="H175" s="132"/>
      <c r="N175" s="53"/>
      <c r="P175" s="53"/>
      <c r="Q175" s="57"/>
      <c r="R175" s="57"/>
      <c r="S175" s="53"/>
      <c r="T175" s="53"/>
      <c r="U175" s="53"/>
      <c r="V175" s="53"/>
      <c r="W175" s="57"/>
      <c r="X175" s="53"/>
      <c r="Y175" s="53"/>
      <c r="Z175" s="707"/>
      <c r="AA175" s="53"/>
      <c r="AB175" s="53"/>
      <c r="AC175" s="53"/>
      <c r="AD175" s="53"/>
      <c r="AE175" s="53"/>
      <c r="AF175" s="56"/>
      <c r="AG175" s="54"/>
      <c r="AH175" s="54"/>
      <c r="AI175" s="54"/>
      <c r="AJ175" s="54"/>
      <c r="AK175" s="132">
        <v>11</v>
      </c>
    </row>
    <row r="176" s="132" customFormat="1" ht="11.5" customHeight="1">
      <c r="A176" s="706"/>
      <c r="B176" s="706"/>
      <c r="C176" s="706"/>
      <c r="D176" s="706"/>
      <c r="E176" s="706"/>
      <c r="F176" s="57"/>
      <c r="G176" s="57"/>
      <c r="H176" s="132"/>
      <c r="N176" s="53"/>
      <c r="P176" s="53"/>
      <c r="Q176" s="57"/>
      <c r="R176" s="57"/>
      <c r="S176" s="53"/>
      <c r="T176" s="53"/>
      <c r="U176" s="53"/>
      <c r="V176" s="53"/>
      <c r="W176" s="57"/>
      <c r="X176" s="53"/>
      <c r="Y176" s="53"/>
      <c r="Z176" s="707"/>
      <c r="AA176" s="53"/>
      <c r="AB176" s="53"/>
      <c r="AC176" s="53"/>
      <c r="AD176" s="53"/>
      <c r="AE176" s="53"/>
      <c r="AF176" s="56"/>
      <c r="AG176" s="54"/>
      <c r="AH176" s="54"/>
      <c r="AI176" s="54"/>
      <c r="AJ176" s="54"/>
      <c r="AK176" s="132">
        <v>11</v>
      </c>
    </row>
    <row r="177" s="132" customFormat="1" ht="11.5" customHeight="1">
      <c r="A177" s="706"/>
      <c r="B177" s="706"/>
      <c r="C177" s="706"/>
      <c r="D177" s="706"/>
      <c r="E177" s="706"/>
      <c r="F177" s="57"/>
      <c r="G177" s="57"/>
      <c r="H177" s="132"/>
      <c r="N177" s="53"/>
      <c r="P177" s="53"/>
      <c r="Q177" s="57"/>
      <c r="R177" s="57"/>
      <c r="S177" s="53"/>
      <c r="T177" s="53"/>
      <c r="U177" s="53"/>
      <c r="V177" s="53"/>
      <c r="W177" s="57"/>
      <c r="X177" s="53"/>
      <c r="Y177" s="53"/>
      <c r="Z177" s="707"/>
      <c r="AA177" s="53"/>
      <c r="AB177" s="53"/>
      <c r="AC177" s="53"/>
      <c r="AD177" s="53"/>
      <c r="AE177" s="53"/>
      <c r="AF177" s="56"/>
      <c r="AG177" s="54"/>
      <c r="AH177" s="54"/>
      <c r="AI177" s="54"/>
      <c r="AJ177" s="54"/>
      <c r="AK177" s="132">
        <v>11</v>
      </c>
    </row>
    <row r="178" s="132" customFormat="1" ht="11.5" customHeight="1">
      <c r="A178" s="706"/>
      <c r="B178" s="706"/>
      <c r="C178" s="706"/>
      <c r="D178" s="706"/>
      <c r="E178" s="706"/>
      <c r="F178" s="57"/>
      <c r="G178" s="57"/>
      <c r="H178" s="132"/>
      <c r="N178" s="53"/>
      <c r="P178" s="53"/>
      <c r="Q178" s="57"/>
      <c r="R178" s="57"/>
      <c r="S178" s="53"/>
      <c r="T178" s="53"/>
      <c r="U178" s="53"/>
      <c r="V178" s="53"/>
      <c r="W178" s="57"/>
      <c r="X178" s="53"/>
      <c r="Y178" s="53"/>
      <c r="Z178" s="707"/>
      <c r="AA178" s="53"/>
      <c r="AB178" s="53"/>
      <c r="AC178" s="53"/>
      <c r="AD178" s="53"/>
      <c r="AE178" s="53"/>
      <c r="AF178" s="56"/>
      <c r="AG178" s="54"/>
      <c r="AH178" s="54"/>
      <c r="AI178" s="54"/>
      <c r="AJ178" s="54"/>
      <c r="AK178" s="132">
        <v>11</v>
      </c>
    </row>
    <row r="179" s="132" customFormat="1" ht="11.5" customHeight="1">
      <c r="A179" s="706"/>
      <c r="B179" s="706"/>
      <c r="C179" s="706"/>
      <c r="D179" s="706"/>
      <c r="E179" s="706"/>
      <c r="F179" s="57"/>
      <c r="G179" s="57"/>
      <c r="H179" s="132"/>
      <c r="N179" s="53"/>
      <c r="P179" s="53"/>
      <c r="Q179" s="57"/>
      <c r="R179" s="57"/>
      <c r="S179" s="53"/>
      <c r="T179" s="53"/>
      <c r="U179" s="53"/>
      <c r="V179" s="53"/>
      <c r="W179" s="57"/>
      <c r="X179" s="53"/>
      <c r="Y179" s="53"/>
      <c r="Z179" s="707"/>
      <c r="AA179" s="53"/>
      <c r="AB179" s="53"/>
      <c r="AC179" s="53"/>
      <c r="AD179" s="53"/>
      <c r="AE179" s="53"/>
      <c r="AF179" s="56"/>
      <c r="AG179" s="54"/>
      <c r="AH179" s="54"/>
      <c r="AI179" s="54"/>
      <c r="AJ179" s="54"/>
      <c r="AK179" s="132">
        <v>11</v>
      </c>
    </row>
    <row r="180" s="132" customFormat="1" ht="11.5" customHeight="1">
      <c r="A180" s="706"/>
      <c r="B180" s="706"/>
      <c r="C180" s="706"/>
      <c r="D180" s="706"/>
      <c r="E180" s="706"/>
      <c r="F180" s="57"/>
      <c r="G180" s="57"/>
      <c r="H180" s="132"/>
      <c r="N180" s="53"/>
      <c r="P180" s="53"/>
      <c r="Q180" s="57"/>
      <c r="R180" s="57"/>
      <c r="S180" s="53"/>
      <c r="T180" s="53"/>
      <c r="U180" s="53"/>
      <c r="V180" s="53"/>
      <c r="W180" s="57"/>
      <c r="X180" s="53"/>
      <c r="Y180" s="53"/>
      <c r="Z180" s="707"/>
      <c r="AA180" s="53"/>
      <c r="AB180" s="53"/>
      <c r="AC180" s="53"/>
      <c r="AD180" s="53"/>
      <c r="AE180" s="53"/>
      <c r="AF180" s="56"/>
      <c r="AG180" s="54"/>
      <c r="AH180" s="54"/>
      <c r="AI180" s="54"/>
      <c r="AJ180" s="54"/>
      <c r="AK180" s="132">
        <v>11</v>
      </c>
    </row>
    <row r="181" s="132" customFormat="1" ht="11.5" customHeight="1">
      <c r="A181" s="706"/>
      <c r="B181" s="706"/>
      <c r="C181" s="706"/>
      <c r="D181" s="706"/>
      <c r="E181" s="706"/>
      <c r="F181" s="57"/>
      <c r="G181" s="57"/>
      <c r="H181" s="132"/>
      <c r="N181" s="53"/>
      <c r="P181" s="53"/>
      <c r="Q181" s="57"/>
      <c r="R181" s="57"/>
      <c r="S181" s="53"/>
      <c r="T181" s="53"/>
      <c r="U181" s="53"/>
      <c r="V181" s="53"/>
      <c r="W181" s="57"/>
      <c r="X181" s="53"/>
      <c r="Y181" s="53"/>
      <c r="Z181" s="707"/>
      <c r="AA181" s="53"/>
      <c r="AB181" s="53"/>
      <c r="AC181" s="53"/>
      <c r="AD181" s="53"/>
      <c r="AE181" s="53"/>
      <c r="AF181" s="56"/>
      <c r="AG181" s="54"/>
      <c r="AH181" s="54"/>
      <c r="AI181" s="54"/>
      <c r="AJ181" s="54"/>
      <c r="AK181" s="132">
        <v>11</v>
      </c>
    </row>
    <row r="182" s="132" customFormat="1" ht="11.5" customHeight="1">
      <c r="A182" s="706"/>
      <c r="B182" s="706"/>
      <c r="C182" s="706"/>
      <c r="D182" s="706"/>
      <c r="E182" s="706"/>
      <c r="F182" s="57"/>
      <c r="G182" s="57"/>
      <c r="H182" s="132"/>
      <c r="N182" s="53"/>
      <c r="P182" s="53"/>
      <c r="Q182" s="57"/>
      <c r="R182" s="57"/>
      <c r="S182" s="53"/>
      <c r="T182" s="53"/>
      <c r="U182" s="53"/>
      <c r="V182" s="53"/>
      <c r="W182" s="57"/>
      <c r="X182" s="53"/>
      <c r="Y182" s="53"/>
      <c r="Z182" s="707"/>
      <c r="AA182" s="53"/>
      <c r="AB182" s="53"/>
      <c r="AC182" s="53"/>
      <c r="AD182" s="53"/>
      <c r="AE182" s="53"/>
      <c r="AF182" s="56"/>
      <c r="AG182" s="54"/>
      <c r="AH182" s="54"/>
      <c r="AI182" s="54"/>
      <c r="AJ182" s="54"/>
      <c r="AK182" s="132">
        <v>11</v>
      </c>
    </row>
    <row r="183" s="132" customFormat="1" ht="11.5" customHeight="1">
      <c r="A183" s="706"/>
      <c r="B183" s="706"/>
      <c r="C183" s="706"/>
      <c r="D183" s="706"/>
      <c r="E183" s="706"/>
      <c r="F183" s="57"/>
      <c r="G183" s="57"/>
      <c r="H183" s="132"/>
      <c r="N183" s="53"/>
      <c r="P183" s="53"/>
      <c r="Q183" s="57"/>
      <c r="R183" s="57"/>
      <c r="S183" s="53"/>
      <c r="T183" s="53"/>
      <c r="U183" s="53"/>
      <c r="V183" s="53"/>
      <c r="W183" s="57"/>
      <c r="X183" s="53"/>
      <c r="Y183" s="53"/>
      <c r="Z183" s="707"/>
      <c r="AA183" s="53"/>
      <c r="AB183" s="53"/>
      <c r="AC183" s="53"/>
      <c r="AD183" s="53"/>
      <c r="AE183" s="53"/>
      <c r="AF183" s="56"/>
      <c r="AG183" s="54"/>
      <c r="AH183" s="54"/>
      <c r="AI183" s="54"/>
      <c r="AJ183" s="54"/>
      <c r="AK183" s="132">
        <v>11</v>
      </c>
    </row>
    <row r="184" s="132" customFormat="1" ht="11.5" customHeight="1">
      <c r="A184" s="706"/>
      <c r="B184" s="706"/>
      <c r="C184" s="706"/>
      <c r="D184" s="706"/>
      <c r="E184" s="706"/>
      <c r="F184" s="57"/>
      <c r="G184" s="57"/>
      <c r="H184" s="132"/>
      <c r="N184" s="53"/>
      <c r="P184" s="53"/>
      <c r="Q184" s="57"/>
      <c r="R184" s="57"/>
      <c r="S184" s="53"/>
      <c r="T184" s="53"/>
      <c r="U184" s="53"/>
      <c r="V184" s="53"/>
      <c r="W184" s="57"/>
      <c r="X184" s="53"/>
      <c r="Y184" s="53"/>
      <c r="Z184" s="707"/>
      <c r="AA184" s="53"/>
      <c r="AB184" s="53"/>
      <c r="AC184" s="53"/>
      <c r="AD184" s="53"/>
      <c r="AE184" s="53"/>
      <c r="AF184" s="56"/>
      <c r="AG184" s="54"/>
      <c r="AH184" s="54"/>
      <c r="AI184" s="54"/>
      <c r="AJ184" s="54"/>
      <c r="AK184" s="132">
        <v>11</v>
      </c>
    </row>
    <row r="185" s="132" customFormat="1" ht="11.5" customHeight="1">
      <c r="A185" s="706"/>
      <c r="B185" s="706"/>
      <c r="C185" s="706"/>
      <c r="D185" s="706"/>
      <c r="E185" s="706"/>
      <c r="F185" s="57"/>
      <c r="G185" s="57"/>
      <c r="H185" s="132"/>
      <c r="N185" s="53"/>
      <c r="P185" s="53"/>
      <c r="Q185" s="57"/>
      <c r="R185" s="57"/>
      <c r="S185" s="53"/>
      <c r="T185" s="53"/>
      <c r="U185" s="53"/>
      <c r="V185" s="53"/>
      <c r="W185" s="57"/>
      <c r="X185" s="53"/>
      <c r="Y185" s="53"/>
      <c r="Z185" s="707"/>
      <c r="AA185" s="53"/>
      <c r="AB185" s="53"/>
      <c r="AC185" s="53"/>
      <c r="AD185" s="53"/>
      <c r="AE185" s="53"/>
      <c r="AF185" s="56"/>
      <c r="AG185" s="54"/>
      <c r="AH185" s="54"/>
      <c r="AI185" s="54"/>
      <c r="AJ185" s="54"/>
      <c r="AK185" s="132">
        <v>11</v>
      </c>
    </row>
    <row r="186" s="132" customFormat="1" ht="11.5" customHeight="1">
      <c r="A186" s="706"/>
      <c r="B186" s="706"/>
      <c r="C186" s="706"/>
      <c r="D186" s="706"/>
      <c r="E186" s="706"/>
      <c r="F186" s="57"/>
      <c r="G186" s="57"/>
      <c r="H186" s="132"/>
      <c r="N186" s="53"/>
      <c r="P186" s="53"/>
      <c r="Q186" s="57"/>
      <c r="R186" s="57"/>
      <c r="S186" s="53"/>
      <c r="T186" s="53"/>
      <c r="U186" s="53"/>
      <c r="V186" s="53"/>
      <c r="W186" s="57"/>
      <c r="X186" s="53"/>
      <c r="Y186" s="53"/>
      <c r="Z186" s="707"/>
      <c r="AA186" s="53"/>
      <c r="AB186" s="53"/>
      <c r="AC186" s="53"/>
      <c r="AD186" s="53"/>
      <c r="AE186" s="53"/>
      <c r="AF186" s="56"/>
      <c r="AG186" s="54"/>
      <c r="AH186" s="54"/>
      <c r="AI186" s="54"/>
      <c r="AJ186" s="54"/>
      <c r="AK186" s="132">
        <v>11</v>
      </c>
    </row>
    <row r="187" s="132" customFormat="1" ht="11.5" customHeight="1">
      <c r="A187" s="706"/>
      <c r="B187" s="706"/>
      <c r="C187" s="706"/>
      <c r="D187" s="706"/>
      <c r="E187" s="706"/>
      <c r="F187" s="57"/>
      <c r="G187" s="57"/>
      <c r="H187" s="132"/>
      <c r="N187" s="53"/>
      <c r="P187" s="53"/>
      <c r="Q187" s="57"/>
      <c r="R187" s="57"/>
      <c r="S187" s="53"/>
      <c r="T187" s="53"/>
      <c r="U187" s="53"/>
      <c r="V187" s="53"/>
      <c r="W187" s="57"/>
      <c r="X187" s="53"/>
      <c r="Y187" s="53"/>
      <c r="Z187" s="707"/>
      <c r="AA187" s="53"/>
      <c r="AB187" s="53"/>
      <c r="AC187" s="53"/>
      <c r="AD187" s="53"/>
      <c r="AE187" s="53"/>
      <c r="AF187" s="56"/>
      <c r="AG187" s="54"/>
      <c r="AH187" s="54"/>
      <c r="AI187" s="54"/>
      <c r="AJ187" s="54"/>
      <c r="AK187" s="132">
        <v>11</v>
      </c>
    </row>
    <row r="188" s="132" customFormat="1" ht="11.5" customHeight="1">
      <c r="A188" s="706"/>
      <c r="B188" s="706"/>
      <c r="C188" s="706"/>
      <c r="D188" s="706"/>
      <c r="E188" s="706"/>
      <c r="F188" s="57"/>
      <c r="G188" s="57"/>
      <c r="H188" s="132"/>
      <c r="N188" s="53"/>
      <c r="P188" s="53"/>
      <c r="Q188" s="57"/>
      <c r="R188" s="57"/>
      <c r="S188" s="53"/>
      <c r="T188" s="53"/>
      <c r="U188" s="53"/>
      <c r="V188" s="53"/>
      <c r="W188" s="57"/>
      <c r="X188" s="53"/>
      <c r="Y188" s="53"/>
      <c r="Z188" s="707"/>
      <c r="AA188" s="53"/>
      <c r="AB188" s="53"/>
      <c r="AC188" s="53"/>
      <c r="AD188" s="53"/>
      <c r="AE188" s="53"/>
      <c r="AF188" s="56"/>
      <c r="AG188" s="54"/>
      <c r="AH188" s="54"/>
      <c r="AI188" s="54"/>
      <c r="AJ188" s="54"/>
      <c r="AK188" s="132">
        <v>11</v>
      </c>
    </row>
    <row r="189" s="132" customFormat="1" ht="11.5" customHeight="1">
      <c r="A189" s="706"/>
      <c r="B189" s="706"/>
      <c r="C189" s="706"/>
      <c r="D189" s="706"/>
      <c r="E189" s="706"/>
      <c r="F189" s="57"/>
      <c r="G189" s="57"/>
      <c r="H189" s="132"/>
      <c r="N189" s="53"/>
      <c r="P189" s="53"/>
      <c r="Q189" s="57"/>
      <c r="R189" s="57"/>
      <c r="S189" s="53"/>
      <c r="T189" s="53"/>
      <c r="U189" s="53"/>
      <c r="V189" s="53"/>
      <c r="W189" s="57"/>
      <c r="X189" s="53"/>
      <c r="Y189" s="53"/>
      <c r="Z189" s="707"/>
      <c r="AA189" s="53"/>
      <c r="AB189" s="53"/>
      <c r="AC189" s="53"/>
      <c r="AD189" s="53"/>
      <c r="AE189" s="53"/>
      <c r="AF189" s="56"/>
      <c r="AG189" s="54"/>
      <c r="AH189" s="54"/>
      <c r="AI189" s="54"/>
      <c r="AJ189" s="54"/>
      <c r="AK189" s="132">
        <v>11</v>
      </c>
    </row>
    <row r="190" ht="11.5" customHeight="1">
      <c r="AK190" s="50">
        <v>11</v>
      </c>
    </row>
    <row r="191" ht="11.5" customHeight="1">
      <c r="AK191" s="50">
        <v>11</v>
      </c>
    </row>
    <row r="192" ht="11.5" customHeight="1">
      <c r="AK192" s="50">
        <v>11</v>
      </c>
    </row>
    <row r="193" ht="11.5" customHeight="1">
      <c r="A193" s="774"/>
      <c r="B193" s="774"/>
      <c r="C193" s="774"/>
      <c r="D193" s="774"/>
      <c r="E193" s="774"/>
      <c r="F193" s="50"/>
      <c r="H193" s="50"/>
      <c r="N193" s="50"/>
      <c r="P193" s="50"/>
      <c r="S193" s="50"/>
      <c r="T193" s="50"/>
      <c r="U193" s="50"/>
      <c r="V193" s="50"/>
      <c r="X193" s="50"/>
      <c r="Y193" s="50"/>
      <c r="Z193" s="50"/>
      <c r="AA193" s="50"/>
      <c r="AB193" s="50"/>
      <c r="AC193" s="50"/>
      <c r="AD193" s="50"/>
      <c r="AE193" s="50"/>
      <c r="AF193" s="50"/>
      <c r="AG193" s="50"/>
      <c r="AH193" s="50"/>
      <c r="AI193" s="50"/>
      <c r="AJ193" s="50"/>
      <c r="AK193" s="50">
        <v>11</v>
      </c>
    </row>
    <row r="194" ht="11.5" customHeight="1">
      <c r="A194" s="774"/>
      <c r="B194" s="774"/>
      <c r="C194" s="774"/>
      <c r="D194" s="774"/>
      <c r="E194" s="774"/>
      <c r="F194" s="50"/>
      <c r="H194" s="50"/>
      <c r="N194" s="50"/>
      <c r="P194" s="50"/>
      <c r="S194" s="50"/>
      <c r="T194" s="50"/>
      <c r="U194" s="50"/>
      <c r="V194" s="50"/>
      <c r="X194" s="50"/>
      <c r="Y194" s="50"/>
      <c r="Z194" s="50"/>
      <c r="AA194" s="50"/>
      <c r="AB194" s="50"/>
      <c r="AC194" s="50"/>
      <c r="AD194" s="50"/>
      <c r="AE194" s="50"/>
      <c r="AF194" s="50"/>
      <c r="AG194" s="50"/>
      <c r="AH194" s="50"/>
      <c r="AI194" s="50"/>
      <c r="AJ194" s="50"/>
      <c r="AK194" s="50">
        <v>11</v>
      </c>
    </row>
    <row r="195" ht="11.5" customHeight="1">
      <c r="A195" s="774"/>
      <c r="B195" s="774"/>
      <c r="C195" s="774"/>
      <c r="D195" s="774"/>
      <c r="E195" s="774"/>
      <c r="F195" s="50"/>
      <c r="H195" s="50"/>
      <c r="N195" s="50"/>
      <c r="P195" s="50"/>
      <c r="S195" s="50"/>
      <c r="T195" s="50"/>
      <c r="U195" s="50"/>
      <c r="V195" s="50"/>
      <c r="X195" s="50"/>
      <c r="Y195" s="50"/>
      <c r="Z195" s="50"/>
      <c r="AA195" s="50"/>
      <c r="AB195" s="50"/>
      <c r="AC195" s="50"/>
      <c r="AD195" s="50"/>
      <c r="AE195" s="50"/>
      <c r="AF195" s="50"/>
      <c r="AG195" s="50"/>
      <c r="AH195" s="50"/>
      <c r="AI195" s="50"/>
      <c r="AJ195" s="50"/>
      <c r="AK195" s="50">
        <v>11</v>
      </c>
    </row>
    <row r="196" ht="11.5" customHeight="1">
      <c r="A196" s="774"/>
      <c r="B196" s="774"/>
      <c r="C196" s="774"/>
      <c r="D196" s="774"/>
      <c r="E196" s="774"/>
      <c r="F196" s="50"/>
      <c r="H196" s="50"/>
      <c r="N196" s="50"/>
      <c r="P196" s="50"/>
      <c r="S196" s="50"/>
      <c r="T196" s="50"/>
      <c r="U196" s="50"/>
      <c r="V196" s="50"/>
      <c r="X196" s="50"/>
      <c r="Y196" s="50"/>
      <c r="Z196" s="50"/>
      <c r="AA196" s="50"/>
      <c r="AB196" s="50"/>
      <c r="AC196" s="50"/>
      <c r="AD196" s="50"/>
      <c r="AE196" s="50"/>
      <c r="AF196" s="50"/>
      <c r="AG196" s="50"/>
      <c r="AH196" s="50"/>
      <c r="AI196" s="50"/>
      <c r="AJ196" s="50"/>
      <c r="AK196" s="50">
        <v>11</v>
      </c>
    </row>
    <row r="197" ht="11.5" customHeight="1">
      <c r="A197" s="774"/>
      <c r="B197" s="774"/>
      <c r="C197" s="774"/>
      <c r="D197" s="774"/>
      <c r="E197" s="774"/>
      <c r="F197" s="50"/>
      <c r="H197" s="50"/>
      <c r="N197" s="50"/>
      <c r="P197" s="50"/>
      <c r="S197" s="50"/>
      <c r="T197" s="50"/>
      <c r="U197" s="50"/>
      <c r="V197" s="50"/>
      <c r="X197" s="50"/>
      <c r="Y197" s="50"/>
      <c r="Z197" s="50"/>
      <c r="AA197" s="50"/>
      <c r="AB197" s="50"/>
      <c r="AC197" s="50"/>
      <c r="AD197" s="50"/>
      <c r="AE197" s="50"/>
      <c r="AF197" s="50"/>
      <c r="AG197" s="50"/>
      <c r="AH197" s="50"/>
      <c r="AI197" s="50"/>
      <c r="AJ197" s="50"/>
      <c r="AK197" s="50">
        <v>11</v>
      </c>
    </row>
    <row r="198" ht="11.5" customHeight="1">
      <c r="A198" s="774"/>
      <c r="B198" s="774"/>
      <c r="C198" s="774"/>
      <c r="D198" s="774"/>
      <c r="E198" s="774"/>
      <c r="F198" s="50"/>
      <c r="H198" s="50"/>
      <c r="N198" s="50"/>
      <c r="P198" s="50"/>
      <c r="S198" s="50"/>
      <c r="T198" s="50"/>
      <c r="U198" s="50"/>
      <c r="V198" s="50"/>
      <c r="X198" s="50"/>
      <c r="Y198" s="50"/>
      <c r="Z198" s="50"/>
      <c r="AA198" s="50"/>
      <c r="AB198" s="50"/>
      <c r="AC198" s="50"/>
      <c r="AD198" s="50"/>
      <c r="AE198" s="50"/>
      <c r="AF198" s="50"/>
      <c r="AG198" s="50"/>
      <c r="AH198" s="50"/>
      <c r="AI198" s="50"/>
      <c r="AJ198" s="50"/>
      <c r="AK198" s="50">
        <v>11</v>
      </c>
    </row>
    <row r="199" ht="11.5" customHeight="1">
      <c r="A199" s="774"/>
      <c r="B199" s="774"/>
      <c r="C199" s="774"/>
      <c r="D199" s="774"/>
      <c r="E199" s="774"/>
      <c r="F199" s="50"/>
      <c r="H199" s="50"/>
      <c r="N199" s="50"/>
      <c r="P199" s="50"/>
      <c r="S199" s="50"/>
      <c r="T199" s="50"/>
      <c r="U199" s="50"/>
      <c r="V199" s="50"/>
      <c r="X199" s="50"/>
      <c r="Y199" s="50"/>
      <c r="Z199" s="50"/>
      <c r="AA199" s="50"/>
      <c r="AB199" s="50"/>
      <c r="AC199" s="50"/>
      <c r="AD199" s="50"/>
      <c r="AE199" s="50"/>
      <c r="AF199" s="50"/>
      <c r="AG199" s="50"/>
      <c r="AH199" s="50"/>
      <c r="AI199" s="50"/>
      <c r="AJ199" s="50"/>
      <c r="AK199" s="50">
        <v>11</v>
      </c>
    </row>
    <row r="200" ht="11.5" customHeight="1">
      <c r="A200" s="774"/>
      <c r="B200" s="774"/>
      <c r="C200" s="774"/>
      <c r="D200" s="774"/>
      <c r="E200" s="774"/>
      <c r="F200" s="50"/>
      <c r="H200" s="50"/>
      <c r="N200" s="50"/>
      <c r="P200" s="50"/>
      <c r="S200" s="50"/>
      <c r="T200" s="50"/>
      <c r="U200" s="50"/>
      <c r="V200" s="50"/>
      <c r="X200" s="50"/>
      <c r="Y200" s="50"/>
      <c r="Z200" s="50"/>
      <c r="AA200" s="50"/>
      <c r="AB200" s="50"/>
      <c r="AC200" s="50"/>
      <c r="AD200" s="50"/>
      <c r="AE200" s="50"/>
      <c r="AF200" s="50"/>
      <c r="AG200" s="50"/>
      <c r="AH200" s="50"/>
      <c r="AI200" s="50"/>
      <c r="AJ200" s="50"/>
      <c r="AK200" s="50">
        <v>11</v>
      </c>
    </row>
    <row r="201" ht="11.5" customHeight="1">
      <c r="A201" s="774"/>
      <c r="B201" s="774"/>
      <c r="C201" s="774"/>
      <c r="D201" s="774"/>
      <c r="E201" s="774"/>
      <c r="F201" s="50"/>
      <c r="H201" s="50"/>
      <c r="N201" s="50"/>
      <c r="P201" s="50"/>
      <c r="S201" s="50"/>
      <c r="T201" s="50"/>
      <c r="U201" s="50"/>
      <c r="V201" s="50"/>
      <c r="X201" s="50"/>
      <c r="Y201" s="50"/>
      <c r="Z201" s="50"/>
      <c r="AA201" s="50"/>
      <c r="AB201" s="50"/>
      <c r="AC201" s="50"/>
      <c r="AD201" s="50"/>
      <c r="AE201" s="50"/>
      <c r="AF201" s="50"/>
      <c r="AG201" s="50"/>
      <c r="AH201" s="50"/>
      <c r="AI201" s="50"/>
      <c r="AJ201" s="50"/>
      <c r="AK201" s="50">
        <v>11</v>
      </c>
    </row>
    <row r="202" ht="11.5" customHeight="1">
      <c r="A202" s="774"/>
      <c r="B202" s="774"/>
      <c r="C202" s="774"/>
      <c r="D202" s="774"/>
      <c r="E202" s="774"/>
      <c r="F202" s="50"/>
      <c r="H202" s="50"/>
      <c r="N202" s="50"/>
      <c r="P202" s="50"/>
      <c r="S202" s="50"/>
      <c r="T202" s="50"/>
      <c r="U202" s="50"/>
      <c r="V202" s="50"/>
      <c r="X202" s="50"/>
      <c r="Y202" s="50"/>
      <c r="Z202" s="50"/>
      <c r="AA202" s="50"/>
      <c r="AB202" s="50"/>
      <c r="AC202" s="50"/>
      <c r="AD202" s="50"/>
      <c r="AE202" s="50"/>
      <c r="AF202" s="50"/>
      <c r="AG202" s="50"/>
      <c r="AH202" s="50"/>
      <c r="AI202" s="50"/>
      <c r="AJ202" s="50"/>
      <c r="AK202" s="50">
        <v>11</v>
      </c>
    </row>
    <row r="203" ht="11.5" customHeight="1">
      <c r="A203" s="774"/>
      <c r="B203" s="774"/>
      <c r="C203" s="774"/>
      <c r="D203" s="774"/>
      <c r="E203" s="774"/>
      <c r="F203" s="50"/>
      <c r="H203" s="50"/>
      <c r="N203" s="50"/>
      <c r="P203" s="50"/>
      <c r="S203" s="50"/>
      <c r="T203" s="50"/>
      <c r="U203" s="50"/>
      <c r="V203" s="50"/>
      <c r="X203" s="50"/>
      <c r="Y203" s="50"/>
      <c r="Z203" s="50"/>
      <c r="AA203" s="50"/>
      <c r="AB203" s="50"/>
      <c r="AC203" s="50"/>
      <c r="AD203" s="50"/>
      <c r="AE203" s="50"/>
      <c r="AF203" s="50"/>
      <c r="AG203" s="50"/>
      <c r="AH203" s="50"/>
      <c r="AI203" s="50"/>
      <c r="AJ203" s="50"/>
      <c r="AK203" s="50">
        <v>11</v>
      </c>
    </row>
    <row r="204" ht="12.75" hidden="1" customHeight="1">
      <c r="A204" s="706" t="s">
        <v>81</v>
      </c>
      <c r="B204" s="706" t="s">
        <v>145</v>
      </c>
      <c r="C204" s="706" t="s">
        <v>145</v>
      </c>
      <c r="D204" s="706" t="s">
        <v>145</v>
      </c>
      <c r="E204" s="706" t="s">
        <v>145</v>
      </c>
      <c r="F204" s="50">
        <v>16</v>
      </c>
      <c r="G204" s="57">
        <v>0</v>
      </c>
      <c r="H204" s="50">
        <v>3</v>
      </c>
      <c r="I204" s="50">
        <v>7</v>
      </c>
      <c r="J204" s="50">
        <v>56</v>
      </c>
      <c r="K204" s="50">
        <v>10</v>
      </c>
      <c r="L204" s="50">
        <v>40</v>
      </c>
      <c r="M204" s="50">
        <v>40</v>
      </c>
      <c r="N204" s="53">
        <v>9</v>
      </c>
      <c r="O204" s="50">
        <v>102</v>
      </c>
      <c r="P204" s="53">
        <v>9</v>
      </c>
      <c r="Q204" s="57">
        <v>5</v>
      </c>
      <c r="R204" s="57">
        <v>3</v>
      </c>
      <c r="S204" s="53">
        <v>3</v>
      </c>
      <c r="T204" s="53">
        <v>3</v>
      </c>
      <c r="U204" s="53">
        <v>3</v>
      </c>
      <c r="V204" s="53">
        <v>3</v>
      </c>
      <c r="W204" s="57">
        <v>10</v>
      </c>
      <c r="X204" s="53">
        <v>34</v>
      </c>
      <c r="Y204" s="53">
        <v>9</v>
      </c>
      <c r="Z204" s="707">
        <v>8</v>
      </c>
      <c r="AA204" s="53">
        <v>8</v>
      </c>
      <c r="AB204" s="53">
        <v>8</v>
      </c>
      <c r="AC204" s="53">
        <v>8</v>
      </c>
      <c r="AD204" s="53">
        <v>8</v>
      </c>
      <c r="AE204" s="53">
        <v>8</v>
      </c>
      <c r="AF204" s="56">
        <v>8</v>
      </c>
      <c r="AG204" s="56">
        <v>8</v>
      </c>
      <c r="AH204" s="56">
        <v>8</v>
      </c>
      <c r="AI204" s="56">
        <v>8</v>
      </c>
      <c r="AJ204" s="56">
        <v>8</v>
      </c>
      <c r="AK204" s="50">
        <v>11</v>
      </c>
    </row>
  </sheetData>
  <sheetProtection autoFilter="0" deleteColumns="1" deleteRows="1" formatCells="1" formatColumns="1" formatRows="1" insertColumns="1" insertHyperlinks="1" insertRows="1" objects="0" pivotTables="1" scenarios="0" selectLockedCells="0" selectUnlockedCells="0" sheet="1" sort="1"/>
  <mergeCells count="7">
    <mergeCell ref="I6:M6"/>
    <mergeCell ref="I7:M7"/>
    <mergeCell ref="J10:K10"/>
    <mergeCell ref="O10:O14"/>
    <mergeCell ref="J11:K11"/>
    <mergeCell ref="J12:K12"/>
    <mergeCell ref="I13:K13"/>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350025-00A1-4B08-9C04-008200A3004B}"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L32:M33 L19:M29 L16:M16 L2:M2</xm:sqref>
        </x14:dataValidation>
        <x14:dataValidation xr:uid="{00A50089-007A-4194-A1AB-002E001F0087}" type="textLength" allowBlank="1" error="Допускается ввод не более 900 символов!" errorStyle="stop" errorTitle="Ошибка" imeMode="noControl" operator="lessThanOrEqual" prompt="Введите наименование прочих расходов" showDropDown="0" showErrorMessage="1" showInputMessage="1">
          <x14:formula1>
            <xm:f>900</xm:f>
          </x14:formula1>
          <xm:sqref>L17:M17</xm:sqref>
        </x14:dataValidation>
        <x14:dataValidation xr:uid="{006C00D8-00C5-41C3-92DA-003000C500E3}"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L30:M31</xm:sqref>
        </x14:dataValidation>
        <x14:dataValidation xr:uid="{004C0037-00D2-4301-A286-0042009800BA}"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L15:M15 L34:M34</xm:sqref>
        </x14:dataValidation>
      </x14:dataValidations>
    </ext>
  </extLst>
</worksheet>
</file>

<file path=xl/worksheets/sheet3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zoomScale="90" workbookViewId="0">
      <pane xSplit="11" ySplit="9" topLeftCell="L10" activePane="bottomRight" state="frozen"/>
      <selection activeCell="A1" activeCellId="0" sqref="A1"/>
    </sheetView>
  </sheetViews>
  <sheetFormatPr defaultColWidth="10.57421875" defaultRowHeight="14.25" customHeight="1"/>
  <cols>
    <col hidden="1" min="1" max="4" style="50" width="10.57421875"/>
    <col customWidth="1" hidden="1" min="5" max="5" style="60" width="9.140625"/>
    <col customWidth="1" hidden="1" min="6" max="7" style="53" width="9.140625"/>
    <col customWidth="1" min="8" max="8" style="479" width="3.00390625"/>
    <col customWidth="1" min="9" max="9" style="50" width="6.00390625"/>
    <col customWidth="1" min="10" max="10" style="50" width="63.00390625"/>
    <col customWidth="1" min="11" max="11" style="50" width="9.00390625"/>
    <col customWidth="1" min="12" max="12" style="50" width="39.00390625"/>
    <col customWidth="1" min="13" max="13" style="50" width="89.00390625"/>
    <col customWidth="1" min="14" max="14" style="50" width="10.00390625"/>
    <col customWidth="1" min="15" max="16" style="130" width="10.00390625"/>
    <col customWidth="1" min="17" max="22" style="50" width="10.00390625"/>
    <col hidden="1" min="23" max="23" style="50" width="10.57421875"/>
  </cols>
  <sheetData>
    <row r="1" ht="22.5" hidden="1" customHeight="1">
      <c r="S1" s="821"/>
      <c r="T1" s="821"/>
      <c r="V1" s="821"/>
      <c r="W1" s="50" t="s">
        <v>14</v>
      </c>
    </row>
    <row r="2" ht="22.5" hidden="1" customHeight="1">
      <c r="B2" s="802" t="s">
        <v>681</v>
      </c>
      <c r="C2" s="802" t="s">
        <v>682</v>
      </c>
      <c r="D2" s="803" t="s">
        <v>621</v>
      </c>
      <c r="E2" s="804">
        <f>I2-3</f>
        <v>-3</v>
      </c>
      <c r="F2" s="804">
        <f>J2</f>
        <v>0</v>
      </c>
      <c r="H2" s="822" t="s">
        <v>683</v>
      </c>
      <c r="I2" s="345"/>
      <c r="J2" s="383"/>
      <c r="K2" s="146" t="s">
        <v>300</v>
      </c>
      <c r="L2" s="471"/>
      <c r="M2" s="823"/>
      <c r="N2" s="130"/>
      <c r="P2" s="50"/>
      <c r="W2" s="50">
        <v>0</v>
      </c>
    </row>
    <row r="3" ht="14.25" hidden="1" customHeight="1">
      <c r="W3" s="50">
        <v>0</v>
      </c>
    </row>
    <row r="4" ht="6.2999999999999998" customHeight="1">
      <c r="H4" s="540"/>
      <c r="I4" s="91"/>
      <c r="J4" s="91"/>
      <c r="K4" s="91"/>
      <c r="L4" s="824"/>
      <c r="M4" s="824"/>
      <c r="W4" s="50">
        <v>6</v>
      </c>
    </row>
    <row r="5" ht="50.25" customHeight="1">
      <c r="H5" s="540"/>
      <c r="I5" s="453" t="s">
        <v>684</v>
      </c>
      <c r="J5" s="453"/>
      <c r="K5" s="453"/>
      <c r="L5" s="453"/>
      <c r="M5" s="240"/>
      <c r="W5" s="50">
        <v>48</v>
      </c>
    </row>
    <row r="6" ht="18" customHeight="1">
      <c r="H6" s="540"/>
      <c r="I6" s="304" t="str">
        <f>IF(org=0,"Не определено",org)</f>
        <v xml:space="preserve">АО "ДГК" СП "Биробиджанская ТЭЦ"</v>
      </c>
      <c r="J6" s="304"/>
      <c r="K6" s="304"/>
      <c r="L6" s="304"/>
      <c r="M6" s="240"/>
      <c r="W6" s="50">
        <v>17</v>
      </c>
    </row>
    <row r="7" ht="14.65" customHeight="1">
      <c r="H7" s="540"/>
      <c r="I7" s="91"/>
      <c r="J7" s="83"/>
      <c r="K7" s="83"/>
      <c r="L7" s="342"/>
      <c r="M7" s="825"/>
      <c r="W7" s="50">
        <v>14</v>
      </c>
    </row>
    <row r="8" ht="14.65" customHeight="1">
      <c r="H8" s="540"/>
      <c r="I8" s="826" t="s">
        <v>294</v>
      </c>
      <c r="J8" s="827"/>
      <c r="K8" s="827"/>
      <c r="L8" s="828"/>
      <c r="M8" s="829" t="s">
        <v>295</v>
      </c>
      <c r="W8" s="50">
        <v>14</v>
      </c>
    </row>
    <row r="9" ht="35.649999999999999" customHeight="1">
      <c r="E9" s="805" t="s">
        <v>612</v>
      </c>
      <c r="F9" s="805" t="s">
        <v>618</v>
      </c>
      <c r="H9" s="540"/>
      <c r="I9" s="348" t="s">
        <v>87</v>
      </c>
      <c r="J9" s="247" t="s">
        <v>296</v>
      </c>
      <c r="K9" s="416" t="s">
        <v>560</v>
      </c>
      <c r="L9" s="247" t="s">
        <v>297</v>
      </c>
      <c r="M9" s="829"/>
      <c r="W9" s="50">
        <v>34</v>
      </c>
    </row>
    <row r="10" ht="35.649999999999999" customHeight="1">
      <c r="B10" s="802" t="s">
        <v>685</v>
      </c>
      <c r="C10" s="802" t="s">
        <v>686</v>
      </c>
      <c r="D10" s="803" t="s">
        <v>621</v>
      </c>
      <c r="E10" s="804" t="s">
        <v>622</v>
      </c>
      <c r="F10" s="804" t="s">
        <v>622</v>
      </c>
      <c r="H10" s="540"/>
      <c r="I10" s="345" t="s">
        <v>105</v>
      </c>
      <c r="J10" s="830" t="s">
        <v>687</v>
      </c>
      <c r="K10" s="146" t="s">
        <v>300</v>
      </c>
      <c r="L10" s="759"/>
      <c r="M10" s="823" t="s">
        <v>688</v>
      </c>
      <c r="W10" s="50">
        <v>34</v>
      </c>
    </row>
    <row r="11" ht="50.25" customHeight="1">
      <c r="B11" s="802" t="s">
        <v>689</v>
      </c>
      <c r="C11" s="802" t="s">
        <v>690</v>
      </c>
      <c r="D11" s="803" t="s">
        <v>621</v>
      </c>
      <c r="E11" s="804" t="s">
        <v>622</v>
      </c>
      <c r="F11" s="804" t="s">
        <v>622</v>
      </c>
      <c r="H11" s="540"/>
      <c r="I11" s="345" t="s">
        <v>106</v>
      </c>
      <c r="J11" s="830" t="s">
        <v>691</v>
      </c>
      <c r="K11" s="146" t="s">
        <v>300</v>
      </c>
      <c r="L11" s="759"/>
      <c r="M11" s="823" t="s">
        <v>688</v>
      </c>
      <c r="W11" s="50">
        <v>48</v>
      </c>
    </row>
    <row r="12" ht="48.25" customHeight="1">
      <c r="B12" s="802" t="s">
        <v>692</v>
      </c>
      <c r="C12" s="802" t="s">
        <v>693</v>
      </c>
      <c r="D12" s="803" t="s">
        <v>621</v>
      </c>
      <c r="E12" s="804" t="s">
        <v>622</v>
      </c>
      <c r="F12" s="804" t="s">
        <v>622</v>
      </c>
      <c r="H12" s="382"/>
      <c r="I12" s="345" t="s">
        <v>89</v>
      </c>
      <c r="J12" s="831" t="s">
        <v>694</v>
      </c>
      <c r="K12" s="146" t="s">
        <v>300</v>
      </c>
      <c r="L12" s="759"/>
      <c r="M12" s="823" t="s">
        <v>695</v>
      </c>
      <c r="N12" s="130"/>
      <c r="P12" s="50"/>
      <c r="W12" s="50">
        <v>46</v>
      </c>
    </row>
    <row r="13" ht="14.65" customHeight="1">
      <c r="E13" s="144"/>
      <c r="H13" s="540"/>
      <c r="I13" s="832"/>
      <c r="J13" s="178" t="s">
        <v>696</v>
      </c>
      <c r="K13" s="236"/>
      <c r="L13" s="833"/>
      <c r="M13" s="823"/>
      <c r="W13" s="50">
        <v>14</v>
      </c>
    </row>
    <row r="14" ht="14.65" customHeight="1">
      <c r="E14" s="144"/>
      <c r="H14" s="540"/>
      <c r="I14" s="776"/>
      <c r="J14" s="834"/>
      <c r="K14" s="835"/>
      <c r="L14" s="836"/>
      <c r="M14" s="575"/>
      <c r="W14" s="50">
        <v>14</v>
      </c>
    </row>
    <row r="15" ht="14.65" customHeight="1">
      <c r="I15" s="477"/>
      <c r="J15" s="575"/>
      <c r="K15" s="575"/>
      <c r="L15" s="575"/>
      <c r="M15" s="575"/>
      <c r="W15" s="50">
        <v>14</v>
      </c>
    </row>
    <row r="16" ht="21" hidden="1" customHeight="1">
      <c r="A16" s="60" t="s">
        <v>81</v>
      </c>
      <c r="B16" s="50">
        <v>9</v>
      </c>
      <c r="C16" s="50">
        <v>9</v>
      </c>
      <c r="D16" s="50">
        <v>9</v>
      </c>
      <c r="E16" s="60" t="s">
        <v>144</v>
      </c>
      <c r="F16" s="60" t="s">
        <v>144</v>
      </c>
      <c r="G16" s="60"/>
      <c r="H16" s="479">
        <v>3</v>
      </c>
      <c r="I16" s="50">
        <v>6</v>
      </c>
      <c r="J16" s="50">
        <v>63</v>
      </c>
      <c r="K16" s="50">
        <v>9</v>
      </c>
      <c r="L16" s="50">
        <v>39</v>
      </c>
      <c r="M16" s="50">
        <v>89</v>
      </c>
      <c r="N16" s="50">
        <v>10</v>
      </c>
      <c r="O16" s="130">
        <v>10</v>
      </c>
      <c r="P16" s="130">
        <v>10</v>
      </c>
      <c r="Q16" s="50">
        <v>10</v>
      </c>
      <c r="R16" s="50">
        <v>10</v>
      </c>
      <c r="S16" s="50">
        <v>10</v>
      </c>
      <c r="T16" s="50">
        <v>10</v>
      </c>
      <c r="U16" s="50">
        <v>10</v>
      </c>
      <c r="V16" s="50">
        <v>10</v>
      </c>
      <c r="W16" s="50">
        <v>23</v>
      </c>
    </row>
  </sheetData>
  <sheetProtection autoFilter="0" deleteColumns="1" deleteRows="1" formatCells="1" formatColumns="0" formatRows="0" insertColumns="1" insertHyperlinks="1" insertRows="1" objects="0" pivotTables="1" scenarios="0" selectLockedCells="0" selectUnlockedCells="0" sheet="1" sort="1"/>
  <mergeCells count="5">
    <mergeCell ref="I5:L5"/>
    <mergeCell ref="I6:L6"/>
    <mergeCell ref="I8:L8"/>
    <mergeCell ref="M8:M9"/>
    <mergeCell ref="J15:M15"/>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E200B2-0067-4E5A-8B21-004200B90075}" type="textLength" allowBlank="1" error="Допускается ввод не более 900 символов!" errorStyle="stop" errorTitle="Ошибка" imeMode="noControl" operator="lessThanOrEqual" showDropDown="0" showErrorMessage="1" showInputMessage="1">
          <x14:formula1>
            <xm:f>900</xm:f>
          </x14:formula1>
          <xm:sqref>M10 J2</xm:sqref>
        </x14:dataValidation>
        <x14:dataValidation xr:uid="{003E00BF-00A9-4F5A-AC6B-002000E00086}"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howDropDown="0" showErrorMessage="1" showInputMessage="1">
          <x14:formula1>
            <xm:f>900</xm:f>
          </x14:formula1>
          <xm:sqref>L2 L10:L12</xm:sqref>
        </x14:dataValidation>
      </x14:dataValidations>
    </ext>
  </extLst>
</worksheet>
</file>

<file path=xl/worksheets/sheet3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zoomScale="90" workbookViewId="0">
      <pane xSplit="8" ySplit="14" topLeftCell="I15" activePane="bottomRight" state="frozen"/>
      <selection activeCell="A1" activeCellId="0" sqref="A1"/>
    </sheetView>
  </sheetViews>
  <sheetFormatPr defaultColWidth="9.140625" defaultRowHeight="11.25" customHeight="1"/>
  <cols>
    <col customWidth="1" hidden="1" min="1" max="1" style="706" width="10.7109375"/>
    <col customWidth="1" hidden="1" min="2" max="2" style="53" width="16.8515625"/>
    <col customWidth="1" hidden="1" min="3" max="3" style="57" width="5.57421875"/>
    <col customWidth="1" min="4" max="4" style="50" width="3.00390625"/>
    <col customWidth="1" min="5" max="5" style="50" width="7.00390625"/>
    <col customWidth="1" min="6" max="6" style="50" width="56.00390625"/>
    <col customWidth="1" min="7" max="7" style="50" width="10.00390625"/>
    <col customWidth="1" hidden="1" min="8" max="8" style="50" width="40.7109375"/>
    <col customWidth="1" min="9" max="9" style="50" width="40.00390625"/>
    <col customWidth="1" min="10" max="10" style="50" width="102.00390625"/>
    <col customWidth="1" min="11" max="11" style="53" width="9.00390625"/>
    <col customWidth="1" min="12" max="12" style="57" width="5.00390625"/>
    <col customWidth="1" min="13" max="13" style="57" width="3.00390625"/>
    <col customWidth="1" min="14" max="17" style="53" width="3.00390625"/>
    <col customWidth="1" min="18" max="18" style="57" width="10.00390625"/>
    <col customWidth="1" min="19" max="19" style="53" width="34.00390625"/>
    <col customWidth="1" min="20" max="20" style="53" width="9.00390625"/>
    <col customWidth="1" min="21" max="21" style="707" width="8.00390625"/>
    <col customWidth="1" min="22" max="26" style="53" width="8.00390625"/>
    <col customWidth="1" min="27" max="31" style="56" width="8.00390625"/>
    <col customWidth="1" hidden="1" min="32" max="32" style="50" width="10.421875"/>
  </cols>
  <sheetData>
    <row r="1" s="53" customFormat="1" ht="22.5" hidden="1" customHeight="1">
      <c r="A1" s="706"/>
      <c r="C1" s="57"/>
      <c r="D1" s="53"/>
      <c r="H1" s="53">
        <v>4</v>
      </c>
      <c r="I1" s="53">
        <v>4</v>
      </c>
      <c r="L1" s="57"/>
      <c r="M1" s="57"/>
      <c r="R1" s="57"/>
      <c r="AF1" s="53" t="s">
        <v>14</v>
      </c>
    </row>
    <row r="2" s="53" customFormat="1" ht="22.5" hidden="1" customHeight="1">
      <c r="A2" s="706"/>
      <c r="C2" s="57"/>
      <c r="D2" s="716"/>
      <c r="E2" s="158"/>
      <c r="F2" s="160"/>
      <c r="G2" s="158" t="s">
        <v>546</v>
      </c>
      <c r="H2" s="508"/>
      <c r="I2" s="508"/>
      <c r="J2" s="717" t="s">
        <v>697</v>
      </c>
      <c r="K2" s="710"/>
      <c r="L2" s="57"/>
      <c r="M2" s="57"/>
      <c r="R2" s="57"/>
      <c r="U2" s="707"/>
      <c r="AA2" s="56"/>
      <c r="AB2" s="56"/>
      <c r="AC2" s="56"/>
      <c r="AD2" s="56"/>
      <c r="AE2" s="56"/>
      <c r="AF2" s="53">
        <v>0</v>
      </c>
    </row>
    <row r="3" ht="11.25" hidden="1" customHeight="1">
      <c r="AF3" s="50">
        <v>0</v>
      </c>
    </row>
    <row r="4" s="56" customFormat="1" ht="11.25" hidden="1" customHeight="1">
      <c r="A4" s="706"/>
      <c r="B4" s="53"/>
      <c r="C4" s="57"/>
      <c r="D4" s="56"/>
      <c r="J4" s="56">
        <v>4</v>
      </c>
      <c r="K4" s="53"/>
      <c r="L4" s="57"/>
      <c r="M4" s="57"/>
      <c r="N4" s="53"/>
      <c r="O4" s="53"/>
      <c r="P4" s="53"/>
      <c r="Q4" s="53"/>
      <c r="R4" s="57"/>
      <c r="S4" s="53"/>
      <c r="T4" s="53"/>
      <c r="U4" s="707"/>
      <c r="V4" s="53"/>
      <c r="W4" s="53"/>
      <c r="X4" s="53"/>
      <c r="Y4" s="53"/>
      <c r="Z4" s="53"/>
      <c r="AF4" s="56">
        <v>0</v>
      </c>
    </row>
    <row r="5" ht="11.5" customHeight="1">
      <c r="AF5" s="50">
        <v>11</v>
      </c>
    </row>
    <row r="6" ht="31.5" customHeight="1">
      <c r="E6" s="299" t="s">
        <v>698</v>
      </c>
      <c r="F6" s="299"/>
      <c r="G6" s="299"/>
      <c r="H6" s="299"/>
      <c r="I6" s="299"/>
      <c r="J6" s="241"/>
      <c r="AF6" s="50">
        <v>30</v>
      </c>
    </row>
    <row r="7" ht="11.5" customHeight="1">
      <c r="E7" s="304" t="str">
        <f>IF(org=0,"Не определено",org)</f>
        <v xml:space="preserve">АО "ДГК" СП "Биробиджанская ТЭЦ"</v>
      </c>
      <c r="F7" s="304"/>
      <c r="G7" s="304"/>
      <c r="H7" s="304"/>
      <c r="I7" s="304"/>
      <c r="AF7" s="50">
        <v>11</v>
      </c>
    </row>
    <row r="8" ht="11.5" customHeight="1">
      <c r="E8" s="720"/>
      <c r="F8" s="720"/>
      <c r="G8" s="720"/>
      <c r="H8" s="720"/>
      <c r="I8" s="720"/>
      <c r="AF8" s="50">
        <v>11</v>
      </c>
    </row>
    <row r="9" s="57" customFormat="1" ht="4.2000000000000002" customHeight="1">
      <c r="A9" s="532"/>
      <c r="D9" s="57"/>
      <c r="H9" s="721"/>
      <c r="I9" s="721" t="s">
        <v>113</v>
      </c>
      <c r="AF9" s="57">
        <v>4</v>
      </c>
    </row>
    <row r="10" ht="11.5" customHeight="1">
      <c r="E10" s="722"/>
      <c r="F10" s="723" t="s">
        <v>101</v>
      </c>
      <c r="G10" s="724"/>
      <c r="H10" s="725" t="str">
        <f>IF(H9="","",INDEX(DIFFERENTIATION_UNMERGE_VD,MATCH(H9,DIFFERENTIATION_ID_DIFF,0)))</f>
        <v/>
      </c>
      <c r="I10" s="725">
        <f>IF(I9="","",INDEX(DIFFERENTIATION_UNMERGE_VD,MATCH(I9,DIFFERENTIATION_ID_DIFF,0)))</f>
        <v>0</v>
      </c>
      <c r="J10" s="158"/>
      <c r="AF10" s="50">
        <v>11</v>
      </c>
    </row>
    <row r="11" ht="11.5" customHeight="1">
      <c r="E11" s="722"/>
      <c r="F11" s="723" t="s">
        <v>558</v>
      </c>
      <c r="G11" s="724"/>
      <c r="H11" s="725" t="str">
        <f>IF(H9="","",INDEX(DIFFERENTIATION_UNMERGE_AREA,MATCH(H9,DIFFERENTIATION_ID_DIFF,0)))</f>
        <v/>
      </c>
      <c r="I11" s="725" t="str">
        <f>IF(I9="","",INDEX(DIFFERENTIATION_UNMERGE_AREA,MATCH(I9,DIFFERENTIATION_ID_DIFF,0)))</f>
        <v/>
      </c>
      <c r="J11" s="158"/>
      <c r="AF11" s="50">
        <v>11</v>
      </c>
    </row>
    <row r="12" ht="1.05" customHeight="1">
      <c r="E12" s="807"/>
      <c r="F12" s="837" t="s">
        <v>559</v>
      </c>
      <c r="G12" s="838"/>
      <c r="H12" s="839" t="str">
        <f>IF(H9="","",INDEX(DIFFERENTIATION_UNMERGE_SYSTEM,MATCH(H9,DIFFERENTIATION_ID_DIFF,0)))</f>
        <v/>
      </c>
      <c r="I12" s="839" t="str">
        <f>IF(I9="","",INDEX(DIFFERENTIATION_UNMERGE_SYSTEM,MATCH(I9,DIFFERENTIATION_ID_DIFF,0)))</f>
        <v xml:space="preserve">без дифференциации</v>
      </c>
      <c r="J12" s="158"/>
      <c r="AF12" s="50">
        <v>1</v>
      </c>
    </row>
    <row r="13" ht="11.5" customHeight="1">
      <c r="E13" s="726" t="s">
        <v>294</v>
      </c>
      <c r="F13" s="727"/>
      <c r="G13" s="727"/>
      <c r="H13" s="723"/>
      <c r="I13" s="723"/>
      <c r="J13" s="158"/>
      <c r="AF13" s="50">
        <v>11</v>
      </c>
    </row>
    <row r="14" ht="24" customHeight="1">
      <c r="E14" s="158" t="s">
        <v>87</v>
      </c>
      <c r="F14" s="158" t="s">
        <v>296</v>
      </c>
      <c r="G14" s="158" t="s">
        <v>560</v>
      </c>
      <c r="H14" s="158" t="s">
        <v>297</v>
      </c>
      <c r="I14" s="158" t="s">
        <v>297</v>
      </c>
      <c r="J14" s="158"/>
      <c r="AF14" s="50">
        <v>23</v>
      </c>
    </row>
    <row r="15" ht="19.949999999999999" customHeight="1">
      <c r="D15" s="126"/>
      <c r="E15" s="810" t="s">
        <v>105</v>
      </c>
      <c r="F15" s="314" t="s">
        <v>699</v>
      </c>
      <c r="G15" s="158" t="s">
        <v>546</v>
      </c>
      <c r="H15" s="728"/>
      <c r="I15" s="728"/>
      <c r="J15" s="486" t="s">
        <v>700</v>
      </c>
      <c r="K15" s="710" t="s">
        <v>624</v>
      </c>
      <c r="AF15" s="50">
        <v>19</v>
      </c>
    </row>
    <row r="16" ht="35.649999999999999" customHeight="1">
      <c r="D16" s="126"/>
      <c r="E16" s="810" t="s">
        <v>106</v>
      </c>
      <c r="F16" s="314" t="s">
        <v>701</v>
      </c>
      <c r="G16" s="158" t="s">
        <v>546</v>
      </c>
      <c r="H16" s="729">
        <f>SUM(H17,H20:H32)</f>
        <v>0</v>
      </c>
      <c r="I16" s="729">
        <f>SUM(I17,I20,I23,I26,I29:I32)</f>
        <v>0</v>
      </c>
      <c r="J16" s="486" t="s">
        <v>702</v>
      </c>
      <c r="K16" s="710" t="s">
        <v>624</v>
      </c>
      <c r="AF16" s="50">
        <v>34</v>
      </c>
    </row>
    <row r="17" ht="19.949999999999999" customHeight="1">
      <c r="D17" s="126"/>
      <c r="E17" s="816" t="s">
        <v>703</v>
      </c>
      <c r="F17" s="674" t="s">
        <v>704</v>
      </c>
      <c r="G17" s="72" t="s">
        <v>546</v>
      </c>
      <c r="H17" s="728"/>
      <c r="I17" s="728"/>
      <c r="J17" s="486" t="s">
        <v>705</v>
      </c>
      <c r="K17" s="710"/>
      <c r="AF17" s="50">
        <v>19</v>
      </c>
    </row>
    <row r="18" ht="24" customHeight="1">
      <c r="D18" s="126"/>
      <c r="E18" s="816" t="s">
        <v>706</v>
      </c>
      <c r="F18" s="744" t="s">
        <v>707</v>
      </c>
      <c r="G18" s="72" t="s">
        <v>546</v>
      </c>
      <c r="H18" s="728"/>
      <c r="I18" s="728"/>
      <c r="J18" s="486" t="s">
        <v>708</v>
      </c>
      <c r="K18" s="710"/>
      <c r="AF18" s="50">
        <v>23</v>
      </c>
    </row>
    <row r="19" ht="35.649999999999999" customHeight="1">
      <c r="D19" s="126"/>
      <c r="E19" s="816" t="s">
        <v>709</v>
      </c>
      <c r="F19" s="744" t="s">
        <v>710</v>
      </c>
      <c r="G19" s="72" t="s">
        <v>546</v>
      </c>
      <c r="H19" s="728"/>
      <c r="I19" s="728"/>
      <c r="J19" s="486"/>
      <c r="K19" s="710"/>
      <c r="AF19" s="50">
        <v>34</v>
      </c>
    </row>
    <row r="20" ht="19.949999999999999" customHeight="1">
      <c r="D20" s="126"/>
      <c r="E20" s="816" t="s">
        <v>301</v>
      </c>
      <c r="F20" s="674" t="s">
        <v>711</v>
      </c>
      <c r="G20" s="72" t="s">
        <v>546</v>
      </c>
      <c r="H20" s="728"/>
      <c r="I20" s="728"/>
      <c r="J20" s="486" t="s">
        <v>712</v>
      </c>
      <c r="K20" s="710"/>
      <c r="AF20" s="50">
        <v>19</v>
      </c>
    </row>
    <row r="21" ht="19.949999999999999" customHeight="1">
      <c r="D21" s="126"/>
      <c r="E21" s="816" t="s">
        <v>713</v>
      </c>
      <c r="F21" s="744" t="s">
        <v>714</v>
      </c>
      <c r="G21" s="72" t="s">
        <v>546</v>
      </c>
      <c r="H21" s="728"/>
      <c r="I21" s="728"/>
      <c r="J21" s="486"/>
      <c r="K21" s="710"/>
      <c r="AF21" s="50">
        <v>19</v>
      </c>
    </row>
    <row r="22" ht="19.949999999999999" customHeight="1">
      <c r="D22" s="126"/>
      <c r="E22" s="816" t="s">
        <v>715</v>
      </c>
      <c r="F22" s="744" t="s">
        <v>716</v>
      </c>
      <c r="G22" s="72" t="s">
        <v>546</v>
      </c>
      <c r="H22" s="728"/>
      <c r="I22" s="728"/>
      <c r="J22" s="486"/>
      <c r="K22" s="710"/>
      <c r="AF22" s="50">
        <v>19</v>
      </c>
    </row>
    <row r="23" ht="24" customHeight="1">
      <c r="D23" s="126"/>
      <c r="E23" s="816" t="s">
        <v>304</v>
      </c>
      <c r="F23" s="674" t="s">
        <v>717</v>
      </c>
      <c r="G23" s="72" t="s">
        <v>546</v>
      </c>
      <c r="H23" s="728"/>
      <c r="I23" s="728"/>
      <c r="J23" s="486" t="s">
        <v>718</v>
      </c>
      <c r="K23" s="710"/>
      <c r="AF23" s="50">
        <v>23</v>
      </c>
    </row>
    <row r="24" ht="19.949999999999999" customHeight="1">
      <c r="D24" s="126"/>
      <c r="E24" s="816" t="s">
        <v>719</v>
      </c>
      <c r="F24" s="744" t="s">
        <v>720</v>
      </c>
      <c r="G24" s="72" t="s">
        <v>546</v>
      </c>
      <c r="H24" s="728"/>
      <c r="I24" s="728"/>
      <c r="J24" s="486"/>
      <c r="K24" s="710"/>
      <c r="AF24" s="50">
        <v>19</v>
      </c>
    </row>
    <row r="25" ht="35.649999999999999" customHeight="1">
      <c r="D25" s="126"/>
      <c r="E25" s="816" t="s">
        <v>721</v>
      </c>
      <c r="F25" s="744" t="s">
        <v>722</v>
      </c>
      <c r="G25" s="72" t="s">
        <v>546</v>
      </c>
      <c r="H25" s="728"/>
      <c r="I25" s="728"/>
      <c r="J25" s="486"/>
      <c r="K25" s="710"/>
      <c r="AF25" s="50">
        <v>34</v>
      </c>
    </row>
    <row r="26" ht="24" customHeight="1">
      <c r="D26" s="126"/>
      <c r="E26" s="816" t="s">
        <v>723</v>
      </c>
      <c r="F26" s="674" t="s">
        <v>724</v>
      </c>
      <c r="G26" s="72" t="s">
        <v>546</v>
      </c>
      <c r="H26" s="728"/>
      <c r="I26" s="728"/>
      <c r="J26" s="486" t="s">
        <v>725</v>
      </c>
      <c r="K26" s="710"/>
      <c r="AF26" s="50">
        <v>23</v>
      </c>
    </row>
    <row r="27" ht="19.949999999999999" customHeight="1">
      <c r="D27" s="126"/>
      <c r="E27" s="818" t="s">
        <v>726</v>
      </c>
      <c r="F27" s="744" t="s">
        <v>727</v>
      </c>
      <c r="G27" s="72" t="s">
        <v>546</v>
      </c>
      <c r="H27" s="814"/>
      <c r="I27" s="814"/>
      <c r="J27" s="486"/>
      <c r="K27" s="710"/>
      <c r="AF27" s="50">
        <v>19</v>
      </c>
    </row>
    <row r="28" ht="19.949999999999999" customHeight="1">
      <c r="D28" s="126"/>
      <c r="E28" s="818" t="s">
        <v>728</v>
      </c>
      <c r="F28" s="744" t="s">
        <v>729</v>
      </c>
      <c r="G28" s="72" t="s">
        <v>546</v>
      </c>
      <c r="H28" s="814"/>
      <c r="I28" s="814"/>
      <c r="J28" s="486"/>
      <c r="K28" s="710"/>
      <c r="AF28" s="50">
        <v>19</v>
      </c>
    </row>
    <row r="29" ht="19.949999999999999" customHeight="1">
      <c r="D29" s="126"/>
      <c r="E29" s="818" t="s">
        <v>730</v>
      </c>
      <c r="F29" s="674" t="s">
        <v>731</v>
      </c>
      <c r="G29" s="72" t="s">
        <v>546</v>
      </c>
      <c r="H29" s="814"/>
      <c r="I29" s="814"/>
      <c r="J29" s="486"/>
      <c r="K29" s="710"/>
      <c r="AF29" s="50">
        <v>19</v>
      </c>
    </row>
    <row r="30" ht="19.949999999999999" customHeight="1">
      <c r="D30" s="126"/>
      <c r="E30" s="818" t="s">
        <v>732</v>
      </c>
      <c r="F30" s="674" t="s">
        <v>733</v>
      </c>
      <c r="G30" s="72" t="s">
        <v>546</v>
      </c>
      <c r="H30" s="814"/>
      <c r="I30" s="814"/>
      <c r="J30" s="486"/>
      <c r="K30" s="710"/>
      <c r="AF30" s="50">
        <v>19</v>
      </c>
    </row>
    <row r="31" ht="19.949999999999999" customHeight="1">
      <c r="D31" s="126"/>
      <c r="E31" s="818" t="s">
        <v>734</v>
      </c>
      <c r="F31" s="674" t="s">
        <v>735</v>
      </c>
      <c r="G31" s="72" t="s">
        <v>546</v>
      </c>
      <c r="H31" s="814"/>
      <c r="I31" s="814"/>
      <c r="J31" s="486"/>
      <c r="K31" s="710"/>
      <c r="AF31" s="50">
        <v>19</v>
      </c>
    </row>
    <row r="32" s="53" customFormat="1" ht="35.649999999999999" customHeight="1">
      <c r="A32" s="706"/>
      <c r="C32" s="57"/>
      <c r="D32" s="126"/>
      <c r="E32" s="818" t="s">
        <v>736</v>
      </c>
      <c r="F32" s="674" t="s">
        <v>737</v>
      </c>
      <c r="G32" s="308" t="s">
        <v>546</v>
      </c>
      <c r="H32" s="751">
        <f>SUM(H33:H34)</f>
        <v>0</v>
      </c>
      <c r="I32" s="751">
        <f>SUM(I33:I34)</f>
        <v>0</v>
      </c>
      <c r="J32" s="486" t="s">
        <v>738</v>
      </c>
      <c r="K32" s="710"/>
      <c r="L32" s="57"/>
      <c r="M32" s="57"/>
      <c r="R32" s="57"/>
      <c r="U32" s="707"/>
      <c r="AA32" s="56"/>
      <c r="AB32" s="56"/>
      <c r="AC32" s="56"/>
      <c r="AD32" s="56"/>
      <c r="AE32" s="56"/>
      <c r="AF32" s="53">
        <v>34</v>
      </c>
    </row>
    <row r="33" s="57" customFormat="1" ht="1.05" customHeight="1">
      <c r="A33" s="532"/>
      <c r="D33" s="532"/>
      <c r="E33" s="159" t="str">
        <f>E32&amp;".0"</f>
        <v>2.8.0</v>
      </c>
      <c r="F33" s="752"/>
      <c r="G33" s="159"/>
      <c r="H33" s="753"/>
      <c r="I33" s="753"/>
      <c r="J33" s="754"/>
      <c r="AF33" s="57">
        <v>1</v>
      </c>
    </row>
    <row r="34" s="53" customFormat="1" ht="19.949999999999999" customHeight="1">
      <c r="A34" s="706"/>
      <c r="C34" s="57"/>
      <c r="D34" s="129"/>
      <c r="E34" s="741"/>
      <c r="F34" s="840" t="s">
        <v>571</v>
      </c>
      <c r="G34" s="742"/>
      <c r="H34" s="743"/>
      <c r="I34" s="743"/>
      <c r="J34" s="550" t="s">
        <v>739</v>
      </c>
      <c r="K34" s="710"/>
      <c r="L34" s="57"/>
      <c r="M34" s="57"/>
      <c r="R34" s="57"/>
      <c r="U34" s="707"/>
      <c r="AA34" s="56"/>
      <c r="AB34" s="56"/>
      <c r="AC34" s="56"/>
      <c r="AD34" s="56"/>
      <c r="AE34" s="56"/>
      <c r="AF34" s="53">
        <v>19</v>
      </c>
    </row>
    <row r="35" ht="60" customHeight="1">
      <c r="D35" s="126"/>
      <c r="E35" s="818" t="s">
        <v>740</v>
      </c>
      <c r="F35" s="674" t="s">
        <v>741</v>
      </c>
      <c r="G35" s="72" t="s">
        <v>546</v>
      </c>
      <c r="H35" s="814"/>
      <c r="I35" s="814"/>
      <c r="J35" s="486" t="s">
        <v>742</v>
      </c>
      <c r="K35" s="710"/>
      <c r="AF35" s="50">
        <v>57</v>
      </c>
    </row>
    <row r="36" s="53" customFormat="1" ht="24" customHeight="1">
      <c r="A36" s="746" t="s">
        <v>572</v>
      </c>
      <c r="C36" s="57"/>
      <c r="D36" s="126"/>
      <c r="E36" s="816" t="s">
        <v>89</v>
      </c>
      <c r="F36" s="314" t="s">
        <v>743</v>
      </c>
      <c r="G36" s="72" t="s">
        <v>546</v>
      </c>
      <c r="H36" s="728"/>
      <c r="I36" s="728"/>
      <c r="J36" s="486" t="s">
        <v>744</v>
      </c>
      <c r="K36" s="710"/>
      <c r="L36" s="57"/>
      <c r="M36" s="57"/>
      <c r="R36" s="57"/>
      <c r="U36" s="707"/>
      <c r="AA36" s="56"/>
      <c r="AB36" s="56"/>
      <c r="AC36" s="56"/>
      <c r="AD36" s="56"/>
      <c r="AE36" s="56"/>
      <c r="AF36" s="53">
        <v>23</v>
      </c>
    </row>
    <row r="37" s="53" customFormat="1" ht="35.649999999999999" customHeight="1">
      <c r="A37" s="746"/>
      <c r="C37" s="57"/>
      <c r="D37" s="126"/>
      <c r="E37" s="816" t="s">
        <v>318</v>
      </c>
      <c r="F37" s="674" t="s">
        <v>745</v>
      </c>
      <c r="G37" s="72"/>
      <c r="H37" s="728"/>
      <c r="I37" s="728"/>
      <c r="J37" s="486"/>
      <c r="K37" s="710"/>
      <c r="L37" s="57"/>
      <c r="M37" s="57"/>
      <c r="R37" s="57"/>
      <c r="U37" s="707"/>
      <c r="AA37" s="56"/>
      <c r="AB37" s="56"/>
      <c r="AC37" s="56"/>
      <c r="AD37" s="56"/>
      <c r="AE37" s="56"/>
      <c r="AF37" s="53">
        <v>34</v>
      </c>
    </row>
    <row r="38" s="53" customFormat="1" ht="19.949999999999999" customHeight="1">
      <c r="A38" s="706"/>
      <c r="C38" s="57"/>
      <c r="D38" s="747"/>
      <c r="E38" s="816" t="s">
        <v>90</v>
      </c>
      <c r="F38" s="314" t="s">
        <v>746</v>
      </c>
      <c r="G38" s="72" t="s">
        <v>546</v>
      </c>
      <c r="H38" s="728"/>
      <c r="I38" s="728"/>
      <c r="J38" s="486" t="s">
        <v>747</v>
      </c>
      <c r="K38" s="710"/>
      <c r="L38" s="57"/>
      <c r="M38" s="57"/>
      <c r="R38" s="57"/>
      <c r="U38" s="707"/>
      <c r="AA38" s="56"/>
      <c r="AB38" s="56"/>
      <c r="AC38" s="56"/>
      <c r="AD38" s="56"/>
      <c r="AE38" s="56"/>
      <c r="AF38" s="53">
        <v>19</v>
      </c>
    </row>
    <row r="39" s="53" customFormat="1" ht="24" customHeight="1">
      <c r="A39" s="706"/>
      <c r="C39" s="57"/>
      <c r="D39" s="747"/>
      <c r="E39" s="816" t="s">
        <v>748</v>
      </c>
      <c r="F39" s="674" t="s">
        <v>749</v>
      </c>
      <c r="G39" s="72" t="s">
        <v>546</v>
      </c>
      <c r="H39" s="728"/>
      <c r="I39" s="728"/>
      <c r="J39" s="486" t="s">
        <v>750</v>
      </c>
      <c r="K39" s="710"/>
      <c r="L39" s="57"/>
      <c r="M39" s="57"/>
      <c r="R39" s="57"/>
      <c r="U39" s="707"/>
      <c r="AA39" s="56"/>
      <c r="AB39" s="56"/>
      <c r="AC39" s="56"/>
      <c r="AD39" s="56"/>
      <c r="AE39" s="56"/>
      <c r="AF39" s="53">
        <v>23</v>
      </c>
    </row>
    <row r="40" s="53" customFormat="1" ht="24" customHeight="1">
      <c r="A40" s="706"/>
      <c r="C40" s="57"/>
      <c r="D40" s="126"/>
      <c r="E40" s="816" t="s">
        <v>751</v>
      </c>
      <c r="F40" s="744" t="s">
        <v>752</v>
      </c>
      <c r="G40" s="72" t="s">
        <v>546</v>
      </c>
      <c r="H40" s="728"/>
      <c r="I40" s="728"/>
      <c r="J40" s="486" t="s">
        <v>753</v>
      </c>
      <c r="K40" s="710"/>
      <c r="L40" s="57"/>
      <c r="M40" s="57"/>
      <c r="R40" s="57"/>
      <c r="U40" s="707"/>
      <c r="AA40" s="56"/>
      <c r="AB40" s="56"/>
      <c r="AC40" s="56"/>
      <c r="AD40" s="56"/>
      <c r="AE40" s="56"/>
      <c r="AF40" s="53">
        <v>23</v>
      </c>
    </row>
    <row r="41" s="53" customFormat="1" ht="24" customHeight="1">
      <c r="A41" s="706"/>
      <c r="C41" s="57"/>
      <c r="D41" s="126"/>
      <c r="E41" s="816" t="s">
        <v>754</v>
      </c>
      <c r="F41" s="744" t="s">
        <v>755</v>
      </c>
      <c r="G41" s="72" t="s">
        <v>546</v>
      </c>
      <c r="H41" s="728"/>
      <c r="I41" s="728"/>
      <c r="J41" s="486" t="s">
        <v>756</v>
      </c>
      <c r="K41" s="710"/>
      <c r="L41" s="57"/>
      <c r="M41" s="57"/>
      <c r="R41" s="57"/>
      <c r="U41" s="707"/>
      <c r="AA41" s="56"/>
      <c r="AB41" s="56"/>
      <c r="AC41" s="56"/>
      <c r="AD41" s="56"/>
      <c r="AE41" s="56"/>
      <c r="AF41" s="53">
        <v>23</v>
      </c>
    </row>
    <row r="42" s="53" customFormat="1" ht="24" customHeight="1">
      <c r="A42" s="706"/>
      <c r="C42" s="57"/>
      <c r="D42" s="126"/>
      <c r="E42" s="816" t="s">
        <v>757</v>
      </c>
      <c r="F42" s="744" t="s">
        <v>758</v>
      </c>
      <c r="G42" s="72" t="s">
        <v>546</v>
      </c>
      <c r="H42" s="728"/>
      <c r="I42" s="728"/>
      <c r="J42" s="486" t="s">
        <v>759</v>
      </c>
      <c r="K42" s="710"/>
      <c r="L42" s="57"/>
      <c r="M42" s="57"/>
      <c r="R42" s="57"/>
      <c r="U42" s="707"/>
      <c r="AA42" s="56"/>
      <c r="AB42" s="56"/>
      <c r="AC42" s="56"/>
      <c r="AD42" s="56"/>
      <c r="AE42" s="56"/>
      <c r="AF42" s="53">
        <v>23</v>
      </c>
    </row>
    <row r="43" s="53" customFormat="1" ht="35.649999999999999" customHeight="1">
      <c r="A43" s="706"/>
      <c r="C43" s="57" t="s">
        <v>582</v>
      </c>
      <c r="D43" s="126"/>
      <c r="E43" s="816" t="s">
        <v>107</v>
      </c>
      <c r="F43" s="314" t="s">
        <v>623</v>
      </c>
      <c r="G43" s="158" t="s">
        <v>760</v>
      </c>
      <c r="H43" s="759"/>
      <c r="I43" s="759"/>
      <c r="J43" s="486" t="s">
        <v>761</v>
      </c>
      <c r="K43" s="710"/>
      <c r="L43" s="57"/>
      <c r="M43" s="57"/>
      <c r="R43" s="57"/>
      <c r="U43" s="707"/>
      <c r="AA43" s="56"/>
      <c r="AB43" s="56"/>
      <c r="AC43" s="56"/>
      <c r="AD43" s="56"/>
      <c r="AE43" s="56"/>
      <c r="AF43" s="53">
        <v>34</v>
      </c>
    </row>
    <row r="44" s="53" customFormat="1" ht="35.649999999999999" customHeight="1">
      <c r="A44" s="706"/>
      <c r="C44" s="57"/>
      <c r="D44" s="126"/>
      <c r="E44" s="816" t="s">
        <v>91</v>
      </c>
      <c r="F44" s="314" t="s">
        <v>762</v>
      </c>
      <c r="G44" s="72" t="s">
        <v>763</v>
      </c>
      <c r="H44" s="718"/>
      <c r="I44" s="718"/>
      <c r="J44" s="486" t="s">
        <v>764</v>
      </c>
      <c r="K44" s="710"/>
      <c r="L44" s="57"/>
      <c r="M44" s="57"/>
      <c r="R44" s="57"/>
      <c r="U44" s="707"/>
      <c r="AA44" s="56"/>
      <c r="AB44" s="56"/>
      <c r="AC44" s="56"/>
      <c r="AD44" s="56"/>
      <c r="AE44" s="56"/>
      <c r="AF44" s="53">
        <v>34</v>
      </c>
    </row>
    <row r="45" s="53" customFormat="1" ht="24" customHeight="1">
      <c r="A45" s="706"/>
      <c r="C45" s="57"/>
      <c r="D45" s="126"/>
      <c r="E45" s="816" t="s">
        <v>92</v>
      </c>
      <c r="F45" s="314" t="s">
        <v>765</v>
      </c>
      <c r="G45" s="72" t="s">
        <v>766</v>
      </c>
      <c r="H45" s="718"/>
      <c r="I45" s="718"/>
      <c r="J45" s="486" t="s">
        <v>767</v>
      </c>
      <c r="K45" s="710"/>
      <c r="L45" s="57"/>
      <c r="M45" s="57"/>
      <c r="R45" s="57"/>
      <c r="U45" s="707"/>
      <c r="AA45" s="56"/>
      <c r="AB45" s="56"/>
      <c r="AC45" s="56"/>
      <c r="AD45" s="56"/>
      <c r="AE45" s="56"/>
      <c r="AF45" s="53">
        <v>23</v>
      </c>
    </row>
    <row r="46" s="53" customFormat="1" ht="19.949999999999999" customHeight="1">
      <c r="A46" s="706"/>
      <c r="C46" s="57"/>
      <c r="D46" s="126"/>
      <c r="E46" s="816" t="s">
        <v>108</v>
      </c>
      <c r="F46" s="314" t="s">
        <v>768</v>
      </c>
      <c r="G46" s="72" t="s">
        <v>584</v>
      </c>
      <c r="H46" s="748"/>
      <c r="I46" s="748"/>
      <c r="J46" s="486"/>
      <c r="K46" s="710"/>
      <c r="L46" s="57"/>
      <c r="M46" s="57"/>
      <c r="R46" s="57"/>
      <c r="U46" s="707"/>
      <c r="AA46" s="56"/>
      <c r="AB46" s="56"/>
      <c r="AC46" s="56"/>
      <c r="AD46" s="56"/>
      <c r="AE46" s="56"/>
      <c r="AF46" s="53">
        <v>19</v>
      </c>
    </row>
    <row r="47" ht="11.5" customHeight="1">
      <c r="D47" s="126"/>
      <c r="AF47" s="50">
        <v>11</v>
      </c>
    </row>
    <row r="48" s="132" customFormat="1" ht="11.5" customHeight="1">
      <c r="A48" s="706"/>
      <c r="B48" s="57"/>
      <c r="C48" s="57"/>
      <c r="D48" s="132"/>
      <c r="K48" s="53"/>
      <c r="L48" s="57"/>
      <c r="M48" s="57"/>
      <c r="N48" s="53"/>
      <c r="O48" s="53"/>
      <c r="P48" s="53"/>
      <c r="Q48" s="53"/>
      <c r="R48" s="57"/>
      <c r="S48" s="53"/>
      <c r="T48" s="53"/>
      <c r="U48" s="707"/>
      <c r="V48" s="53"/>
      <c r="W48" s="53"/>
      <c r="X48" s="53"/>
      <c r="Y48" s="53"/>
      <c r="Z48" s="53"/>
      <c r="AA48" s="56"/>
      <c r="AB48" s="54"/>
      <c r="AC48" s="54"/>
      <c r="AD48" s="54"/>
      <c r="AE48" s="54"/>
      <c r="AF48" s="132">
        <v>11</v>
      </c>
    </row>
    <row r="49" s="132" customFormat="1" ht="11.5" customHeight="1">
      <c r="A49" s="706"/>
      <c r="B49" s="57"/>
      <c r="C49" s="57"/>
      <c r="D49" s="132"/>
      <c r="K49" s="53"/>
      <c r="L49" s="57"/>
      <c r="M49" s="57"/>
      <c r="N49" s="53"/>
      <c r="O49" s="53"/>
      <c r="P49" s="53"/>
      <c r="Q49" s="53"/>
      <c r="R49" s="57"/>
      <c r="S49" s="53"/>
      <c r="T49" s="53"/>
      <c r="U49" s="707"/>
      <c r="V49" s="53"/>
      <c r="W49" s="53"/>
      <c r="X49" s="53"/>
      <c r="Y49" s="53"/>
      <c r="Z49" s="53"/>
      <c r="AA49" s="56"/>
      <c r="AB49" s="54"/>
      <c r="AC49" s="54"/>
      <c r="AD49" s="54"/>
      <c r="AE49" s="54"/>
      <c r="AF49" s="132">
        <v>11</v>
      </c>
    </row>
    <row r="50" s="132" customFormat="1" ht="11.5" customHeight="1">
      <c r="A50" s="706"/>
      <c r="B50" s="57"/>
      <c r="C50" s="57"/>
      <c r="D50" s="132"/>
      <c r="H50" s="54"/>
      <c r="I50" s="54"/>
      <c r="K50" s="53"/>
      <c r="L50" s="57"/>
      <c r="M50" s="57"/>
      <c r="N50" s="53"/>
      <c r="O50" s="53"/>
      <c r="P50" s="53"/>
      <c r="Q50" s="53"/>
      <c r="R50" s="57"/>
      <c r="S50" s="53"/>
      <c r="T50" s="53"/>
      <c r="U50" s="707"/>
      <c r="V50" s="53"/>
      <c r="W50" s="53"/>
      <c r="X50" s="53"/>
      <c r="Y50" s="53"/>
      <c r="Z50" s="53"/>
      <c r="AA50" s="56"/>
      <c r="AB50" s="54"/>
      <c r="AC50" s="54"/>
      <c r="AD50" s="54"/>
      <c r="AE50" s="54"/>
      <c r="AF50" s="132">
        <v>11</v>
      </c>
    </row>
    <row r="51" s="132" customFormat="1" ht="11.5" customHeight="1">
      <c r="A51" s="706"/>
      <c r="B51" s="57"/>
      <c r="C51" s="57"/>
      <c r="D51" s="132"/>
      <c r="K51" s="53"/>
      <c r="L51" s="57"/>
      <c r="M51" s="57"/>
      <c r="N51" s="53"/>
      <c r="O51" s="53"/>
      <c r="P51" s="53"/>
      <c r="Q51" s="53"/>
      <c r="R51" s="57"/>
      <c r="S51" s="53"/>
      <c r="T51" s="53"/>
      <c r="U51" s="707"/>
      <c r="V51" s="53"/>
      <c r="W51" s="53"/>
      <c r="X51" s="53"/>
      <c r="Y51" s="53"/>
      <c r="Z51" s="53"/>
      <c r="AA51" s="56"/>
      <c r="AB51" s="54"/>
      <c r="AC51" s="54"/>
      <c r="AD51" s="54"/>
      <c r="AE51" s="54"/>
      <c r="AF51" s="132">
        <v>11</v>
      </c>
    </row>
    <row r="52" s="132" customFormat="1" ht="11.5" customHeight="1">
      <c r="A52" s="706"/>
      <c r="B52" s="57"/>
      <c r="C52" s="57"/>
      <c r="D52" s="132"/>
      <c r="K52" s="53"/>
      <c r="L52" s="57"/>
      <c r="M52" s="57"/>
      <c r="N52" s="53"/>
      <c r="O52" s="53"/>
      <c r="P52" s="53"/>
      <c r="Q52" s="53"/>
      <c r="R52" s="57"/>
      <c r="S52" s="53"/>
      <c r="T52" s="53"/>
      <c r="U52" s="707"/>
      <c r="V52" s="53"/>
      <c r="W52" s="53"/>
      <c r="X52" s="53"/>
      <c r="Y52" s="53"/>
      <c r="Z52" s="53"/>
      <c r="AA52" s="56"/>
      <c r="AB52" s="54"/>
      <c r="AC52" s="54"/>
      <c r="AD52" s="54"/>
      <c r="AE52" s="54"/>
      <c r="AF52" s="132">
        <v>11</v>
      </c>
    </row>
    <row r="53" s="132" customFormat="1" ht="11.5" customHeight="1">
      <c r="A53" s="706"/>
      <c r="B53" s="57"/>
      <c r="C53" s="57"/>
      <c r="D53" s="132"/>
      <c r="K53" s="53"/>
      <c r="L53" s="57"/>
      <c r="M53" s="57"/>
      <c r="N53" s="53"/>
      <c r="O53" s="53"/>
      <c r="P53" s="53"/>
      <c r="Q53" s="53"/>
      <c r="R53" s="57"/>
      <c r="S53" s="53"/>
      <c r="T53" s="53"/>
      <c r="U53" s="707"/>
      <c r="V53" s="53"/>
      <c r="W53" s="53"/>
      <c r="X53" s="53"/>
      <c r="Y53" s="53"/>
      <c r="Z53" s="53"/>
      <c r="AA53" s="56"/>
      <c r="AB53" s="54"/>
      <c r="AC53" s="54"/>
      <c r="AD53" s="54"/>
      <c r="AE53" s="54"/>
      <c r="AF53" s="132">
        <v>11</v>
      </c>
    </row>
    <row r="54" s="132" customFormat="1" ht="11.5" customHeight="1">
      <c r="A54" s="706"/>
      <c r="B54" s="57"/>
      <c r="C54" s="57"/>
      <c r="D54" s="132"/>
      <c r="K54" s="53"/>
      <c r="L54" s="57"/>
      <c r="M54" s="57"/>
      <c r="N54" s="53"/>
      <c r="O54" s="53"/>
      <c r="P54" s="53"/>
      <c r="Q54" s="53"/>
      <c r="R54" s="57"/>
      <c r="S54" s="53"/>
      <c r="T54" s="53"/>
      <c r="U54" s="707"/>
      <c r="V54" s="53"/>
      <c r="W54" s="53"/>
      <c r="X54" s="53"/>
      <c r="Y54" s="53"/>
      <c r="Z54" s="53"/>
      <c r="AA54" s="56"/>
      <c r="AB54" s="54"/>
      <c r="AC54" s="54"/>
      <c r="AD54" s="54"/>
      <c r="AE54" s="54"/>
      <c r="AF54" s="132">
        <v>11</v>
      </c>
    </row>
    <row r="55" s="132" customFormat="1" ht="11.5" customHeight="1">
      <c r="A55" s="706"/>
      <c r="B55" s="57"/>
      <c r="C55" s="57"/>
      <c r="D55" s="132"/>
      <c r="K55" s="53"/>
      <c r="L55" s="57"/>
      <c r="M55" s="57"/>
      <c r="N55" s="53"/>
      <c r="O55" s="53"/>
      <c r="P55" s="53"/>
      <c r="Q55" s="53"/>
      <c r="R55" s="57"/>
      <c r="S55" s="53"/>
      <c r="T55" s="53"/>
      <c r="U55" s="707"/>
      <c r="V55" s="53"/>
      <c r="W55" s="53"/>
      <c r="X55" s="53"/>
      <c r="Y55" s="53"/>
      <c r="Z55" s="53"/>
      <c r="AA55" s="56"/>
      <c r="AB55" s="54"/>
      <c r="AC55" s="54"/>
      <c r="AD55" s="54"/>
      <c r="AE55" s="54"/>
      <c r="AF55" s="132">
        <v>11</v>
      </c>
    </row>
    <row r="56" s="132" customFormat="1" ht="11.5" customHeight="1">
      <c r="A56" s="706"/>
      <c r="B56" s="57"/>
      <c r="C56" s="57"/>
      <c r="D56" s="132"/>
      <c r="K56" s="53"/>
      <c r="L56" s="57"/>
      <c r="M56" s="57"/>
      <c r="N56" s="53"/>
      <c r="O56" s="53"/>
      <c r="P56" s="53"/>
      <c r="Q56" s="53"/>
      <c r="R56" s="57"/>
      <c r="S56" s="53"/>
      <c r="T56" s="53"/>
      <c r="U56" s="707"/>
      <c r="V56" s="53"/>
      <c r="W56" s="53"/>
      <c r="X56" s="53"/>
      <c r="Y56" s="53"/>
      <c r="Z56" s="53"/>
      <c r="AA56" s="56"/>
      <c r="AB56" s="54"/>
      <c r="AC56" s="54"/>
      <c r="AD56" s="54"/>
      <c r="AE56" s="54"/>
      <c r="AF56" s="132">
        <v>11</v>
      </c>
    </row>
    <row r="57" s="132" customFormat="1" ht="11.5" customHeight="1">
      <c r="A57" s="706"/>
      <c r="B57" s="57"/>
      <c r="C57" s="57"/>
      <c r="D57" s="132"/>
      <c r="K57" s="53"/>
      <c r="L57" s="57"/>
      <c r="M57" s="57"/>
      <c r="N57" s="53"/>
      <c r="O57" s="53"/>
      <c r="P57" s="53"/>
      <c r="Q57" s="53"/>
      <c r="R57" s="57"/>
      <c r="S57" s="53"/>
      <c r="T57" s="53"/>
      <c r="U57" s="707"/>
      <c r="V57" s="53"/>
      <c r="W57" s="53"/>
      <c r="X57" s="53"/>
      <c r="Y57" s="53"/>
      <c r="Z57" s="53"/>
      <c r="AA57" s="56"/>
      <c r="AB57" s="54"/>
      <c r="AC57" s="54"/>
      <c r="AD57" s="54"/>
      <c r="AE57" s="54"/>
      <c r="AF57" s="132">
        <v>11</v>
      </c>
    </row>
    <row r="58" s="132" customFormat="1" ht="11.5" customHeight="1">
      <c r="A58" s="706"/>
      <c r="B58" s="57"/>
      <c r="C58" s="57"/>
      <c r="D58" s="132"/>
      <c r="K58" s="53"/>
      <c r="L58" s="57"/>
      <c r="M58" s="57"/>
      <c r="N58" s="53"/>
      <c r="O58" s="53"/>
      <c r="P58" s="53"/>
      <c r="Q58" s="53"/>
      <c r="R58" s="57"/>
      <c r="S58" s="53"/>
      <c r="T58" s="53"/>
      <c r="U58" s="707"/>
      <c r="V58" s="53"/>
      <c r="W58" s="53"/>
      <c r="X58" s="53"/>
      <c r="Y58" s="53"/>
      <c r="Z58" s="53"/>
      <c r="AA58" s="56"/>
      <c r="AB58" s="54"/>
      <c r="AC58" s="54"/>
      <c r="AD58" s="54"/>
      <c r="AE58" s="54"/>
      <c r="AF58" s="132">
        <v>11</v>
      </c>
    </row>
    <row r="59" s="132" customFormat="1" ht="11.5" customHeight="1">
      <c r="A59" s="706"/>
      <c r="B59" s="57"/>
      <c r="C59" s="57"/>
      <c r="D59" s="132"/>
      <c r="K59" s="53"/>
      <c r="L59" s="57"/>
      <c r="M59" s="57"/>
      <c r="N59" s="53"/>
      <c r="O59" s="53"/>
      <c r="P59" s="53"/>
      <c r="Q59" s="53"/>
      <c r="R59" s="57"/>
      <c r="S59" s="53"/>
      <c r="T59" s="53"/>
      <c r="U59" s="707"/>
      <c r="V59" s="53"/>
      <c r="W59" s="53"/>
      <c r="X59" s="53"/>
      <c r="Y59" s="53"/>
      <c r="Z59" s="53"/>
      <c r="AA59" s="56"/>
      <c r="AB59" s="54"/>
      <c r="AC59" s="54"/>
      <c r="AD59" s="54"/>
      <c r="AE59" s="54"/>
      <c r="AF59" s="132">
        <v>11</v>
      </c>
    </row>
    <row r="60" s="132" customFormat="1" ht="11.5" customHeight="1">
      <c r="A60" s="706"/>
      <c r="B60" s="57"/>
      <c r="C60" s="57"/>
      <c r="D60" s="132"/>
      <c r="K60" s="53"/>
      <c r="L60" s="57"/>
      <c r="M60" s="57"/>
      <c r="N60" s="53"/>
      <c r="O60" s="53"/>
      <c r="P60" s="53"/>
      <c r="Q60" s="53"/>
      <c r="R60" s="57"/>
      <c r="S60" s="53"/>
      <c r="T60" s="53"/>
      <c r="U60" s="707"/>
      <c r="V60" s="53"/>
      <c r="W60" s="53"/>
      <c r="X60" s="53"/>
      <c r="Y60" s="53"/>
      <c r="Z60" s="53"/>
      <c r="AA60" s="56"/>
      <c r="AB60" s="54"/>
      <c r="AC60" s="54"/>
      <c r="AD60" s="54"/>
      <c r="AE60" s="54"/>
      <c r="AF60" s="132">
        <v>11</v>
      </c>
    </row>
    <row r="61" s="132" customFormat="1" ht="11.5" customHeight="1">
      <c r="A61" s="706"/>
      <c r="B61" s="57"/>
      <c r="C61" s="57"/>
      <c r="D61" s="132"/>
      <c r="K61" s="53"/>
      <c r="L61" s="57"/>
      <c r="M61" s="57"/>
      <c r="N61" s="53"/>
      <c r="O61" s="53"/>
      <c r="P61" s="53"/>
      <c r="Q61" s="53"/>
      <c r="R61" s="57"/>
      <c r="S61" s="53"/>
      <c r="T61" s="53"/>
      <c r="U61" s="707"/>
      <c r="V61" s="53"/>
      <c r="W61" s="53"/>
      <c r="X61" s="53"/>
      <c r="Y61" s="53"/>
      <c r="Z61" s="53"/>
      <c r="AA61" s="56"/>
      <c r="AB61" s="54"/>
      <c r="AC61" s="54"/>
      <c r="AD61" s="54"/>
      <c r="AE61" s="54"/>
      <c r="AF61" s="132">
        <v>11</v>
      </c>
    </row>
    <row r="62" s="132" customFormat="1" ht="11.5" customHeight="1">
      <c r="A62" s="706"/>
      <c r="B62" s="57"/>
      <c r="C62" s="57"/>
      <c r="D62" s="132"/>
      <c r="K62" s="53"/>
      <c r="L62" s="57"/>
      <c r="M62" s="57"/>
      <c r="N62" s="53"/>
      <c r="O62" s="53"/>
      <c r="P62" s="53"/>
      <c r="Q62" s="53"/>
      <c r="R62" s="57"/>
      <c r="S62" s="53"/>
      <c r="T62" s="53"/>
      <c r="U62" s="707"/>
      <c r="V62" s="53"/>
      <c r="W62" s="53"/>
      <c r="X62" s="53"/>
      <c r="Y62" s="53"/>
      <c r="Z62" s="53"/>
      <c r="AA62" s="56"/>
      <c r="AB62" s="54"/>
      <c r="AC62" s="54"/>
      <c r="AD62" s="54"/>
      <c r="AE62" s="54"/>
      <c r="AF62" s="132">
        <v>11</v>
      </c>
    </row>
    <row r="63" s="132" customFormat="1" ht="11.5" customHeight="1">
      <c r="A63" s="706"/>
      <c r="B63" s="57"/>
      <c r="C63" s="57"/>
      <c r="D63" s="132"/>
      <c r="K63" s="53"/>
      <c r="L63" s="57"/>
      <c r="M63" s="57"/>
      <c r="N63" s="53"/>
      <c r="O63" s="53"/>
      <c r="P63" s="53"/>
      <c r="Q63" s="53"/>
      <c r="R63" s="57"/>
      <c r="S63" s="53"/>
      <c r="T63" s="53"/>
      <c r="U63" s="707"/>
      <c r="V63" s="53"/>
      <c r="W63" s="53"/>
      <c r="X63" s="53"/>
      <c r="Y63" s="53"/>
      <c r="Z63" s="53"/>
      <c r="AA63" s="56"/>
      <c r="AB63" s="54"/>
      <c r="AC63" s="54"/>
      <c r="AD63" s="54"/>
      <c r="AE63" s="54"/>
      <c r="AF63" s="132">
        <v>11</v>
      </c>
    </row>
    <row r="64" s="132" customFormat="1" ht="11.5" customHeight="1">
      <c r="A64" s="706"/>
      <c r="B64" s="57"/>
      <c r="C64" s="57"/>
      <c r="D64" s="132"/>
      <c r="K64" s="53"/>
      <c r="L64" s="57"/>
      <c r="M64" s="57"/>
      <c r="N64" s="53"/>
      <c r="O64" s="53"/>
      <c r="P64" s="53"/>
      <c r="Q64" s="53"/>
      <c r="R64" s="57"/>
      <c r="S64" s="53"/>
      <c r="T64" s="53"/>
      <c r="U64" s="707"/>
      <c r="V64" s="53"/>
      <c r="W64" s="53"/>
      <c r="X64" s="53"/>
      <c r="Y64" s="53"/>
      <c r="Z64" s="53"/>
      <c r="AA64" s="56"/>
      <c r="AB64" s="54"/>
      <c r="AC64" s="54"/>
      <c r="AD64" s="54"/>
      <c r="AE64" s="54"/>
      <c r="AF64" s="132">
        <v>11</v>
      </c>
    </row>
    <row r="65" s="132" customFormat="1" ht="11.5" customHeight="1">
      <c r="A65" s="706"/>
      <c r="B65" s="57"/>
      <c r="C65" s="57"/>
      <c r="D65" s="132"/>
      <c r="K65" s="53"/>
      <c r="L65" s="57"/>
      <c r="M65" s="57"/>
      <c r="N65" s="53"/>
      <c r="O65" s="53"/>
      <c r="P65" s="53"/>
      <c r="Q65" s="53"/>
      <c r="R65" s="57"/>
      <c r="S65" s="53"/>
      <c r="T65" s="53"/>
      <c r="U65" s="707"/>
      <c r="V65" s="53"/>
      <c r="W65" s="53"/>
      <c r="X65" s="53"/>
      <c r="Y65" s="53"/>
      <c r="Z65" s="53"/>
      <c r="AA65" s="56"/>
      <c r="AB65" s="54"/>
      <c r="AC65" s="54"/>
      <c r="AD65" s="54"/>
      <c r="AE65" s="54"/>
      <c r="AF65" s="132">
        <v>11</v>
      </c>
    </row>
    <row r="66" s="132" customFormat="1" ht="11.5" customHeight="1">
      <c r="A66" s="706"/>
      <c r="B66" s="57"/>
      <c r="C66" s="57"/>
      <c r="D66" s="132"/>
      <c r="K66" s="53"/>
      <c r="L66" s="57"/>
      <c r="M66" s="57"/>
      <c r="N66" s="53"/>
      <c r="O66" s="53"/>
      <c r="P66" s="53"/>
      <c r="Q66" s="53"/>
      <c r="R66" s="57"/>
      <c r="S66" s="53"/>
      <c r="T66" s="53"/>
      <c r="U66" s="707"/>
      <c r="V66" s="53"/>
      <c r="W66" s="53"/>
      <c r="X66" s="53"/>
      <c r="Y66" s="53"/>
      <c r="Z66" s="53"/>
      <c r="AA66" s="56"/>
      <c r="AB66" s="54"/>
      <c r="AC66" s="54"/>
      <c r="AD66" s="54"/>
      <c r="AE66" s="54"/>
      <c r="AF66" s="132">
        <v>11</v>
      </c>
    </row>
    <row r="67" s="132" customFormat="1" ht="11.5" customHeight="1">
      <c r="A67" s="706"/>
      <c r="B67" s="57"/>
      <c r="C67" s="57"/>
      <c r="D67" s="132"/>
      <c r="K67" s="53"/>
      <c r="L67" s="57"/>
      <c r="M67" s="57"/>
      <c r="N67" s="53"/>
      <c r="O67" s="53"/>
      <c r="P67" s="53"/>
      <c r="Q67" s="53"/>
      <c r="R67" s="57"/>
      <c r="S67" s="53"/>
      <c r="T67" s="53"/>
      <c r="U67" s="707"/>
      <c r="V67" s="53"/>
      <c r="W67" s="53"/>
      <c r="X67" s="53"/>
      <c r="Y67" s="53"/>
      <c r="Z67" s="53"/>
      <c r="AA67" s="56"/>
      <c r="AB67" s="54"/>
      <c r="AC67" s="54"/>
      <c r="AD67" s="54"/>
      <c r="AE67" s="54"/>
      <c r="AF67" s="132">
        <v>11</v>
      </c>
    </row>
    <row r="68" s="132" customFormat="1" ht="11.5" customHeight="1">
      <c r="A68" s="706"/>
      <c r="B68" s="57"/>
      <c r="C68" s="57"/>
      <c r="D68" s="132"/>
      <c r="K68" s="53"/>
      <c r="L68" s="57"/>
      <c r="M68" s="57"/>
      <c r="N68" s="53"/>
      <c r="O68" s="53"/>
      <c r="P68" s="53"/>
      <c r="Q68" s="53"/>
      <c r="R68" s="57"/>
      <c r="S68" s="53"/>
      <c r="T68" s="53"/>
      <c r="U68" s="707"/>
      <c r="V68" s="53"/>
      <c r="W68" s="53"/>
      <c r="X68" s="53"/>
      <c r="Y68" s="53"/>
      <c r="Z68" s="53"/>
      <c r="AA68" s="56"/>
      <c r="AB68" s="54"/>
      <c r="AC68" s="54"/>
      <c r="AD68" s="54"/>
      <c r="AE68" s="54"/>
      <c r="AF68" s="132">
        <v>11</v>
      </c>
    </row>
    <row r="69" s="132" customFormat="1" ht="11.5" customHeight="1">
      <c r="A69" s="706"/>
      <c r="B69" s="57"/>
      <c r="C69" s="57"/>
      <c r="D69" s="132"/>
      <c r="K69" s="53"/>
      <c r="L69" s="57"/>
      <c r="M69" s="57"/>
      <c r="N69" s="53"/>
      <c r="O69" s="53"/>
      <c r="P69" s="53"/>
      <c r="Q69" s="53"/>
      <c r="R69" s="57"/>
      <c r="S69" s="53"/>
      <c r="T69" s="53"/>
      <c r="U69" s="707"/>
      <c r="V69" s="53"/>
      <c r="W69" s="53"/>
      <c r="X69" s="53"/>
      <c r="Y69" s="53"/>
      <c r="Z69" s="53"/>
      <c r="AA69" s="56"/>
      <c r="AB69" s="54"/>
      <c r="AC69" s="54"/>
      <c r="AD69" s="54"/>
      <c r="AE69" s="54"/>
      <c r="AF69" s="132">
        <v>11</v>
      </c>
    </row>
    <row r="70" s="132" customFormat="1" ht="11.5" customHeight="1">
      <c r="A70" s="706"/>
      <c r="B70" s="57"/>
      <c r="C70" s="57"/>
      <c r="D70" s="132"/>
      <c r="K70" s="53"/>
      <c r="L70" s="57"/>
      <c r="M70" s="57"/>
      <c r="N70" s="53"/>
      <c r="O70" s="53"/>
      <c r="P70" s="53"/>
      <c r="Q70" s="53"/>
      <c r="R70" s="57"/>
      <c r="S70" s="53"/>
      <c r="T70" s="53"/>
      <c r="U70" s="707"/>
      <c r="V70" s="53"/>
      <c r="W70" s="53"/>
      <c r="X70" s="53"/>
      <c r="Y70" s="53"/>
      <c r="Z70" s="53"/>
      <c r="AA70" s="56"/>
      <c r="AB70" s="54"/>
      <c r="AC70" s="54"/>
      <c r="AD70" s="54"/>
      <c r="AE70" s="54"/>
      <c r="AF70" s="132">
        <v>11</v>
      </c>
    </row>
    <row r="71" s="132" customFormat="1" ht="11.5" customHeight="1">
      <c r="A71" s="706"/>
      <c r="B71" s="57"/>
      <c r="C71" s="57"/>
      <c r="D71" s="132"/>
      <c r="K71" s="53"/>
      <c r="L71" s="57"/>
      <c r="M71" s="57"/>
      <c r="N71" s="53"/>
      <c r="O71" s="53"/>
      <c r="P71" s="53"/>
      <c r="Q71" s="53"/>
      <c r="R71" s="57"/>
      <c r="S71" s="53"/>
      <c r="T71" s="53"/>
      <c r="U71" s="707"/>
      <c r="V71" s="53"/>
      <c r="W71" s="53"/>
      <c r="X71" s="53"/>
      <c r="Y71" s="53"/>
      <c r="Z71" s="53"/>
      <c r="AA71" s="56"/>
      <c r="AB71" s="54"/>
      <c r="AC71" s="54"/>
      <c r="AD71" s="54"/>
      <c r="AE71" s="54"/>
      <c r="AF71" s="132">
        <v>11</v>
      </c>
    </row>
    <row r="72" s="132" customFormat="1" ht="11.5" customHeight="1">
      <c r="A72" s="706"/>
      <c r="B72" s="57"/>
      <c r="C72" s="57"/>
      <c r="D72" s="132"/>
      <c r="K72" s="53"/>
      <c r="L72" s="57"/>
      <c r="M72" s="57"/>
      <c r="N72" s="53"/>
      <c r="O72" s="53"/>
      <c r="P72" s="53"/>
      <c r="Q72" s="53"/>
      <c r="R72" s="57"/>
      <c r="S72" s="53"/>
      <c r="T72" s="53"/>
      <c r="U72" s="707"/>
      <c r="V72" s="53"/>
      <c r="W72" s="53"/>
      <c r="X72" s="53"/>
      <c r="Y72" s="53"/>
      <c r="Z72" s="53"/>
      <c r="AA72" s="56"/>
      <c r="AB72" s="54"/>
      <c r="AC72" s="54"/>
      <c r="AD72" s="54"/>
      <c r="AE72" s="54"/>
      <c r="AF72" s="132">
        <v>11</v>
      </c>
    </row>
    <row r="73" s="132" customFormat="1" ht="11.5" customHeight="1">
      <c r="A73" s="706"/>
      <c r="B73" s="57"/>
      <c r="C73" s="57"/>
      <c r="D73" s="132"/>
      <c r="K73" s="53"/>
      <c r="L73" s="57"/>
      <c r="M73" s="57"/>
      <c r="N73" s="53"/>
      <c r="O73" s="53"/>
      <c r="P73" s="53"/>
      <c r="Q73" s="53"/>
      <c r="R73" s="57"/>
      <c r="S73" s="53"/>
      <c r="T73" s="53"/>
      <c r="U73" s="707"/>
      <c r="V73" s="53"/>
      <c r="W73" s="53"/>
      <c r="X73" s="53"/>
      <c r="Y73" s="53"/>
      <c r="Z73" s="53"/>
      <c r="AA73" s="56"/>
      <c r="AB73" s="54"/>
      <c r="AC73" s="54"/>
      <c r="AD73" s="54"/>
      <c r="AE73" s="54"/>
      <c r="AF73" s="132">
        <v>11</v>
      </c>
    </row>
    <row r="74" s="132" customFormat="1" ht="11.5" customHeight="1">
      <c r="A74" s="706"/>
      <c r="B74" s="57"/>
      <c r="C74" s="57"/>
      <c r="D74" s="132"/>
      <c r="K74" s="53"/>
      <c r="L74" s="57"/>
      <c r="M74" s="57"/>
      <c r="N74" s="53"/>
      <c r="O74" s="53"/>
      <c r="P74" s="53"/>
      <c r="Q74" s="53"/>
      <c r="R74" s="57"/>
      <c r="S74" s="53"/>
      <c r="T74" s="53"/>
      <c r="U74" s="707"/>
      <c r="V74" s="53"/>
      <c r="W74" s="53"/>
      <c r="X74" s="53"/>
      <c r="Y74" s="53"/>
      <c r="Z74" s="53"/>
      <c r="AA74" s="56"/>
      <c r="AB74" s="54"/>
      <c r="AC74" s="54"/>
      <c r="AD74" s="54"/>
      <c r="AE74" s="54"/>
      <c r="AF74" s="132">
        <v>11</v>
      </c>
    </row>
    <row r="75" s="132" customFormat="1" ht="11.5" customHeight="1">
      <c r="A75" s="706"/>
      <c r="B75" s="57"/>
      <c r="C75" s="57"/>
      <c r="D75" s="132"/>
      <c r="K75" s="53"/>
      <c r="L75" s="57"/>
      <c r="M75" s="57"/>
      <c r="N75" s="53"/>
      <c r="O75" s="53"/>
      <c r="P75" s="53"/>
      <c r="Q75" s="53"/>
      <c r="R75" s="57"/>
      <c r="S75" s="53"/>
      <c r="T75" s="53"/>
      <c r="U75" s="707"/>
      <c r="V75" s="53"/>
      <c r="W75" s="53"/>
      <c r="X75" s="53"/>
      <c r="Y75" s="53"/>
      <c r="Z75" s="53"/>
      <c r="AA75" s="56"/>
      <c r="AB75" s="54"/>
      <c r="AC75" s="54"/>
      <c r="AD75" s="54"/>
      <c r="AE75" s="54"/>
      <c r="AF75" s="132">
        <v>11</v>
      </c>
    </row>
    <row r="76" s="132" customFormat="1" ht="11.5" customHeight="1">
      <c r="A76" s="706"/>
      <c r="B76" s="57"/>
      <c r="C76" s="57"/>
      <c r="D76" s="132"/>
      <c r="K76" s="53"/>
      <c r="L76" s="57"/>
      <c r="M76" s="57"/>
      <c r="N76" s="53"/>
      <c r="O76" s="53"/>
      <c r="P76" s="53"/>
      <c r="Q76" s="53"/>
      <c r="R76" s="57"/>
      <c r="S76" s="53"/>
      <c r="T76" s="53"/>
      <c r="U76" s="707"/>
      <c r="V76" s="53"/>
      <c r="W76" s="53"/>
      <c r="X76" s="53"/>
      <c r="Y76" s="53"/>
      <c r="Z76" s="53"/>
      <c r="AA76" s="56"/>
      <c r="AB76" s="54"/>
      <c r="AC76" s="54"/>
      <c r="AD76" s="54"/>
      <c r="AE76" s="54"/>
      <c r="AF76" s="132">
        <v>11</v>
      </c>
    </row>
    <row r="77" s="132" customFormat="1" ht="11.5" customHeight="1">
      <c r="A77" s="706"/>
      <c r="B77" s="57"/>
      <c r="C77" s="57"/>
      <c r="D77" s="132"/>
      <c r="K77" s="53"/>
      <c r="L77" s="57"/>
      <c r="M77" s="57"/>
      <c r="N77" s="53"/>
      <c r="O77" s="53"/>
      <c r="P77" s="53"/>
      <c r="Q77" s="53"/>
      <c r="R77" s="57"/>
      <c r="S77" s="53"/>
      <c r="T77" s="53"/>
      <c r="U77" s="707"/>
      <c r="V77" s="53"/>
      <c r="W77" s="53"/>
      <c r="X77" s="53"/>
      <c r="Y77" s="53"/>
      <c r="Z77" s="53"/>
      <c r="AA77" s="56"/>
      <c r="AB77" s="54"/>
      <c r="AC77" s="54"/>
      <c r="AD77" s="54"/>
      <c r="AE77" s="54"/>
      <c r="AF77" s="132">
        <v>11</v>
      </c>
    </row>
    <row r="78" s="132" customFormat="1" ht="11.5" customHeight="1">
      <c r="A78" s="706"/>
      <c r="B78" s="57"/>
      <c r="C78" s="57"/>
      <c r="D78" s="132"/>
      <c r="K78" s="53"/>
      <c r="L78" s="57"/>
      <c r="M78" s="57"/>
      <c r="N78" s="53"/>
      <c r="O78" s="53"/>
      <c r="P78" s="53"/>
      <c r="Q78" s="53"/>
      <c r="R78" s="57"/>
      <c r="S78" s="53"/>
      <c r="T78" s="53"/>
      <c r="U78" s="707"/>
      <c r="V78" s="53"/>
      <c r="W78" s="53"/>
      <c r="X78" s="53"/>
      <c r="Y78" s="53"/>
      <c r="Z78" s="53"/>
      <c r="AA78" s="56"/>
      <c r="AB78" s="54"/>
      <c r="AC78" s="54"/>
      <c r="AD78" s="54"/>
      <c r="AE78" s="54"/>
      <c r="AF78" s="132">
        <v>11</v>
      </c>
    </row>
    <row r="79" s="132" customFormat="1" ht="11.5" customHeight="1">
      <c r="A79" s="706"/>
      <c r="B79" s="57"/>
      <c r="C79" s="57"/>
      <c r="D79" s="132"/>
      <c r="K79" s="53"/>
      <c r="L79" s="57"/>
      <c r="M79" s="57"/>
      <c r="N79" s="53"/>
      <c r="O79" s="53"/>
      <c r="P79" s="53"/>
      <c r="Q79" s="53"/>
      <c r="R79" s="57"/>
      <c r="S79" s="53"/>
      <c r="T79" s="53"/>
      <c r="U79" s="707"/>
      <c r="V79" s="53"/>
      <c r="W79" s="53"/>
      <c r="X79" s="53"/>
      <c r="Y79" s="53"/>
      <c r="Z79" s="53"/>
      <c r="AA79" s="56"/>
      <c r="AB79" s="54"/>
      <c r="AC79" s="54"/>
      <c r="AD79" s="54"/>
      <c r="AE79" s="54"/>
      <c r="AF79" s="132">
        <v>11</v>
      </c>
    </row>
    <row r="80" s="132" customFormat="1" ht="11.5" customHeight="1">
      <c r="A80" s="706"/>
      <c r="B80" s="57"/>
      <c r="C80" s="57"/>
      <c r="D80" s="132"/>
      <c r="K80" s="53"/>
      <c r="L80" s="57"/>
      <c r="M80" s="57"/>
      <c r="N80" s="53"/>
      <c r="O80" s="53"/>
      <c r="P80" s="53"/>
      <c r="Q80" s="53"/>
      <c r="R80" s="57"/>
      <c r="S80" s="53"/>
      <c r="T80" s="53"/>
      <c r="U80" s="707"/>
      <c r="V80" s="53"/>
      <c r="W80" s="53"/>
      <c r="X80" s="53"/>
      <c r="Y80" s="53"/>
      <c r="Z80" s="53"/>
      <c r="AA80" s="56"/>
      <c r="AB80" s="54"/>
      <c r="AC80" s="54"/>
      <c r="AD80" s="54"/>
      <c r="AE80" s="54"/>
      <c r="AF80" s="132">
        <v>11</v>
      </c>
    </row>
    <row r="81" s="132" customFormat="1" ht="11.5" customHeight="1">
      <c r="A81" s="706"/>
      <c r="B81" s="57"/>
      <c r="C81" s="57"/>
      <c r="D81" s="132"/>
      <c r="K81" s="53"/>
      <c r="L81" s="57"/>
      <c r="M81" s="57"/>
      <c r="N81" s="53"/>
      <c r="O81" s="53"/>
      <c r="P81" s="53"/>
      <c r="Q81" s="53"/>
      <c r="R81" s="57"/>
      <c r="S81" s="53"/>
      <c r="T81" s="53"/>
      <c r="U81" s="707"/>
      <c r="V81" s="53"/>
      <c r="W81" s="53"/>
      <c r="X81" s="53"/>
      <c r="Y81" s="53"/>
      <c r="Z81" s="53"/>
      <c r="AA81" s="56"/>
      <c r="AB81" s="54"/>
      <c r="AC81" s="54"/>
      <c r="AD81" s="54"/>
      <c r="AE81" s="54"/>
      <c r="AF81" s="132">
        <v>11</v>
      </c>
    </row>
    <row r="82" s="132" customFormat="1" ht="11.5" customHeight="1">
      <c r="A82" s="706"/>
      <c r="B82" s="57"/>
      <c r="C82" s="57"/>
      <c r="D82" s="132"/>
      <c r="K82" s="53"/>
      <c r="L82" s="57"/>
      <c r="M82" s="57"/>
      <c r="N82" s="53"/>
      <c r="O82" s="53"/>
      <c r="P82" s="53"/>
      <c r="Q82" s="53"/>
      <c r="R82" s="57"/>
      <c r="S82" s="53"/>
      <c r="T82" s="53"/>
      <c r="U82" s="707"/>
      <c r="V82" s="53"/>
      <c r="W82" s="53"/>
      <c r="X82" s="53"/>
      <c r="Y82" s="53"/>
      <c r="Z82" s="53"/>
      <c r="AA82" s="56"/>
      <c r="AB82" s="54"/>
      <c r="AC82" s="54"/>
      <c r="AD82" s="54"/>
      <c r="AE82" s="54"/>
      <c r="AF82" s="132">
        <v>11</v>
      </c>
    </row>
    <row r="83" s="132" customFormat="1" ht="11.5" customHeight="1">
      <c r="A83" s="706"/>
      <c r="B83" s="57"/>
      <c r="C83" s="57"/>
      <c r="D83" s="132"/>
      <c r="K83" s="53"/>
      <c r="L83" s="57"/>
      <c r="M83" s="57"/>
      <c r="N83" s="53"/>
      <c r="O83" s="53"/>
      <c r="P83" s="53"/>
      <c r="Q83" s="53"/>
      <c r="R83" s="57"/>
      <c r="S83" s="53"/>
      <c r="T83" s="53"/>
      <c r="U83" s="707"/>
      <c r="V83" s="53"/>
      <c r="W83" s="53"/>
      <c r="X83" s="53"/>
      <c r="Y83" s="53"/>
      <c r="Z83" s="53"/>
      <c r="AA83" s="56"/>
      <c r="AB83" s="54"/>
      <c r="AC83" s="54"/>
      <c r="AD83" s="54"/>
      <c r="AE83" s="54"/>
      <c r="AF83" s="132">
        <v>11</v>
      </c>
    </row>
    <row r="84" s="132" customFormat="1" ht="11.5" customHeight="1">
      <c r="A84" s="706"/>
      <c r="B84" s="57"/>
      <c r="C84" s="57"/>
      <c r="D84" s="132"/>
      <c r="K84" s="53"/>
      <c r="L84" s="57"/>
      <c r="M84" s="57"/>
      <c r="N84" s="53"/>
      <c r="O84" s="53"/>
      <c r="P84" s="53"/>
      <c r="Q84" s="53"/>
      <c r="R84" s="57"/>
      <c r="S84" s="53"/>
      <c r="T84" s="53"/>
      <c r="U84" s="707"/>
      <c r="V84" s="53"/>
      <c r="W84" s="53"/>
      <c r="X84" s="53"/>
      <c r="Y84" s="53"/>
      <c r="Z84" s="53"/>
      <c r="AA84" s="56"/>
      <c r="AB84" s="54"/>
      <c r="AC84" s="54"/>
      <c r="AD84" s="54"/>
      <c r="AE84" s="54"/>
      <c r="AF84" s="132">
        <v>11</v>
      </c>
    </row>
    <row r="85" s="132" customFormat="1" ht="11.5" customHeight="1">
      <c r="A85" s="706"/>
      <c r="B85" s="57"/>
      <c r="C85" s="57"/>
      <c r="D85" s="132"/>
      <c r="K85" s="53"/>
      <c r="L85" s="57"/>
      <c r="M85" s="57"/>
      <c r="N85" s="53"/>
      <c r="O85" s="53"/>
      <c r="P85" s="53"/>
      <c r="Q85" s="53"/>
      <c r="R85" s="57"/>
      <c r="S85" s="53"/>
      <c r="T85" s="53"/>
      <c r="U85" s="707"/>
      <c r="V85" s="53"/>
      <c r="W85" s="53"/>
      <c r="X85" s="53"/>
      <c r="Y85" s="53"/>
      <c r="Z85" s="53"/>
      <c r="AA85" s="56"/>
      <c r="AB85" s="54"/>
      <c r="AC85" s="54"/>
      <c r="AD85" s="54"/>
      <c r="AE85" s="54"/>
      <c r="AF85" s="132">
        <v>11</v>
      </c>
    </row>
    <row r="86" s="132" customFormat="1" ht="11.5" customHeight="1">
      <c r="A86" s="706"/>
      <c r="B86" s="57"/>
      <c r="C86" s="57"/>
      <c r="D86" s="132"/>
      <c r="K86" s="53"/>
      <c r="L86" s="57"/>
      <c r="M86" s="57"/>
      <c r="N86" s="53"/>
      <c r="O86" s="53"/>
      <c r="P86" s="53"/>
      <c r="Q86" s="53"/>
      <c r="R86" s="57"/>
      <c r="S86" s="53"/>
      <c r="T86" s="53"/>
      <c r="U86" s="707"/>
      <c r="V86" s="53"/>
      <c r="W86" s="53"/>
      <c r="X86" s="53"/>
      <c r="Y86" s="53"/>
      <c r="Z86" s="53"/>
      <c r="AA86" s="56"/>
      <c r="AB86" s="54"/>
      <c r="AC86" s="54"/>
      <c r="AD86" s="54"/>
      <c r="AE86" s="54"/>
      <c r="AF86" s="132">
        <v>11</v>
      </c>
    </row>
    <row r="87" s="132" customFormat="1" ht="11.5" customHeight="1">
      <c r="A87" s="706"/>
      <c r="B87" s="57"/>
      <c r="C87" s="57"/>
      <c r="D87" s="132"/>
      <c r="K87" s="53"/>
      <c r="L87" s="57"/>
      <c r="M87" s="57"/>
      <c r="N87" s="53"/>
      <c r="O87" s="53"/>
      <c r="P87" s="53"/>
      <c r="Q87" s="53"/>
      <c r="R87" s="57"/>
      <c r="S87" s="53"/>
      <c r="T87" s="53"/>
      <c r="U87" s="707"/>
      <c r="V87" s="53"/>
      <c r="W87" s="53"/>
      <c r="X87" s="53"/>
      <c r="Y87" s="53"/>
      <c r="Z87" s="53"/>
      <c r="AA87" s="56"/>
      <c r="AB87" s="54"/>
      <c r="AC87" s="54"/>
      <c r="AD87" s="54"/>
      <c r="AE87" s="54"/>
      <c r="AF87" s="132">
        <v>11</v>
      </c>
    </row>
    <row r="88" s="132" customFormat="1" ht="11.5" customHeight="1">
      <c r="A88" s="706"/>
      <c r="B88" s="57"/>
      <c r="C88" s="57"/>
      <c r="D88" s="132"/>
      <c r="K88" s="53"/>
      <c r="L88" s="57"/>
      <c r="M88" s="57"/>
      <c r="N88" s="53"/>
      <c r="O88" s="53"/>
      <c r="P88" s="53"/>
      <c r="Q88" s="53"/>
      <c r="R88" s="57"/>
      <c r="S88" s="53"/>
      <c r="T88" s="53"/>
      <c r="U88" s="707"/>
      <c r="V88" s="53"/>
      <c r="W88" s="53"/>
      <c r="X88" s="53"/>
      <c r="Y88" s="53"/>
      <c r="Z88" s="53"/>
      <c r="AA88" s="56"/>
      <c r="AB88" s="54"/>
      <c r="AC88" s="54"/>
      <c r="AD88" s="54"/>
      <c r="AE88" s="54"/>
      <c r="AF88" s="132">
        <v>11</v>
      </c>
    </row>
    <row r="89" s="132" customFormat="1" ht="11.5" customHeight="1">
      <c r="A89" s="706"/>
      <c r="B89" s="57"/>
      <c r="C89" s="57"/>
      <c r="D89" s="132"/>
      <c r="K89" s="53"/>
      <c r="L89" s="57"/>
      <c r="M89" s="57"/>
      <c r="N89" s="53"/>
      <c r="O89" s="53"/>
      <c r="P89" s="53"/>
      <c r="Q89" s="53"/>
      <c r="R89" s="57"/>
      <c r="S89" s="53"/>
      <c r="T89" s="53"/>
      <c r="U89" s="707"/>
      <c r="V89" s="53"/>
      <c r="W89" s="53"/>
      <c r="X89" s="53"/>
      <c r="Y89" s="53"/>
      <c r="Z89" s="53"/>
      <c r="AA89" s="56"/>
      <c r="AB89" s="54"/>
      <c r="AC89" s="54"/>
      <c r="AD89" s="54"/>
      <c r="AE89" s="54"/>
      <c r="AF89" s="132">
        <v>11</v>
      </c>
    </row>
    <row r="90" s="132" customFormat="1" ht="11.5" customHeight="1">
      <c r="A90" s="706"/>
      <c r="B90" s="57"/>
      <c r="C90" s="57"/>
      <c r="D90" s="132"/>
      <c r="K90" s="53"/>
      <c r="L90" s="57"/>
      <c r="M90" s="57"/>
      <c r="N90" s="53"/>
      <c r="O90" s="53"/>
      <c r="P90" s="53"/>
      <c r="Q90" s="53"/>
      <c r="R90" s="57"/>
      <c r="S90" s="53"/>
      <c r="T90" s="53"/>
      <c r="U90" s="707"/>
      <c r="V90" s="53"/>
      <c r="W90" s="53"/>
      <c r="X90" s="53"/>
      <c r="Y90" s="53"/>
      <c r="Z90" s="53"/>
      <c r="AA90" s="56"/>
      <c r="AB90" s="54"/>
      <c r="AC90" s="54"/>
      <c r="AD90" s="54"/>
      <c r="AE90" s="54"/>
      <c r="AF90" s="132">
        <v>11</v>
      </c>
    </row>
    <row r="91" s="132" customFormat="1" ht="11.5" customHeight="1">
      <c r="A91" s="706"/>
      <c r="B91" s="57"/>
      <c r="C91" s="57"/>
      <c r="D91" s="132"/>
      <c r="K91" s="53"/>
      <c r="L91" s="57"/>
      <c r="M91" s="57"/>
      <c r="N91" s="53"/>
      <c r="O91" s="53"/>
      <c r="P91" s="53"/>
      <c r="Q91" s="53"/>
      <c r="R91" s="57"/>
      <c r="S91" s="53"/>
      <c r="T91" s="53"/>
      <c r="U91" s="707"/>
      <c r="V91" s="53"/>
      <c r="W91" s="53"/>
      <c r="X91" s="53"/>
      <c r="Y91" s="53"/>
      <c r="Z91" s="53"/>
      <c r="AA91" s="56"/>
      <c r="AB91" s="54"/>
      <c r="AC91" s="54"/>
      <c r="AD91" s="54"/>
      <c r="AE91" s="54"/>
      <c r="AF91" s="132">
        <v>11</v>
      </c>
    </row>
    <row r="92" s="132" customFormat="1" ht="11.5" customHeight="1">
      <c r="A92" s="706"/>
      <c r="B92" s="57"/>
      <c r="C92" s="57"/>
      <c r="D92" s="132"/>
      <c r="K92" s="53"/>
      <c r="L92" s="57"/>
      <c r="M92" s="57"/>
      <c r="N92" s="53"/>
      <c r="O92" s="53"/>
      <c r="P92" s="53"/>
      <c r="Q92" s="53"/>
      <c r="R92" s="57"/>
      <c r="S92" s="53"/>
      <c r="T92" s="53"/>
      <c r="U92" s="707"/>
      <c r="V92" s="53"/>
      <c r="W92" s="53"/>
      <c r="X92" s="53"/>
      <c r="Y92" s="53"/>
      <c r="Z92" s="53"/>
      <c r="AA92" s="56"/>
      <c r="AB92" s="54"/>
      <c r="AC92" s="54"/>
      <c r="AD92" s="54"/>
      <c r="AE92" s="54"/>
      <c r="AF92" s="132">
        <v>11</v>
      </c>
    </row>
    <row r="93" s="132" customFormat="1" ht="11.5" customHeight="1">
      <c r="A93" s="706"/>
      <c r="B93" s="57"/>
      <c r="C93" s="57"/>
      <c r="D93" s="132"/>
      <c r="K93" s="53"/>
      <c r="L93" s="57"/>
      <c r="M93" s="57"/>
      <c r="N93" s="53"/>
      <c r="O93" s="53"/>
      <c r="P93" s="53"/>
      <c r="Q93" s="53"/>
      <c r="R93" s="57"/>
      <c r="S93" s="53"/>
      <c r="T93" s="53"/>
      <c r="U93" s="707"/>
      <c r="V93" s="53"/>
      <c r="W93" s="53"/>
      <c r="X93" s="53"/>
      <c r="Y93" s="53"/>
      <c r="Z93" s="53"/>
      <c r="AA93" s="56"/>
      <c r="AB93" s="54"/>
      <c r="AC93" s="54"/>
      <c r="AD93" s="54"/>
      <c r="AE93" s="54"/>
      <c r="AF93" s="132">
        <v>11</v>
      </c>
    </row>
    <row r="94" s="132" customFormat="1" ht="11.5" customHeight="1">
      <c r="A94" s="706"/>
      <c r="B94" s="57"/>
      <c r="C94" s="57"/>
      <c r="D94" s="132"/>
      <c r="K94" s="53"/>
      <c r="L94" s="57"/>
      <c r="M94" s="57"/>
      <c r="N94" s="53"/>
      <c r="O94" s="53"/>
      <c r="P94" s="53"/>
      <c r="Q94" s="53"/>
      <c r="R94" s="57"/>
      <c r="S94" s="53"/>
      <c r="T94" s="53"/>
      <c r="U94" s="707"/>
      <c r="V94" s="53"/>
      <c r="W94" s="53"/>
      <c r="X94" s="53"/>
      <c r="Y94" s="53"/>
      <c r="Z94" s="53"/>
      <c r="AA94" s="56"/>
      <c r="AB94" s="54"/>
      <c r="AC94" s="54"/>
      <c r="AD94" s="54"/>
      <c r="AE94" s="54"/>
      <c r="AF94" s="132">
        <v>11</v>
      </c>
    </row>
    <row r="95" s="132" customFormat="1" ht="11.5" customHeight="1">
      <c r="A95" s="706"/>
      <c r="B95" s="57"/>
      <c r="C95" s="57"/>
      <c r="D95" s="132"/>
      <c r="K95" s="53"/>
      <c r="L95" s="57"/>
      <c r="M95" s="57"/>
      <c r="N95" s="53"/>
      <c r="O95" s="53"/>
      <c r="P95" s="53"/>
      <c r="Q95" s="53"/>
      <c r="R95" s="57"/>
      <c r="S95" s="53"/>
      <c r="T95" s="53"/>
      <c r="U95" s="707"/>
      <c r="V95" s="53"/>
      <c r="W95" s="53"/>
      <c r="X95" s="53"/>
      <c r="Y95" s="53"/>
      <c r="Z95" s="53"/>
      <c r="AA95" s="56"/>
      <c r="AB95" s="54"/>
      <c r="AC95" s="54"/>
      <c r="AD95" s="54"/>
      <c r="AE95" s="54"/>
      <c r="AF95" s="132">
        <v>11</v>
      </c>
    </row>
    <row r="96" s="132" customFormat="1" ht="11.5" customHeight="1">
      <c r="A96" s="706"/>
      <c r="B96" s="57"/>
      <c r="C96" s="57"/>
      <c r="D96" s="132"/>
      <c r="K96" s="53"/>
      <c r="L96" s="57"/>
      <c r="M96" s="57"/>
      <c r="N96" s="53"/>
      <c r="O96" s="53"/>
      <c r="P96" s="53"/>
      <c r="Q96" s="53"/>
      <c r="R96" s="57"/>
      <c r="S96" s="53"/>
      <c r="T96" s="53"/>
      <c r="U96" s="707"/>
      <c r="V96" s="53"/>
      <c r="W96" s="53"/>
      <c r="X96" s="53"/>
      <c r="Y96" s="53"/>
      <c r="Z96" s="53"/>
      <c r="AA96" s="56"/>
      <c r="AB96" s="54"/>
      <c r="AC96" s="54"/>
      <c r="AD96" s="54"/>
      <c r="AE96" s="54"/>
      <c r="AF96" s="132">
        <v>11</v>
      </c>
    </row>
    <row r="97" s="132" customFormat="1" ht="11.5" customHeight="1">
      <c r="A97" s="706"/>
      <c r="B97" s="57"/>
      <c r="C97" s="57"/>
      <c r="D97" s="132"/>
      <c r="K97" s="53"/>
      <c r="L97" s="57"/>
      <c r="M97" s="57"/>
      <c r="N97" s="53"/>
      <c r="O97" s="53"/>
      <c r="P97" s="53"/>
      <c r="Q97" s="53"/>
      <c r="R97" s="57"/>
      <c r="S97" s="53"/>
      <c r="T97" s="53"/>
      <c r="U97" s="707"/>
      <c r="V97" s="53"/>
      <c r="W97" s="53"/>
      <c r="X97" s="53"/>
      <c r="Y97" s="53"/>
      <c r="Z97" s="53"/>
      <c r="AA97" s="56"/>
      <c r="AB97" s="54"/>
      <c r="AC97" s="54"/>
      <c r="AD97" s="54"/>
      <c r="AE97" s="54"/>
      <c r="AF97" s="132">
        <v>11</v>
      </c>
    </row>
    <row r="98" s="132" customFormat="1" ht="11.5" customHeight="1">
      <c r="A98" s="706"/>
      <c r="B98" s="57"/>
      <c r="C98" s="57"/>
      <c r="D98" s="132"/>
      <c r="K98" s="53"/>
      <c r="L98" s="57"/>
      <c r="M98" s="57"/>
      <c r="N98" s="53"/>
      <c r="O98" s="53"/>
      <c r="P98" s="53"/>
      <c r="Q98" s="53"/>
      <c r="R98" s="57"/>
      <c r="S98" s="53"/>
      <c r="T98" s="53"/>
      <c r="U98" s="707"/>
      <c r="V98" s="53"/>
      <c r="W98" s="53"/>
      <c r="X98" s="53"/>
      <c r="Y98" s="53"/>
      <c r="Z98" s="53"/>
      <c r="AA98" s="56"/>
      <c r="AB98" s="54"/>
      <c r="AC98" s="54"/>
      <c r="AD98" s="54"/>
      <c r="AE98" s="54"/>
      <c r="AF98" s="132">
        <v>11</v>
      </c>
    </row>
    <row r="99" s="132" customFormat="1" ht="11.5" customHeight="1">
      <c r="A99" s="706"/>
      <c r="B99" s="57"/>
      <c r="C99" s="57"/>
      <c r="D99" s="132"/>
      <c r="K99" s="53"/>
      <c r="L99" s="57"/>
      <c r="M99" s="57"/>
      <c r="N99" s="53"/>
      <c r="O99" s="53"/>
      <c r="P99" s="53"/>
      <c r="Q99" s="53"/>
      <c r="R99" s="57"/>
      <c r="S99" s="53"/>
      <c r="T99" s="53"/>
      <c r="U99" s="707"/>
      <c r="V99" s="53"/>
      <c r="W99" s="53"/>
      <c r="X99" s="53"/>
      <c r="Y99" s="53"/>
      <c r="Z99" s="53"/>
      <c r="AA99" s="56"/>
      <c r="AB99" s="54"/>
      <c r="AC99" s="54"/>
      <c r="AD99" s="54"/>
      <c r="AE99" s="54"/>
      <c r="AF99" s="132">
        <v>11</v>
      </c>
    </row>
    <row r="100" s="132" customFormat="1" ht="11.5" customHeight="1">
      <c r="A100" s="706"/>
      <c r="B100" s="57"/>
      <c r="C100" s="57"/>
      <c r="D100" s="132"/>
      <c r="K100" s="53"/>
      <c r="L100" s="57"/>
      <c r="M100" s="57"/>
      <c r="N100" s="53"/>
      <c r="O100" s="53"/>
      <c r="P100" s="53"/>
      <c r="Q100" s="53"/>
      <c r="R100" s="57"/>
      <c r="S100" s="53"/>
      <c r="T100" s="53"/>
      <c r="U100" s="707"/>
      <c r="V100" s="53"/>
      <c r="W100" s="53"/>
      <c r="X100" s="53"/>
      <c r="Y100" s="53"/>
      <c r="Z100" s="53"/>
      <c r="AA100" s="56"/>
      <c r="AB100" s="54"/>
      <c r="AC100" s="54"/>
      <c r="AD100" s="54"/>
      <c r="AE100" s="54"/>
      <c r="AF100" s="132">
        <v>11</v>
      </c>
    </row>
    <row r="101" s="132" customFormat="1" ht="11.5" customHeight="1">
      <c r="A101" s="706"/>
      <c r="B101" s="57"/>
      <c r="C101" s="57"/>
      <c r="D101" s="132"/>
      <c r="K101" s="53"/>
      <c r="L101" s="57"/>
      <c r="M101" s="57"/>
      <c r="N101" s="53"/>
      <c r="O101" s="53"/>
      <c r="P101" s="53"/>
      <c r="Q101" s="53"/>
      <c r="R101" s="57"/>
      <c r="S101" s="53"/>
      <c r="T101" s="53"/>
      <c r="U101" s="707"/>
      <c r="V101" s="53"/>
      <c r="W101" s="53"/>
      <c r="X101" s="53"/>
      <c r="Y101" s="53"/>
      <c r="Z101" s="53"/>
      <c r="AA101" s="56"/>
      <c r="AB101" s="54"/>
      <c r="AC101" s="54"/>
      <c r="AD101" s="54"/>
      <c r="AE101" s="54"/>
      <c r="AF101" s="132">
        <v>11</v>
      </c>
    </row>
    <row r="102" s="132" customFormat="1" ht="11.5" customHeight="1">
      <c r="A102" s="706"/>
      <c r="B102" s="57"/>
      <c r="C102" s="57"/>
      <c r="D102" s="132"/>
      <c r="K102" s="53"/>
      <c r="L102" s="57"/>
      <c r="M102" s="57"/>
      <c r="N102" s="53"/>
      <c r="O102" s="53"/>
      <c r="P102" s="53"/>
      <c r="Q102" s="53"/>
      <c r="R102" s="57"/>
      <c r="S102" s="53"/>
      <c r="T102" s="53"/>
      <c r="U102" s="707"/>
      <c r="V102" s="53"/>
      <c r="W102" s="53"/>
      <c r="X102" s="53"/>
      <c r="Y102" s="53"/>
      <c r="Z102" s="53"/>
      <c r="AA102" s="56"/>
      <c r="AB102" s="54"/>
      <c r="AC102" s="54"/>
      <c r="AD102" s="54"/>
      <c r="AE102" s="54"/>
      <c r="AF102" s="132">
        <v>11</v>
      </c>
    </row>
    <row r="103" s="132" customFormat="1" ht="11.5" customHeight="1">
      <c r="A103" s="706"/>
      <c r="B103" s="57"/>
      <c r="C103" s="57"/>
      <c r="D103" s="132"/>
      <c r="K103" s="53"/>
      <c r="L103" s="57"/>
      <c r="M103" s="57"/>
      <c r="N103" s="53"/>
      <c r="O103" s="53"/>
      <c r="P103" s="53"/>
      <c r="Q103" s="53"/>
      <c r="R103" s="57"/>
      <c r="S103" s="53"/>
      <c r="T103" s="53"/>
      <c r="U103" s="707"/>
      <c r="V103" s="53"/>
      <c r="W103" s="53"/>
      <c r="X103" s="53"/>
      <c r="Y103" s="53"/>
      <c r="Z103" s="53"/>
      <c r="AA103" s="56"/>
      <c r="AB103" s="54"/>
      <c r="AC103" s="54"/>
      <c r="AD103" s="54"/>
      <c r="AE103" s="54"/>
      <c r="AF103" s="132">
        <v>11</v>
      </c>
    </row>
    <row r="104" s="132" customFormat="1" ht="11.5" customHeight="1">
      <c r="A104" s="706"/>
      <c r="B104" s="57"/>
      <c r="C104" s="57"/>
      <c r="D104" s="132"/>
      <c r="K104" s="53"/>
      <c r="L104" s="57"/>
      <c r="M104" s="57"/>
      <c r="N104" s="53"/>
      <c r="O104" s="53"/>
      <c r="P104" s="53"/>
      <c r="Q104" s="53"/>
      <c r="R104" s="57"/>
      <c r="S104" s="53"/>
      <c r="T104" s="53"/>
      <c r="U104" s="707"/>
      <c r="V104" s="53"/>
      <c r="W104" s="53"/>
      <c r="X104" s="53"/>
      <c r="Y104" s="53"/>
      <c r="Z104" s="53"/>
      <c r="AA104" s="56"/>
      <c r="AB104" s="54"/>
      <c r="AC104" s="54"/>
      <c r="AD104" s="54"/>
      <c r="AE104" s="54"/>
      <c r="AF104" s="132">
        <v>11</v>
      </c>
    </row>
    <row r="105" s="132" customFormat="1" ht="11.5" customHeight="1">
      <c r="A105" s="706"/>
      <c r="B105" s="57"/>
      <c r="C105" s="57"/>
      <c r="D105" s="132"/>
      <c r="K105" s="53"/>
      <c r="L105" s="57"/>
      <c r="M105" s="57"/>
      <c r="N105" s="53"/>
      <c r="O105" s="53"/>
      <c r="P105" s="53"/>
      <c r="Q105" s="53"/>
      <c r="R105" s="57"/>
      <c r="S105" s="53"/>
      <c r="T105" s="53"/>
      <c r="U105" s="707"/>
      <c r="V105" s="53"/>
      <c r="W105" s="53"/>
      <c r="X105" s="53"/>
      <c r="Y105" s="53"/>
      <c r="Z105" s="53"/>
      <c r="AA105" s="56"/>
      <c r="AB105" s="54"/>
      <c r="AC105" s="54"/>
      <c r="AD105" s="54"/>
      <c r="AE105" s="54"/>
      <c r="AF105" s="132">
        <v>11</v>
      </c>
    </row>
    <row r="106" s="132" customFormat="1" ht="11.5" customHeight="1">
      <c r="A106" s="706"/>
      <c r="B106" s="57"/>
      <c r="C106" s="57"/>
      <c r="D106" s="132"/>
      <c r="K106" s="53"/>
      <c r="L106" s="57"/>
      <c r="M106" s="57"/>
      <c r="N106" s="53"/>
      <c r="O106" s="53"/>
      <c r="P106" s="53"/>
      <c r="Q106" s="53"/>
      <c r="R106" s="57"/>
      <c r="S106" s="53"/>
      <c r="T106" s="53"/>
      <c r="U106" s="707"/>
      <c r="V106" s="53"/>
      <c r="W106" s="53"/>
      <c r="X106" s="53"/>
      <c r="Y106" s="53"/>
      <c r="Z106" s="53"/>
      <c r="AA106" s="56"/>
      <c r="AB106" s="54"/>
      <c r="AC106" s="54"/>
      <c r="AD106" s="54"/>
      <c r="AE106" s="54"/>
      <c r="AF106" s="132">
        <v>11</v>
      </c>
    </row>
    <row r="107" s="132" customFormat="1" ht="11.5" customHeight="1">
      <c r="A107" s="706"/>
      <c r="B107" s="57"/>
      <c r="C107" s="57"/>
      <c r="D107" s="132"/>
      <c r="K107" s="53"/>
      <c r="L107" s="57"/>
      <c r="M107" s="57"/>
      <c r="N107" s="53"/>
      <c r="O107" s="53"/>
      <c r="P107" s="53"/>
      <c r="Q107" s="53"/>
      <c r="R107" s="57"/>
      <c r="S107" s="53"/>
      <c r="T107" s="53"/>
      <c r="U107" s="707"/>
      <c r="V107" s="53"/>
      <c r="W107" s="53"/>
      <c r="X107" s="53"/>
      <c r="Y107" s="53"/>
      <c r="Z107" s="53"/>
      <c r="AA107" s="56"/>
      <c r="AB107" s="54"/>
      <c r="AC107" s="54"/>
      <c r="AD107" s="54"/>
      <c r="AE107" s="54"/>
      <c r="AF107" s="132">
        <v>11</v>
      </c>
    </row>
    <row r="108" s="132" customFormat="1" ht="11.5" customHeight="1">
      <c r="A108" s="706"/>
      <c r="B108" s="57"/>
      <c r="C108" s="57"/>
      <c r="D108" s="132"/>
      <c r="K108" s="53"/>
      <c r="L108" s="57"/>
      <c r="M108" s="57"/>
      <c r="N108" s="53"/>
      <c r="O108" s="53"/>
      <c r="P108" s="53"/>
      <c r="Q108" s="53"/>
      <c r="R108" s="57"/>
      <c r="S108" s="53"/>
      <c r="T108" s="53"/>
      <c r="U108" s="707"/>
      <c r="V108" s="53"/>
      <c r="W108" s="53"/>
      <c r="X108" s="53"/>
      <c r="Y108" s="53"/>
      <c r="Z108" s="53"/>
      <c r="AA108" s="56"/>
      <c r="AB108" s="54"/>
      <c r="AC108" s="54"/>
      <c r="AD108" s="54"/>
      <c r="AE108" s="54"/>
      <c r="AF108" s="132">
        <v>11</v>
      </c>
    </row>
    <row r="109" s="132" customFormat="1" ht="11.5" customHeight="1">
      <c r="A109" s="706"/>
      <c r="B109" s="57"/>
      <c r="C109" s="57"/>
      <c r="D109" s="132"/>
      <c r="K109" s="53"/>
      <c r="L109" s="57"/>
      <c r="M109" s="57"/>
      <c r="N109" s="53"/>
      <c r="O109" s="53"/>
      <c r="P109" s="53"/>
      <c r="Q109" s="53"/>
      <c r="R109" s="57"/>
      <c r="S109" s="53"/>
      <c r="T109" s="53"/>
      <c r="U109" s="707"/>
      <c r="V109" s="53"/>
      <c r="W109" s="53"/>
      <c r="X109" s="53"/>
      <c r="Y109" s="53"/>
      <c r="Z109" s="53"/>
      <c r="AA109" s="56"/>
      <c r="AB109" s="54"/>
      <c r="AC109" s="54"/>
      <c r="AD109" s="54"/>
      <c r="AE109" s="54"/>
      <c r="AF109" s="132">
        <v>11</v>
      </c>
    </row>
    <row r="110" s="132" customFormat="1" ht="11.5" customHeight="1">
      <c r="A110" s="706"/>
      <c r="B110" s="57"/>
      <c r="C110" s="57"/>
      <c r="D110" s="132"/>
      <c r="K110" s="53"/>
      <c r="L110" s="57"/>
      <c r="M110" s="57"/>
      <c r="N110" s="53"/>
      <c r="O110" s="53"/>
      <c r="P110" s="53"/>
      <c r="Q110" s="53"/>
      <c r="R110" s="57"/>
      <c r="S110" s="53"/>
      <c r="T110" s="53"/>
      <c r="U110" s="707"/>
      <c r="V110" s="53"/>
      <c r="W110" s="53"/>
      <c r="X110" s="53"/>
      <c r="Y110" s="53"/>
      <c r="Z110" s="53"/>
      <c r="AA110" s="56"/>
      <c r="AB110" s="54"/>
      <c r="AC110" s="54"/>
      <c r="AD110" s="54"/>
      <c r="AE110" s="54"/>
      <c r="AF110" s="132">
        <v>11</v>
      </c>
    </row>
    <row r="111" s="132" customFormat="1" ht="11.5" customHeight="1">
      <c r="A111" s="706"/>
      <c r="B111" s="57"/>
      <c r="C111" s="57"/>
      <c r="D111" s="132"/>
      <c r="K111" s="53"/>
      <c r="L111" s="57"/>
      <c r="M111" s="57"/>
      <c r="N111" s="53"/>
      <c r="O111" s="53"/>
      <c r="P111" s="53"/>
      <c r="Q111" s="53"/>
      <c r="R111" s="57"/>
      <c r="S111" s="53"/>
      <c r="T111" s="53"/>
      <c r="U111" s="707"/>
      <c r="V111" s="53"/>
      <c r="W111" s="53"/>
      <c r="X111" s="53"/>
      <c r="Y111" s="53"/>
      <c r="Z111" s="53"/>
      <c r="AA111" s="56"/>
      <c r="AB111" s="54"/>
      <c r="AC111" s="54"/>
      <c r="AD111" s="54"/>
      <c r="AE111" s="54"/>
      <c r="AF111" s="132">
        <v>11</v>
      </c>
    </row>
    <row r="112" s="132" customFormat="1" ht="11.5" customHeight="1">
      <c r="A112" s="706"/>
      <c r="B112" s="57"/>
      <c r="C112" s="57"/>
      <c r="D112" s="132"/>
      <c r="K112" s="53"/>
      <c r="L112" s="57"/>
      <c r="M112" s="57"/>
      <c r="N112" s="53"/>
      <c r="O112" s="53"/>
      <c r="P112" s="53"/>
      <c r="Q112" s="53"/>
      <c r="R112" s="57"/>
      <c r="S112" s="53"/>
      <c r="T112" s="53"/>
      <c r="U112" s="707"/>
      <c r="V112" s="53"/>
      <c r="W112" s="53"/>
      <c r="X112" s="53"/>
      <c r="Y112" s="53"/>
      <c r="Z112" s="53"/>
      <c r="AA112" s="56"/>
      <c r="AB112" s="54"/>
      <c r="AC112" s="54"/>
      <c r="AD112" s="54"/>
      <c r="AE112" s="54"/>
      <c r="AF112" s="132">
        <v>11</v>
      </c>
    </row>
    <row r="113" s="132" customFormat="1" ht="11.5" customHeight="1">
      <c r="A113" s="706"/>
      <c r="B113" s="57"/>
      <c r="C113" s="57"/>
      <c r="D113" s="132"/>
      <c r="K113" s="53"/>
      <c r="L113" s="57"/>
      <c r="M113" s="57"/>
      <c r="N113" s="53"/>
      <c r="O113" s="53"/>
      <c r="P113" s="53"/>
      <c r="Q113" s="53"/>
      <c r="R113" s="57"/>
      <c r="S113" s="53"/>
      <c r="T113" s="53"/>
      <c r="U113" s="707"/>
      <c r="V113" s="53"/>
      <c r="W113" s="53"/>
      <c r="X113" s="53"/>
      <c r="Y113" s="53"/>
      <c r="Z113" s="53"/>
      <c r="AA113" s="56"/>
      <c r="AB113" s="54"/>
      <c r="AC113" s="54"/>
      <c r="AD113" s="54"/>
      <c r="AE113" s="54"/>
      <c r="AF113" s="132">
        <v>11</v>
      </c>
    </row>
    <row r="114" s="132" customFormat="1" ht="11.5" customHeight="1">
      <c r="A114" s="706"/>
      <c r="B114" s="57"/>
      <c r="C114" s="57"/>
      <c r="D114" s="132"/>
      <c r="K114" s="53"/>
      <c r="L114" s="57"/>
      <c r="M114" s="57"/>
      <c r="N114" s="53"/>
      <c r="O114" s="53"/>
      <c r="P114" s="53"/>
      <c r="Q114" s="53"/>
      <c r="R114" s="57"/>
      <c r="S114" s="53"/>
      <c r="T114" s="53"/>
      <c r="U114" s="707"/>
      <c r="V114" s="53"/>
      <c r="W114" s="53"/>
      <c r="X114" s="53"/>
      <c r="Y114" s="53"/>
      <c r="Z114" s="53"/>
      <c r="AA114" s="56"/>
      <c r="AB114" s="54"/>
      <c r="AC114" s="54"/>
      <c r="AD114" s="54"/>
      <c r="AE114" s="54"/>
      <c r="AF114" s="132">
        <v>11</v>
      </c>
    </row>
    <row r="115" s="132" customFormat="1" ht="11.5" customHeight="1">
      <c r="A115" s="706"/>
      <c r="B115" s="57"/>
      <c r="C115" s="57"/>
      <c r="D115" s="132"/>
      <c r="K115" s="53"/>
      <c r="L115" s="57"/>
      <c r="M115" s="57"/>
      <c r="N115" s="53"/>
      <c r="O115" s="53"/>
      <c r="P115" s="53"/>
      <c r="Q115" s="53"/>
      <c r="R115" s="57"/>
      <c r="S115" s="53"/>
      <c r="T115" s="53"/>
      <c r="U115" s="707"/>
      <c r="V115" s="53"/>
      <c r="W115" s="53"/>
      <c r="X115" s="53"/>
      <c r="Y115" s="53"/>
      <c r="Z115" s="53"/>
      <c r="AA115" s="56"/>
      <c r="AB115" s="54"/>
      <c r="AC115" s="54"/>
      <c r="AD115" s="54"/>
      <c r="AE115" s="54"/>
      <c r="AF115" s="132">
        <v>11</v>
      </c>
    </row>
    <row r="116" s="132" customFormat="1" ht="11.5" customHeight="1">
      <c r="A116" s="706"/>
      <c r="B116" s="57"/>
      <c r="C116" s="57"/>
      <c r="D116" s="132"/>
      <c r="K116" s="53"/>
      <c r="L116" s="57"/>
      <c r="M116" s="57"/>
      <c r="N116" s="53"/>
      <c r="O116" s="53"/>
      <c r="P116" s="53"/>
      <c r="Q116" s="53"/>
      <c r="R116" s="57"/>
      <c r="S116" s="53"/>
      <c r="T116" s="53"/>
      <c r="U116" s="707"/>
      <c r="V116" s="53"/>
      <c r="W116" s="53"/>
      <c r="X116" s="53"/>
      <c r="Y116" s="53"/>
      <c r="Z116" s="53"/>
      <c r="AA116" s="56"/>
      <c r="AB116" s="54"/>
      <c r="AC116" s="54"/>
      <c r="AD116" s="54"/>
      <c r="AE116" s="54"/>
      <c r="AF116" s="132">
        <v>11</v>
      </c>
    </row>
    <row r="117" s="132" customFormat="1" ht="11.5" customHeight="1">
      <c r="A117" s="706"/>
      <c r="B117" s="57"/>
      <c r="C117" s="57"/>
      <c r="D117" s="132"/>
      <c r="K117" s="53"/>
      <c r="L117" s="57"/>
      <c r="M117" s="57"/>
      <c r="N117" s="53"/>
      <c r="O117" s="53"/>
      <c r="P117" s="53"/>
      <c r="Q117" s="53"/>
      <c r="R117" s="57"/>
      <c r="S117" s="53"/>
      <c r="T117" s="53"/>
      <c r="U117" s="707"/>
      <c r="V117" s="53"/>
      <c r="W117" s="53"/>
      <c r="X117" s="53"/>
      <c r="Y117" s="53"/>
      <c r="Z117" s="53"/>
      <c r="AA117" s="56"/>
      <c r="AB117" s="54"/>
      <c r="AC117" s="54"/>
      <c r="AD117" s="54"/>
      <c r="AE117" s="54"/>
      <c r="AF117" s="132">
        <v>11</v>
      </c>
    </row>
    <row r="118" s="132" customFormat="1" ht="11.5" customHeight="1">
      <c r="A118" s="706"/>
      <c r="B118" s="57"/>
      <c r="C118" s="57"/>
      <c r="D118" s="132"/>
      <c r="K118" s="53"/>
      <c r="L118" s="57"/>
      <c r="M118" s="57"/>
      <c r="N118" s="53"/>
      <c r="O118" s="53"/>
      <c r="P118" s="53"/>
      <c r="Q118" s="53"/>
      <c r="R118" s="57"/>
      <c r="S118" s="53"/>
      <c r="T118" s="53"/>
      <c r="U118" s="707"/>
      <c r="V118" s="53"/>
      <c r="W118" s="53"/>
      <c r="X118" s="53"/>
      <c r="Y118" s="53"/>
      <c r="Z118" s="53"/>
      <c r="AA118" s="56"/>
      <c r="AB118" s="54"/>
      <c r="AC118" s="54"/>
      <c r="AD118" s="54"/>
      <c r="AE118" s="54"/>
      <c r="AF118" s="132">
        <v>11</v>
      </c>
    </row>
    <row r="119" s="132" customFormat="1" ht="11.5" customHeight="1">
      <c r="A119" s="706"/>
      <c r="B119" s="57"/>
      <c r="C119" s="57"/>
      <c r="D119" s="132"/>
      <c r="K119" s="53"/>
      <c r="L119" s="57"/>
      <c r="M119" s="57"/>
      <c r="N119" s="53"/>
      <c r="O119" s="53"/>
      <c r="P119" s="53"/>
      <c r="Q119" s="53"/>
      <c r="R119" s="57"/>
      <c r="S119" s="53"/>
      <c r="T119" s="53"/>
      <c r="U119" s="707"/>
      <c r="V119" s="53"/>
      <c r="W119" s="53"/>
      <c r="X119" s="53"/>
      <c r="Y119" s="53"/>
      <c r="Z119" s="53"/>
      <c r="AA119" s="56"/>
      <c r="AB119" s="54"/>
      <c r="AC119" s="54"/>
      <c r="AD119" s="54"/>
      <c r="AE119" s="54"/>
      <c r="AF119" s="132">
        <v>11</v>
      </c>
    </row>
    <row r="120" s="132" customFormat="1" ht="11.5" customHeight="1">
      <c r="A120" s="706"/>
      <c r="B120" s="57"/>
      <c r="C120" s="57"/>
      <c r="D120" s="132"/>
      <c r="K120" s="53"/>
      <c r="L120" s="57"/>
      <c r="M120" s="57"/>
      <c r="N120" s="53"/>
      <c r="O120" s="53"/>
      <c r="P120" s="53"/>
      <c r="Q120" s="53"/>
      <c r="R120" s="57"/>
      <c r="S120" s="53"/>
      <c r="T120" s="53"/>
      <c r="U120" s="707"/>
      <c r="V120" s="53"/>
      <c r="W120" s="53"/>
      <c r="X120" s="53"/>
      <c r="Y120" s="53"/>
      <c r="Z120" s="53"/>
      <c r="AA120" s="56"/>
      <c r="AB120" s="54"/>
      <c r="AC120" s="54"/>
      <c r="AD120" s="54"/>
      <c r="AE120" s="54"/>
      <c r="AF120" s="132">
        <v>11</v>
      </c>
    </row>
    <row r="121" s="132" customFormat="1" ht="11.5" customHeight="1">
      <c r="A121" s="706"/>
      <c r="B121" s="57"/>
      <c r="C121" s="57"/>
      <c r="D121" s="132"/>
      <c r="K121" s="53"/>
      <c r="L121" s="57"/>
      <c r="M121" s="57"/>
      <c r="N121" s="53"/>
      <c r="O121" s="53"/>
      <c r="P121" s="53"/>
      <c r="Q121" s="53"/>
      <c r="R121" s="57"/>
      <c r="S121" s="53"/>
      <c r="T121" s="53"/>
      <c r="U121" s="707"/>
      <c r="V121" s="53"/>
      <c r="W121" s="53"/>
      <c r="X121" s="53"/>
      <c r="Y121" s="53"/>
      <c r="Z121" s="53"/>
      <c r="AA121" s="56"/>
      <c r="AB121" s="54"/>
      <c r="AC121" s="54"/>
      <c r="AD121" s="54"/>
      <c r="AE121" s="54"/>
      <c r="AF121" s="132">
        <v>11</v>
      </c>
    </row>
    <row r="122" s="132" customFormat="1" ht="11.5" customHeight="1">
      <c r="A122" s="706"/>
      <c r="B122" s="57"/>
      <c r="C122" s="57"/>
      <c r="D122" s="132"/>
      <c r="K122" s="53"/>
      <c r="L122" s="57"/>
      <c r="M122" s="57"/>
      <c r="N122" s="53"/>
      <c r="O122" s="53"/>
      <c r="P122" s="53"/>
      <c r="Q122" s="53"/>
      <c r="R122" s="57"/>
      <c r="S122" s="53"/>
      <c r="T122" s="53"/>
      <c r="U122" s="707"/>
      <c r="V122" s="53"/>
      <c r="W122" s="53"/>
      <c r="X122" s="53"/>
      <c r="Y122" s="53"/>
      <c r="Z122" s="53"/>
      <c r="AA122" s="56"/>
      <c r="AB122" s="54"/>
      <c r="AC122" s="54"/>
      <c r="AD122" s="54"/>
      <c r="AE122" s="54"/>
      <c r="AF122" s="132">
        <v>11</v>
      </c>
    </row>
    <row r="123" s="132" customFormat="1" ht="11.5" customHeight="1">
      <c r="A123" s="706"/>
      <c r="B123" s="57"/>
      <c r="C123" s="57"/>
      <c r="D123" s="132"/>
      <c r="K123" s="53"/>
      <c r="L123" s="57"/>
      <c r="M123" s="57"/>
      <c r="N123" s="53"/>
      <c r="O123" s="53"/>
      <c r="P123" s="53"/>
      <c r="Q123" s="53"/>
      <c r="R123" s="57"/>
      <c r="S123" s="53"/>
      <c r="T123" s="53"/>
      <c r="U123" s="707"/>
      <c r="V123" s="53"/>
      <c r="W123" s="53"/>
      <c r="X123" s="53"/>
      <c r="Y123" s="53"/>
      <c r="Z123" s="53"/>
      <c r="AA123" s="56"/>
      <c r="AB123" s="54"/>
      <c r="AC123" s="54"/>
      <c r="AD123" s="54"/>
      <c r="AE123" s="54"/>
      <c r="AF123" s="132">
        <v>11</v>
      </c>
    </row>
    <row r="124" s="132" customFormat="1" ht="11.5" customHeight="1">
      <c r="A124" s="706"/>
      <c r="B124" s="57"/>
      <c r="C124" s="57"/>
      <c r="D124" s="132"/>
      <c r="K124" s="53"/>
      <c r="L124" s="57"/>
      <c r="M124" s="57"/>
      <c r="N124" s="53"/>
      <c r="O124" s="53"/>
      <c r="P124" s="53"/>
      <c r="Q124" s="53"/>
      <c r="R124" s="57"/>
      <c r="S124" s="53"/>
      <c r="T124" s="53"/>
      <c r="U124" s="707"/>
      <c r="V124" s="53"/>
      <c r="W124" s="53"/>
      <c r="X124" s="53"/>
      <c r="Y124" s="53"/>
      <c r="Z124" s="53"/>
      <c r="AA124" s="56"/>
      <c r="AB124" s="54"/>
      <c r="AC124" s="54"/>
      <c r="AD124" s="54"/>
      <c r="AE124" s="54"/>
      <c r="AF124" s="132">
        <v>11</v>
      </c>
    </row>
    <row r="125" s="132" customFormat="1" ht="11.5" customHeight="1">
      <c r="A125" s="706"/>
      <c r="B125" s="57"/>
      <c r="C125" s="57"/>
      <c r="D125" s="132"/>
      <c r="K125" s="53"/>
      <c r="L125" s="57"/>
      <c r="M125" s="57"/>
      <c r="N125" s="53"/>
      <c r="O125" s="53"/>
      <c r="P125" s="53"/>
      <c r="Q125" s="53"/>
      <c r="R125" s="57"/>
      <c r="S125" s="53"/>
      <c r="T125" s="53"/>
      <c r="U125" s="707"/>
      <c r="V125" s="53"/>
      <c r="W125" s="53"/>
      <c r="X125" s="53"/>
      <c r="Y125" s="53"/>
      <c r="Z125" s="53"/>
      <c r="AA125" s="56"/>
      <c r="AB125" s="54"/>
      <c r="AC125" s="54"/>
      <c r="AD125" s="54"/>
      <c r="AE125" s="54"/>
      <c r="AF125" s="132">
        <v>11</v>
      </c>
    </row>
    <row r="126" s="132" customFormat="1" ht="11.5" customHeight="1">
      <c r="A126" s="706"/>
      <c r="B126" s="57"/>
      <c r="C126" s="57"/>
      <c r="D126" s="132"/>
      <c r="K126" s="53"/>
      <c r="L126" s="57"/>
      <c r="M126" s="57"/>
      <c r="N126" s="53"/>
      <c r="O126" s="53"/>
      <c r="P126" s="53"/>
      <c r="Q126" s="53"/>
      <c r="R126" s="57"/>
      <c r="S126" s="53"/>
      <c r="T126" s="53"/>
      <c r="U126" s="707"/>
      <c r="V126" s="53"/>
      <c r="W126" s="53"/>
      <c r="X126" s="53"/>
      <c r="Y126" s="53"/>
      <c r="Z126" s="53"/>
      <c r="AA126" s="56"/>
      <c r="AB126" s="54"/>
      <c r="AC126" s="54"/>
      <c r="AD126" s="54"/>
      <c r="AE126" s="54"/>
      <c r="AF126" s="132">
        <v>11</v>
      </c>
    </row>
    <row r="127" s="132" customFormat="1" ht="11.5" customHeight="1">
      <c r="A127" s="706"/>
      <c r="B127" s="57"/>
      <c r="C127" s="57"/>
      <c r="D127" s="132"/>
      <c r="K127" s="53"/>
      <c r="L127" s="57"/>
      <c r="M127" s="57"/>
      <c r="N127" s="53"/>
      <c r="O127" s="53"/>
      <c r="P127" s="53"/>
      <c r="Q127" s="53"/>
      <c r="R127" s="57"/>
      <c r="S127" s="53"/>
      <c r="T127" s="53"/>
      <c r="U127" s="707"/>
      <c r="V127" s="53"/>
      <c r="W127" s="53"/>
      <c r="X127" s="53"/>
      <c r="Y127" s="53"/>
      <c r="Z127" s="53"/>
      <c r="AA127" s="56"/>
      <c r="AB127" s="54"/>
      <c r="AC127" s="54"/>
      <c r="AD127" s="54"/>
      <c r="AE127" s="54"/>
      <c r="AF127" s="132">
        <v>11</v>
      </c>
    </row>
    <row r="128" s="132" customFormat="1" ht="11.5" customHeight="1">
      <c r="A128" s="706"/>
      <c r="B128" s="57"/>
      <c r="C128" s="57"/>
      <c r="D128" s="132"/>
      <c r="K128" s="53"/>
      <c r="L128" s="57"/>
      <c r="M128" s="57"/>
      <c r="N128" s="53"/>
      <c r="O128" s="53"/>
      <c r="P128" s="53"/>
      <c r="Q128" s="53"/>
      <c r="R128" s="57"/>
      <c r="S128" s="53"/>
      <c r="T128" s="53"/>
      <c r="U128" s="707"/>
      <c r="V128" s="53"/>
      <c r="W128" s="53"/>
      <c r="X128" s="53"/>
      <c r="Y128" s="53"/>
      <c r="Z128" s="53"/>
      <c r="AA128" s="56"/>
      <c r="AB128" s="54"/>
      <c r="AC128" s="54"/>
      <c r="AD128" s="54"/>
      <c r="AE128" s="54"/>
      <c r="AF128" s="132">
        <v>11</v>
      </c>
    </row>
    <row r="129" s="132" customFormat="1" ht="11.5" customHeight="1">
      <c r="A129" s="706"/>
      <c r="B129" s="57"/>
      <c r="C129" s="57"/>
      <c r="D129" s="132"/>
      <c r="K129" s="53"/>
      <c r="L129" s="57"/>
      <c r="M129" s="57"/>
      <c r="N129" s="53"/>
      <c r="O129" s="53"/>
      <c r="P129" s="53"/>
      <c r="Q129" s="53"/>
      <c r="R129" s="57"/>
      <c r="S129" s="53"/>
      <c r="T129" s="53"/>
      <c r="U129" s="707"/>
      <c r="V129" s="53"/>
      <c r="W129" s="53"/>
      <c r="X129" s="53"/>
      <c r="Y129" s="53"/>
      <c r="Z129" s="53"/>
      <c r="AA129" s="56"/>
      <c r="AB129" s="54"/>
      <c r="AC129" s="54"/>
      <c r="AD129" s="54"/>
      <c r="AE129" s="54"/>
      <c r="AF129" s="132">
        <v>11</v>
      </c>
    </row>
    <row r="130" s="132" customFormat="1" ht="11.5" customHeight="1">
      <c r="A130" s="706"/>
      <c r="B130" s="57"/>
      <c r="C130" s="57"/>
      <c r="D130" s="132"/>
      <c r="K130" s="53"/>
      <c r="L130" s="57"/>
      <c r="M130" s="57"/>
      <c r="N130" s="53"/>
      <c r="O130" s="53"/>
      <c r="P130" s="53"/>
      <c r="Q130" s="53"/>
      <c r="R130" s="57"/>
      <c r="S130" s="53"/>
      <c r="T130" s="53"/>
      <c r="U130" s="707"/>
      <c r="V130" s="53"/>
      <c r="W130" s="53"/>
      <c r="X130" s="53"/>
      <c r="Y130" s="53"/>
      <c r="Z130" s="53"/>
      <c r="AA130" s="56"/>
      <c r="AB130" s="54"/>
      <c r="AC130" s="54"/>
      <c r="AD130" s="54"/>
      <c r="AE130" s="54"/>
      <c r="AF130" s="132">
        <v>11</v>
      </c>
    </row>
    <row r="131" s="132" customFormat="1" ht="11.5" customHeight="1">
      <c r="A131" s="706"/>
      <c r="B131" s="57"/>
      <c r="C131" s="57"/>
      <c r="D131" s="132"/>
      <c r="K131" s="53"/>
      <c r="L131" s="57"/>
      <c r="M131" s="57"/>
      <c r="N131" s="53"/>
      <c r="O131" s="53"/>
      <c r="P131" s="53"/>
      <c r="Q131" s="53"/>
      <c r="R131" s="57"/>
      <c r="S131" s="53"/>
      <c r="T131" s="53"/>
      <c r="U131" s="707"/>
      <c r="V131" s="53"/>
      <c r="W131" s="53"/>
      <c r="X131" s="53"/>
      <c r="Y131" s="53"/>
      <c r="Z131" s="53"/>
      <c r="AA131" s="56"/>
      <c r="AB131" s="54"/>
      <c r="AC131" s="54"/>
      <c r="AD131" s="54"/>
      <c r="AE131" s="54"/>
      <c r="AF131" s="132">
        <v>11</v>
      </c>
    </row>
    <row r="132" s="132" customFormat="1" ht="11.5" customHeight="1">
      <c r="A132" s="706"/>
      <c r="B132" s="57"/>
      <c r="C132" s="57"/>
      <c r="D132" s="132"/>
      <c r="K132" s="53"/>
      <c r="L132" s="57"/>
      <c r="M132" s="57"/>
      <c r="N132" s="53"/>
      <c r="O132" s="53"/>
      <c r="P132" s="53"/>
      <c r="Q132" s="53"/>
      <c r="R132" s="57"/>
      <c r="S132" s="53"/>
      <c r="T132" s="53"/>
      <c r="U132" s="707"/>
      <c r="V132" s="53"/>
      <c r="W132" s="53"/>
      <c r="X132" s="53"/>
      <c r="Y132" s="53"/>
      <c r="Z132" s="53"/>
      <c r="AA132" s="56"/>
      <c r="AB132" s="54"/>
      <c r="AC132" s="54"/>
      <c r="AD132" s="54"/>
      <c r="AE132" s="54"/>
      <c r="AF132" s="132">
        <v>11</v>
      </c>
    </row>
    <row r="133" s="132" customFormat="1" ht="11.5" customHeight="1">
      <c r="A133" s="706"/>
      <c r="B133" s="57"/>
      <c r="C133" s="57"/>
      <c r="D133" s="132"/>
      <c r="K133" s="53"/>
      <c r="L133" s="57"/>
      <c r="M133" s="57"/>
      <c r="N133" s="53"/>
      <c r="O133" s="53"/>
      <c r="P133" s="53"/>
      <c r="Q133" s="53"/>
      <c r="R133" s="57"/>
      <c r="S133" s="53"/>
      <c r="T133" s="53"/>
      <c r="U133" s="707"/>
      <c r="V133" s="53"/>
      <c r="W133" s="53"/>
      <c r="X133" s="53"/>
      <c r="Y133" s="53"/>
      <c r="Z133" s="53"/>
      <c r="AA133" s="56"/>
      <c r="AB133" s="54"/>
      <c r="AC133" s="54"/>
      <c r="AD133" s="54"/>
      <c r="AE133" s="54"/>
      <c r="AF133" s="132">
        <v>11</v>
      </c>
    </row>
    <row r="134" s="132" customFormat="1" ht="11.5" customHeight="1">
      <c r="A134" s="706"/>
      <c r="B134" s="57"/>
      <c r="C134" s="57"/>
      <c r="D134" s="132"/>
      <c r="K134" s="53"/>
      <c r="L134" s="57"/>
      <c r="M134" s="57"/>
      <c r="N134" s="53"/>
      <c r="O134" s="53"/>
      <c r="P134" s="53"/>
      <c r="Q134" s="53"/>
      <c r="R134" s="57"/>
      <c r="S134" s="53"/>
      <c r="T134" s="53"/>
      <c r="U134" s="707"/>
      <c r="V134" s="53"/>
      <c r="W134" s="53"/>
      <c r="X134" s="53"/>
      <c r="Y134" s="53"/>
      <c r="Z134" s="53"/>
      <c r="AA134" s="56"/>
      <c r="AB134" s="54"/>
      <c r="AC134" s="54"/>
      <c r="AD134" s="54"/>
      <c r="AE134" s="54"/>
      <c r="AF134" s="132">
        <v>11</v>
      </c>
    </row>
    <row r="135" s="132" customFormat="1" ht="11.5" customHeight="1">
      <c r="A135" s="706"/>
      <c r="B135" s="57"/>
      <c r="C135" s="57"/>
      <c r="D135" s="132"/>
      <c r="K135" s="53"/>
      <c r="L135" s="57"/>
      <c r="M135" s="57"/>
      <c r="N135" s="53"/>
      <c r="O135" s="53"/>
      <c r="P135" s="53"/>
      <c r="Q135" s="53"/>
      <c r="R135" s="57"/>
      <c r="S135" s="53"/>
      <c r="T135" s="53"/>
      <c r="U135" s="707"/>
      <c r="V135" s="53"/>
      <c r="W135" s="53"/>
      <c r="X135" s="53"/>
      <c r="Y135" s="53"/>
      <c r="Z135" s="53"/>
      <c r="AA135" s="56"/>
      <c r="AB135" s="54"/>
      <c r="AC135" s="54"/>
      <c r="AD135" s="54"/>
      <c r="AE135" s="54"/>
      <c r="AF135" s="132">
        <v>11</v>
      </c>
    </row>
    <row r="136" s="132" customFormat="1" ht="11.5" customHeight="1">
      <c r="A136" s="706"/>
      <c r="B136" s="57"/>
      <c r="C136" s="57"/>
      <c r="D136" s="132"/>
      <c r="K136" s="53"/>
      <c r="L136" s="57"/>
      <c r="M136" s="57"/>
      <c r="N136" s="53"/>
      <c r="O136" s="53"/>
      <c r="P136" s="53"/>
      <c r="Q136" s="53"/>
      <c r="R136" s="57"/>
      <c r="S136" s="53"/>
      <c r="T136" s="53"/>
      <c r="U136" s="707"/>
      <c r="V136" s="53"/>
      <c r="W136" s="53"/>
      <c r="X136" s="53"/>
      <c r="Y136" s="53"/>
      <c r="Z136" s="53"/>
      <c r="AA136" s="56"/>
      <c r="AB136" s="54"/>
      <c r="AC136" s="54"/>
      <c r="AD136" s="54"/>
      <c r="AE136" s="54"/>
      <c r="AF136" s="132">
        <v>11</v>
      </c>
    </row>
    <row r="137" s="132" customFormat="1" ht="11.5" customHeight="1">
      <c r="A137" s="706"/>
      <c r="B137" s="57"/>
      <c r="C137" s="57"/>
      <c r="D137" s="132"/>
      <c r="K137" s="53"/>
      <c r="L137" s="57"/>
      <c r="M137" s="57"/>
      <c r="N137" s="53"/>
      <c r="O137" s="53"/>
      <c r="P137" s="53"/>
      <c r="Q137" s="53"/>
      <c r="R137" s="57"/>
      <c r="S137" s="53"/>
      <c r="T137" s="53"/>
      <c r="U137" s="707"/>
      <c r="V137" s="53"/>
      <c r="W137" s="53"/>
      <c r="X137" s="53"/>
      <c r="Y137" s="53"/>
      <c r="Z137" s="53"/>
      <c r="AA137" s="56"/>
      <c r="AB137" s="54"/>
      <c r="AC137" s="54"/>
      <c r="AD137" s="54"/>
      <c r="AE137" s="54"/>
      <c r="AF137" s="132">
        <v>11</v>
      </c>
    </row>
    <row r="138" s="132" customFormat="1" ht="11.5" customHeight="1">
      <c r="A138" s="706"/>
      <c r="B138" s="57"/>
      <c r="C138" s="57"/>
      <c r="D138" s="132"/>
      <c r="K138" s="53"/>
      <c r="L138" s="57"/>
      <c r="M138" s="57"/>
      <c r="N138" s="53"/>
      <c r="O138" s="53"/>
      <c r="P138" s="53"/>
      <c r="Q138" s="53"/>
      <c r="R138" s="57"/>
      <c r="S138" s="53"/>
      <c r="T138" s="53"/>
      <c r="U138" s="707"/>
      <c r="V138" s="53"/>
      <c r="W138" s="53"/>
      <c r="X138" s="53"/>
      <c r="Y138" s="53"/>
      <c r="Z138" s="53"/>
      <c r="AA138" s="56"/>
      <c r="AB138" s="54"/>
      <c r="AC138" s="54"/>
      <c r="AD138" s="54"/>
      <c r="AE138" s="54"/>
      <c r="AF138" s="132">
        <v>11</v>
      </c>
    </row>
    <row r="139" s="132" customFormat="1" ht="11.5" customHeight="1">
      <c r="A139" s="706"/>
      <c r="B139" s="57"/>
      <c r="C139" s="57"/>
      <c r="D139" s="132"/>
      <c r="K139" s="53"/>
      <c r="L139" s="57"/>
      <c r="M139" s="57"/>
      <c r="N139" s="53"/>
      <c r="O139" s="53"/>
      <c r="P139" s="53"/>
      <c r="Q139" s="53"/>
      <c r="R139" s="57"/>
      <c r="S139" s="53"/>
      <c r="T139" s="53"/>
      <c r="U139" s="707"/>
      <c r="V139" s="53"/>
      <c r="W139" s="53"/>
      <c r="X139" s="53"/>
      <c r="Y139" s="53"/>
      <c r="Z139" s="53"/>
      <c r="AA139" s="56"/>
      <c r="AB139" s="54"/>
      <c r="AC139" s="54"/>
      <c r="AD139" s="54"/>
      <c r="AE139" s="54"/>
      <c r="AF139" s="132">
        <v>11</v>
      </c>
    </row>
    <row r="140" s="132" customFormat="1" ht="11.5" customHeight="1">
      <c r="A140" s="706"/>
      <c r="B140" s="57"/>
      <c r="C140" s="57"/>
      <c r="D140" s="132"/>
      <c r="K140" s="53"/>
      <c r="L140" s="57"/>
      <c r="M140" s="57"/>
      <c r="N140" s="53"/>
      <c r="O140" s="53"/>
      <c r="P140" s="53"/>
      <c r="Q140" s="53"/>
      <c r="R140" s="57"/>
      <c r="S140" s="53"/>
      <c r="T140" s="53"/>
      <c r="U140" s="707"/>
      <c r="V140" s="53"/>
      <c r="W140" s="53"/>
      <c r="X140" s="53"/>
      <c r="Y140" s="53"/>
      <c r="Z140" s="53"/>
      <c r="AA140" s="56"/>
      <c r="AB140" s="54"/>
      <c r="AC140" s="54"/>
      <c r="AD140" s="54"/>
      <c r="AE140" s="54"/>
      <c r="AF140" s="132">
        <v>11</v>
      </c>
    </row>
    <row r="141" s="132" customFormat="1" ht="11.5" customHeight="1">
      <c r="A141" s="706"/>
      <c r="B141" s="57"/>
      <c r="C141" s="57"/>
      <c r="D141" s="132"/>
      <c r="K141" s="53"/>
      <c r="L141" s="57"/>
      <c r="M141" s="57"/>
      <c r="N141" s="53"/>
      <c r="O141" s="53"/>
      <c r="P141" s="53"/>
      <c r="Q141" s="53"/>
      <c r="R141" s="57"/>
      <c r="S141" s="53"/>
      <c r="T141" s="53"/>
      <c r="U141" s="707"/>
      <c r="V141" s="53"/>
      <c r="W141" s="53"/>
      <c r="X141" s="53"/>
      <c r="Y141" s="53"/>
      <c r="Z141" s="53"/>
      <c r="AA141" s="56"/>
      <c r="AB141" s="54"/>
      <c r="AC141" s="54"/>
      <c r="AD141" s="54"/>
      <c r="AE141" s="54"/>
      <c r="AF141" s="132">
        <v>11</v>
      </c>
    </row>
    <row r="142" s="132" customFormat="1" ht="11.5" customHeight="1">
      <c r="A142" s="706"/>
      <c r="B142" s="57"/>
      <c r="C142" s="57"/>
      <c r="D142" s="132"/>
      <c r="K142" s="53"/>
      <c r="L142" s="57"/>
      <c r="M142" s="57"/>
      <c r="N142" s="53"/>
      <c r="O142" s="53"/>
      <c r="P142" s="53"/>
      <c r="Q142" s="53"/>
      <c r="R142" s="57"/>
      <c r="S142" s="53"/>
      <c r="T142" s="53"/>
      <c r="U142" s="707"/>
      <c r="V142" s="53"/>
      <c r="W142" s="53"/>
      <c r="X142" s="53"/>
      <c r="Y142" s="53"/>
      <c r="Z142" s="53"/>
      <c r="AA142" s="56"/>
      <c r="AB142" s="54"/>
      <c r="AC142" s="54"/>
      <c r="AD142" s="54"/>
      <c r="AE142" s="54"/>
      <c r="AF142" s="132">
        <v>11</v>
      </c>
    </row>
    <row r="143" s="132" customFormat="1" ht="11.5" customHeight="1">
      <c r="A143" s="706"/>
      <c r="B143" s="57"/>
      <c r="C143" s="57"/>
      <c r="D143" s="132"/>
      <c r="K143" s="53"/>
      <c r="L143" s="57"/>
      <c r="M143" s="57"/>
      <c r="N143" s="53"/>
      <c r="O143" s="53"/>
      <c r="P143" s="53"/>
      <c r="Q143" s="53"/>
      <c r="R143" s="57"/>
      <c r="S143" s="53"/>
      <c r="T143" s="53"/>
      <c r="U143" s="707"/>
      <c r="V143" s="53"/>
      <c r="W143" s="53"/>
      <c r="X143" s="53"/>
      <c r="Y143" s="53"/>
      <c r="Z143" s="53"/>
      <c r="AA143" s="56"/>
      <c r="AB143" s="54"/>
      <c r="AC143" s="54"/>
      <c r="AD143" s="54"/>
      <c r="AE143" s="54"/>
      <c r="AF143" s="132">
        <v>11</v>
      </c>
    </row>
    <row r="144" s="132" customFormat="1" ht="11.5" customHeight="1">
      <c r="A144" s="706"/>
      <c r="B144" s="57"/>
      <c r="C144" s="57"/>
      <c r="D144" s="132"/>
      <c r="K144" s="53"/>
      <c r="L144" s="57"/>
      <c r="M144" s="57"/>
      <c r="N144" s="53"/>
      <c r="O144" s="53"/>
      <c r="P144" s="53"/>
      <c r="Q144" s="53"/>
      <c r="R144" s="57"/>
      <c r="S144" s="53"/>
      <c r="T144" s="53"/>
      <c r="U144" s="707"/>
      <c r="V144" s="53"/>
      <c r="W144" s="53"/>
      <c r="X144" s="53"/>
      <c r="Y144" s="53"/>
      <c r="Z144" s="53"/>
      <c r="AA144" s="56"/>
      <c r="AB144" s="54"/>
      <c r="AC144" s="54"/>
      <c r="AD144" s="54"/>
      <c r="AE144" s="54"/>
      <c r="AF144" s="132">
        <v>11</v>
      </c>
    </row>
    <row r="145" s="132" customFormat="1" ht="11.5" customHeight="1">
      <c r="A145" s="706"/>
      <c r="B145" s="57"/>
      <c r="C145" s="57"/>
      <c r="D145" s="132"/>
      <c r="K145" s="53"/>
      <c r="L145" s="57"/>
      <c r="M145" s="57"/>
      <c r="N145" s="53"/>
      <c r="O145" s="53"/>
      <c r="P145" s="53"/>
      <c r="Q145" s="53"/>
      <c r="R145" s="57"/>
      <c r="S145" s="53"/>
      <c r="T145" s="53"/>
      <c r="U145" s="707"/>
      <c r="V145" s="53"/>
      <c r="W145" s="53"/>
      <c r="X145" s="53"/>
      <c r="Y145" s="53"/>
      <c r="Z145" s="53"/>
      <c r="AA145" s="56"/>
      <c r="AB145" s="54"/>
      <c r="AC145" s="54"/>
      <c r="AD145" s="54"/>
      <c r="AE145" s="54"/>
      <c r="AF145" s="132">
        <v>11</v>
      </c>
    </row>
    <row r="146" s="132" customFormat="1" ht="11.5" customHeight="1">
      <c r="A146" s="706"/>
      <c r="B146" s="57"/>
      <c r="C146" s="57"/>
      <c r="D146" s="132"/>
      <c r="K146" s="53"/>
      <c r="L146" s="57"/>
      <c r="M146" s="57"/>
      <c r="N146" s="53"/>
      <c r="O146" s="53"/>
      <c r="P146" s="53"/>
      <c r="Q146" s="53"/>
      <c r="R146" s="57"/>
      <c r="S146" s="53"/>
      <c r="T146" s="53"/>
      <c r="U146" s="707"/>
      <c r="V146" s="53"/>
      <c r="W146" s="53"/>
      <c r="X146" s="53"/>
      <c r="Y146" s="53"/>
      <c r="Z146" s="53"/>
      <c r="AA146" s="56"/>
      <c r="AB146" s="54"/>
      <c r="AC146" s="54"/>
      <c r="AD146" s="54"/>
      <c r="AE146" s="54"/>
      <c r="AF146" s="132">
        <v>11</v>
      </c>
    </row>
    <row r="147" s="132" customFormat="1" ht="11.5" customHeight="1">
      <c r="A147" s="706"/>
      <c r="B147" s="57"/>
      <c r="C147" s="57"/>
      <c r="D147" s="132"/>
      <c r="K147" s="53"/>
      <c r="L147" s="57"/>
      <c r="M147" s="57"/>
      <c r="N147" s="53"/>
      <c r="O147" s="53"/>
      <c r="P147" s="53"/>
      <c r="Q147" s="53"/>
      <c r="R147" s="57"/>
      <c r="S147" s="53"/>
      <c r="T147" s="53"/>
      <c r="U147" s="707"/>
      <c r="V147" s="53"/>
      <c r="W147" s="53"/>
      <c r="X147" s="53"/>
      <c r="Y147" s="53"/>
      <c r="Z147" s="53"/>
      <c r="AA147" s="56"/>
      <c r="AB147" s="54"/>
      <c r="AC147" s="54"/>
      <c r="AD147" s="54"/>
      <c r="AE147" s="54"/>
      <c r="AF147" s="132">
        <v>11</v>
      </c>
    </row>
    <row r="148" s="132" customFormat="1" ht="11.5" customHeight="1">
      <c r="A148" s="706"/>
      <c r="B148" s="57"/>
      <c r="C148" s="57"/>
      <c r="D148" s="132"/>
      <c r="K148" s="53"/>
      <c r="L148" s="57"/>
      <c r="M148" s="57"/>
      <c r="N148" s="53"/>
      <c r="O148" s="53"/>
      <c r="P148" s="53"/>
      <c r="Q148" s="53"/>
      <c r="R148" s="57"/>
      <c r="S148" s="53"/>
      <c r="T148" s="53"/>
      <c r="U148" s="707"/>
      <c r="V148" s="53"/>
      <c r="W148" s="53"/>
      <c r="X148" s="53"/>
      <c r="Y148" s="53"/>
      <c r="Z148" s="53"/>
      <c r="AA148" s="56"/>
      <c r="AB148" s="54"/>
      <c r="AC148" s="54"/>
      <c r="AD148" s="54"/>
      <c r="AE148" s="54"/>
      <c r="AF148" s="132">
        <v>11</v>
      </c>
    </row>
    <row r="149" s="132" customFormat="1" ht="11.5" customHeight="1">
      <c r="A149" s="706"/>
      <c r="B149" s="57"/>
      <c r="C149" s="57"/>
      <c r="D149" s="132"/>
      <c r="K149" s="53"/>
      <c r="L149" s="57"/>
      <c r="M149" s="57"/>
      <c r="N149" s="53"/>
      <c r="O149" s="53"/>
      <c r="P149" s="53"/>
      <c r="Q149" s="53"/>
      <c r="R149" s="57"/>
      <c r="S149" s="53"/>
      <c r="T149" s="53"/>
      <c r="U149" s="707"/>
      <c r="V149" s="53"/>
      <c r="W149" s="53"/>
      <c r="X149" s="53"/>
      <c r="Y149" s="53"/>
      <c r="Z149" s="53"/>
      <c r="AA149" s="56"/>
      <c r="AB149" s="54"/>
      <c r="AC149" s="54"/>
      <c r="AD149" s="54"/>
      <c r="AE149" s="54"/>
      <c r="AF149" s="132">
        <v>11</v>
      </c>
    </row>
    <row r="150" s="132" customFormat="1" ht="11.5" customHeight="1">
      <c r="A150" s="706"/>
      <c r="B150" s="57"/>
      <c r="C150" s="57"/>
      <c r="D150" s="132"/>
      <c r="K150" s="53"/>
      <c r="L150" s="57"/>
      <c r="M150" s="57"/>
      <c r="N150" s="53"/>
      <c r="O150" s="53"/>
      <c r="P150" s="53"/>
      <c r="Q150" s="53"/>
      <c r="R150" s="57"/>
      <c r="S150" s="53"/>
      <c r="T150" s="53"/>
      <c r="U150" s="707"/>
      <c r="V150" s="53"/>
      <c r="W150" s="53"/>
      <c r="X150" s="53"/>
      <c r="Y150" s="53"/>
      <c r="Z150" s="53"/>
      <c r="AA150" s="56"/>
      <c r="AB150" s="54"/>
      <c r="AC150" s="54"/>
      <c r="AD150" s="54"/>
      <c r="AE150" s="54"/>
      <c r="AF150" s="132">
        <v>11</v>
      </c>
    </row>
    <row r="151" s="132" customFormat="1" ht="11.5" customHeight="1">
      <c r="A151" s="706"/>
      <c r="B151" s="57"/>
      <c r="C151" s="57"/>
      <c r="D151" s="132"/>
      <c r="K151" s="53"/>
      <c r="L151" s="57"/>
      <c r="M151" s="57"/>
      <c r="N151" s="53"/>
      <c r="O151" s="53"/>
      <c r="P151" s="53"/>
      <c r="Q151" s="53"/>
      <c r="R151" s="57"/>
      <c r="S151" s="53"/>
      <c r="T151" s="53"/>
      <c r="U151" s="707"/>
      <c r="V151" s="53"/>
      <c r="W151" s="53"/>
      <c r="X151" s="53"/>
      <c r="Y151" s="53"/>
      <c r="Z151" s="53"/>
      <c r="AA151" s="56"/>
      <c r="AB151" s="54"/>
      <c r="AC151" s="54"/>
      <c r="AD151" s="54"/>
      <c r="AE151" s="54"/>
      <c r="AF151" s="132">
        <v>11</v>
      </c>
    </row>
    <row r="152" s="132" customFormat="1" ht="11.5" customHeight="1">
      <c r="A152" s="706"/>
      <c r="B152" s="57"/>
      <c r="C152" s="57"/>
      <c r="D152" s="132"/>
      <c r="K152" s="53"/>
      <c r="L152" s="57"/>
      <c r="M152" s="57"/>
      <c r="N152" s="53"/>
      <c r="O152" s="53"/>
      <c r="P152" s="53"/>
      <c r="Q152" s="53"/>
      <c r="R152" s="57"/>
      <c r="S152" s="53"/>
      <c r="T152" s="53"/>
      <c r="U152" s="707"/>
      <c r="V152" s="53"/>
      <c r="W152" s="53"/>
      <c r="X152" s="53"/>
      <c r="Y152" s="53"/>
      <c r="Z152" s="53"/>
      <c r="AA152" s="56"/>
      <c r="AB152" s="54"/>
      <c r="AC152" s="54"/>
      <c r="AD152" s="54"/>
      <c r="AE152" s="54"/>
      <c r="AF152" s="132">
        <v>11</v>
      </c>
    </row>
    <row r="153" s="132" customFormat="1" ht="11.5" customHeight="1">
      <c r="A153" s="706"/>
      <c r="B153" s="57"/>
      <c r="C153" s="57"/>
      <c r="D153" s="132"/>
      <c r="K153" s="53"/>
      <c r="L153" s="57"/>
      <c r="M153" s="57"/>
      <c r="N153" s="53"/>
      <c r="O153" s="53"/>
      <c r="P153" s="53"/>
      <c r="Q153" s="53"/>
      <c r="R153" s="57"/>
      <c r="S153" s="53"/>
      <c r="T153" s="53"/>
      <c r="U153" s="707"/>
      <c r="V153" s="53"/>
      <c r="W153" s="53"/>
      <c r="X153" s="53"/>
      <c r="Y153" s="53"/>
      <c r="Z153" s="53"/>
      <c r="AA153" s="56"/>
      <c r="AB153" s="54"/>
      <c r="AC153" s="54"/>
      <c r="AD153" s="54"/>
      <c r="AE153" s="54"/>
      <c r="AF153" s="132">
        <v>11</v>
      </c>
    </row>
    <row r="154" s="132" customFormat="1" ht="11.5" customHeight="1">
      <c r="A154" s="706"/>
      <c r="B154" s="57"/>
      <c r="C154" s="57"/>
      <c r="D154" s="132"/>
      <c r="K154" s="53"/>
      <c r="L154" s="57"/>
      <c r="M154" s="57"/>
      <c r="N154" s="53"/>
      <c r="O154" s="53"/>
      <c r="P154" s="53"/>
      <c r="Q154" s="53"/>
      <c r="R154" s="57"/>
      <c r="S154" s="53"/>
      <c r="T154" s="53"/>
      <c r="U154" s="707"/>
      <c r="V154" s="53"/>
      <c r="W154" s="53"/>
      <c r="X154" s="53"/>
      <c r="Y154" s="53"/>
      <c r="Z154" s="53"/>
      <c r="AA154" s="56"/>
      <c r="AB154" s="54"/>
      <c r="AC154" s="54"/>
      <c r="AD154" s="54"/>
      <c r="AE154" s="54"/>
      <c r="AF154" s="132">
        <v>11</v>
      </c>
    </row>
    <row r="155" s="132" customFormat="1" ht="11.5" customHeight="1">
      <c r="A155" s="706"/>
      <c r="B155" s="57"/>
      <c r="C155" s="57"/>
      <c r="D155" s="132"/>
      <c r="K155" s="53"/>
      <c r="L155" s="57"/>
      <c r="M155" s="57"/>
      <c r="N155" s="53"/>
      <c r="O155" s="53"/>
      <c r="P155" s="53"/>
      <c r="Q155" s="53"/>
      <c r="R155" s="57"/>
      <c r="S155" s="53"/>
      <c r="T155" s="53"/>
      <c r="U155" s="707"/>
      <c r="V155" s="53"/>
      <c r="W155" s="53"/>
      <c r="X155" s="53"/>
      <c r="Y155" s="53"/>
      <c r="Z155" s="53"/>
      <c r="AA155" s="56"/>
      <c r="AB155" s="54"/>
      <c r="AC155" s="54"/>
      <c r="AD155" s="54"/>
      <c r="AE155" s="54"/>
      <c r="AF155" s="132">
        <v>11</v>
      </c>
    </row>
    <row r="156" s="132" customFormat="1" ht="11.5" customHeight="1">
      <c r="A156" s="706"/>
      <c r="B156" s="57"/>
      <c r="C156" s="57"/>
      <c r="D156" s="132"/>
      <c r="K156" s="53"/>
      <c r="L156" s="57"/>
      <c r="M156" s="57"/>
      <c r="N156" s="53"/>
      <c r="O156" s="53"/>
      <c r="P156" s="53"/>
      <c r="Q156" s="53"/>
      <c r="R156" s="57"/>
      <c r="S156" s="53"/>
      <c r="T156" s="53"/>
      <c r="U156" s="707"/>
      <c r="V156" s="53"/>
      <c r="W156" s="53"/>
      <c r="X156" s="53"/>
      <c r="Y156" s="53"/>
      <c r="Z156" s="53"/>
      <c r="AA156" s="56"/>
      <c r="AB156" s="54"/>
      <c r="AC156" s="54"/>
      <c r="AD156" s="54"/>
      <c r="AE156" s="54"/>
      <c r="AF156" s="132">
        <v>11</v>
      </c>
    </row>
    <row r="157" s="132" customFormat="1" ht="11.5" customHeight="1">
      <c r="A157" s="706"/>
      <c r="B157" s="57"/>
      <c r="C157" s="57"/>
      <c r="D157" s="132"/>
      <c r="K157" s="53"/>
      <c r="L157" s="57"/>
      <c r="M157" s="57"/>
      <c r="N157" s="53"/>
      <c r="O157" s="53"/>
      <c r="P157" s="53"/>
      <c r="Q157" s="53"/>
      <c r="R157" s="57"/>
      <c r="S157" s="53"/>
      <c r="T157" s="53"/>
      <c r="U157" s="707"/>
      <c r="V157" s="53"/>
      <c r="W157" s="53"/>
      <c r="X157" s="53"/>
      <c r="Y157" s="53"/>
      <c r="Z157" s="53"/>
      <c r="AA157" s="56"/>
      <c r="AB157" s="54"/>
      <c r="AC157" s="54"/>
      <c r="AD157" s="54"/>
      <c r="AE157" s="54"/>
      <c r="AF157" s="132">
        <v>11</v>
      </c>
    </row>
    <row r="158" s="132" customFormat="1" ht="11.5" customHeight="1">
      <c r="A158" s="706"/>
      <c r="B158" s="57"/>
      <c r="C158" s="57"/>
      <c r="D158" s="132"/>
      <c r="K158" s="53"/>
      <c r="L158" s="57"/>
      <c r="M158" s="57"/>
      <c r="N158" s="53"/>
      <c r="O158" s="53"/>
      <c r="P158" s="53"/>
      <c r="Q158" s="53"/>
      <c r="R158" s="57"/>
      <c r="S158" s="53"/>
      <c r="T158" s="53"/>
      <c r="U158" s="707"/>
      <c r="V158" s="53"/>
      <c r="W158" s="53"/>
      <c r="X158" s="53"/>
      <c r="Y158" s="53"/>
      <c r="Z158" s="53"/>
      <c r="AA158" s="56"/>
      <c r="AB158" s="54"/>
      <c r="AC158" s="54"/>
      <c r="AD158" s="54"/>
      <c r="AE158" s="54"/>
      <c r="AF158" s="132">
        <v>11</v>
      </c>
    </row>
    <row r="159" s="132" customFormat="1" ht="11.5" customHeight="1">
      <c r="A159" s="706"/>
      <c r="B159" s="57"/>
      <c r="C159" s="57"/>
      <c r="D159" s="132"/>
      <c r="K159" s="53"/>
      <c r="L159" s="57"/>
      <c r="M159" s="57"/>
      <c r="N159" s="53"/>
      <c r="O159" s="53"/>
      <c r="P159" s="53"/>
      <c r="Q159" s="53"/>
      <c r="R159" s="57"/>
      <c r="S159" s="53"/>
      <c r="T159" s="53"/>
      <c r="U159" s="707"/>
      <c r="V159" s="53"/>
      <c r="W159" s="53"/>
      <c r="X159" s="53"/>
      <c r="Y159" s="53"/>
      <c r="Z159" s="53"/>
      <c r="AA159" s="56"/>
      <c r="AB159" s="54"/>
      <c r="AC159" s="54"/>
      <c r="AD159" s="54"/>
      <c r="AE159" s="54"/>
      <c r="AF159" s="132">
        <v>11</v>
      </c>
    </row>
    <row r="160" s="132" customFormat="1" ht="11.5" customHeight="1">
      <c r="A160" s="706"/>
      <c r="B160" s="57"/>
      <c r="C160" s="57"/>
      <c r="D160" s="132"/>
      <c r="K160" s="53"/>
      <c r="L160" s="57"/>
      <c r="M160" s="57"/>
      <c r="N160" s="53"/>
      <c r="O160" s="53"/>
      <c r="P160" s="53"/>
      <c r="Q160" s="53"/>
      <c r="R160" s="57"/>
      <c r="S160" s="53"/>
      <c r="T160" s="53"/>
      <c r="U160" s="707"/>
      <c r="V160" s="53"/>
      <c r="W160" s="53"/>
      <c r="X160" s="53"/>
      <c r="Y160" s="53"/>
      <c r="Z160" s="53"/>
      <c r="AA160" s="56"/>
      <c r="AB160" s="54"/>
      <c r="AC160" s="54"/>
      <c r="AD160" s="54"/>
      <c r="AE160" s="54"/>
      <c r="AF160" s="132">
        <v>11</v>
      </c>
    </row>
    <row r="161" s="132" customFormat="1" ht="11.5" customHeight="1">
      <c r="A161" s="706"/>
      <c r="B161" s="57"/>
      <c r="C161" s="57"/>
      <c r="D161" s="132"/>
      <c r="K161" s="53"/>
      <c r="L161" s="57"/>
      <c r="M161" s="57"/>
      <c r="N161" s="53"/>
      <c r="O161" s="53"/>
      <c r="P161" s="53"/>
      <c r="Q161" s="53"/>
      <c r="R161" s="57"/>
      <c r="S161" s="53"/>
      <c r="T161" s="53"/>
      <c r="U161" s="707"/>
      <c r="V161" s="53"/>
      <c r="W161" s="53"/>
      <c r="X161" s="53"/>
      <c r="Y161" s="53"/>
      <c r="Z161" s="53"/>
      <c r="AA161" s="56"/>
      <c r="AB161" s="54"/>
      <c r="AC161" s="54"/>
      <c r="AD161" s="54"/>
      <c r="AE161" s="54"/>
      <c r="AF161" s="132">
        <v>11</v>
      </c>
    </row>
    <row r="162" s="132" customFormat="1" ht="11.5" customHeight="1">
      <c r="A162" s="706"/>
      <c r="B162" s="57"/>
      <c r="C162" s="57"/>
      <c r="D162" s="132"/>
      <c r="K162" s="53"/>
      <c r="L162" s="57"/>
      <c r="M162" s="57"/>
      <c r="N162" s="53"/>
      <c r="O162" s="53"/>
      <c r="P162" s="53"/>
      <c r="Q162" s="53"/>
      <c r="R162" s="57"/>
      <c r="S162" s="53"/>
      <c r="T162" s="53"/>
      <c r="U162" s="707"/>
      <c r="V162" s="53"/>
      <c r="W162" s="53"/>
      <c r="X162" s="53"/>
      <c r="Y162" s="53"/>
      <c r="Z162" s="53"/>
      <c r="AA162" s="56"/>
      <c r="AB162" s="54"/>
      <c r="AC162" s="54"/>
      <c r="AD162" s="54"/>
      <c r="AE162" s="54"/>
      <c r="AF162" s="132">
        <v>11</v>
      </c>
    </row>
    <row r="163" s="132" customFormat="1" ht="11.5" customHeight="1">
      <c r="A163" s="706"/>
      <c r="B163" s="57"/>
      <c r="C163" s="57"/>
      <c r="D163" s="132"/>
      <c r="K163" s="53"/>
      <c r="L163" s="57"/>
      <c r="M163" s="57"/>
      <c r="N163" s="53"/>
      <c r="O163" s="53"/>
      <c r="P163" s="53"/>
      <c r="Q163" s="53"/>
      <c r="R163" s="57"/>
      <c r="S163" s="53"/>
      <c r="T163" s="53"/>
      <c r="U163" s="707"/>
      <c r="V163" s="53"/>
      <c r="W163" s="53"/>
      <c r="X163" s="53"/>
      <c r="Y163" s="53"/>
      <c r="Z163" s="53"/>
      <c r="AA163" s="56"/>
      <c r="AB163" s="54"/>
      <c r="AC163" s="54"/>
      <c r="AD163" s="54"/>
      <c r="AE163" s="54"/>
      <c r="AF163" s="132">
        <v>11</v>
      </c>
    </row>
    <row r="164" s="132" customFormat="1" ht="11.5" customHeight="1">
      <c r="A164" s="706"/>
      <c r="B164" s="57"/>
      <c r="C164" s="57"/>
      <c r="D164" s="132"/>
      <c r="K164" s="53"/>
      <c r="L164" s="57"/>
      <c r="M164" s="57"/>
      <c r="N164" s="53"/>
      <c r="O164" s="53"/>
      <c r="P164" s="53"/>
      <c r="Q164" s="53"/>
      <c r="R164" s="57"/>
      <c r="S164" s="53"/>
      <c r="T164" s="53"/>
      <c r="U164" s="707"/>
      <c r="V164" s="53"/>
      <c r="W164" s="53"/>
      <c r="X164" s="53"/>
      <c r="Y164" s="53"/>
      <c r="Z164" s="53"/>
      <c r="AA164" s="56"/>
      <c r="AB164" s="54"/>
      <c r="AC164" s="54"/>
      <c r="AD164" s="54"/>
      <c r="AE164" s="54"/>
      <c r="AF164" s="132">
        <v>11</v>
      </c>
    </row>
    <row r="165" s="132" customFormat="1" ht="11.5" customHeight="1">
      <c r="A165" s="706"/>
      <c r="B165" s="57"/>
      <c r="C165" s="57"/>
      <c r="D165" s="132"/>
      <c r="K165" s="53"/>
      <c r="L165" s="57"/>
      <c r="M165" s="57"/>
      <c r="N165" s="53"/>
      <c r="O165" s="53"/>
      <c r="P165" s="53"/>
      <c r="Q165" s="53"/>
      <c r="R165" s="57"/>
      <c r="S165" s="53"/>
      <c r="T165" s="53"/>
      <c r="U165" s="707"/>
      <c r="V165" s="53"/>
      <c r="W165" s="53"/>
      <c r="X165" s="53"/>
      <c r="Y165" s="53"/>
      <c r="Z165" s="53"/>
      <c r="AA165" s="56"/>
      <c r="AB165" s="54"/>
      <c r="AC165" s="54"/>
      <c r="AD165" s="54"/>
      <c r="AE165" s="54"/>
      <c r="AF165" s="132">
        <v>11</v>
      </c>
    </row>
    <row r="166" s="132" customFormat="1" ht="11.5" customHeight="1">
      <c r="A166" s="706"/>
      <c r="B166" s="57"/>
      <c r="C166" s="57"/>
      <c r="D166" s="132"/>
      <c r="K166" s="53"/>
      <c r="L166" s="57"/>
      <c r="M166" s="57"/>
      <c r="N166" s="53"/>
      <c r="O166" s="53"/>
      <c r="P166" s="53"/>
      <c r="Q166" s="53"/>
      <c r="R166" s="57"/>
      <c r="S166" s="53"/>
      <c r="T166" s="53"/>
      <c r="U166" s="707"/>
      <c r="V166" s="53"/>
      <c r="W166" s="53"/>
      <c r="X166" s="53"/>
      <c r="Y166" s="53"/>
      <c r="Z166" s="53"/>
      <c r="AA166" s="56"/>
      <c r="AB166" s="54"/>
      <c r="AC166" s="54"/>
      <c r="AD166" s="54"/>
      <c r="AE166" s="54"/>
      <c r="AF166" s="132">
        <v>11</v>
      </c>
    </row>
    <row r="167" s="132" customFormat="1" ht="11.5" customHeight="1">
      <c r="A167" s="706"/>
      <c r="B167" s="57"/>
      <c r="C167" s="57"/>
      <c r="D167" s="132"/>
      <c r="K167" s="53"/>
      <c r="L167" s="57"/>
      <c r="M167" s="57"/>
      <c r="N167" s="53"/>
      <c r="O167" s="53"/>
      <c r="P167" s="53"/>
      <c r="Q167" s="53"/>
      <c r="R167" s="57"/>
      <c r="S167" s="53"/>
      <c r="T167" s="53"/>
      <c r="U167" s="707"/>
      <c r="V167" s="53"/>
      <c r="W167" s="53"/>
      <c r="X167" s="53"/>
      <c r="Y167" s="53"/>
      <c r="Z167" s="53"/>
      <c r="AA167" s="56"/>
      <c r="AB167" s="54"/>
      <c r="AC167" s="54"/>
      <c r="AD167" s="54"/>
      <c r="AE167" s="54"/>
      <c r="AF167" s="132">
        <v>11</v>
      </c>
    </row>
    <row r="168" s="132" customFormat="1" ht="11.5" customHeight="1">
      <c r="A168" s="706"/>
      <c r="B168" s="57"/>
      <c r="C168" s="57"/>
      <c r="D168" s="132"/>
      <c r="K168" s="53"/>
      <c r="L168" s="57"/>
      <c r="M168" s="57"/>
      <c r="N168" s="53"/>
      <c r="O168" s="53"/>
      <c r="P168" s="53"/>
      <c r="Q168" s="53"/>
      <c r="R168" s="57"/>
      <c r="S168" s="53"/>
      <c r="T168" s="53"/>
      <c r="U168" s="707"/>
      <c r="V168" s="53"/>
      <c r="W168" s="53"/>
      <c r="X168" s="53"/>
      <c r="Y168" s="53"/>
      <c r="Z168" s="53"/>
      <c r="AA168" s="56"/>
      <c r="AB168" s="54"/>
      <c r="AC168" s="54"/>
      <c r="AD168" s="54"/>
      <c r="AE168" s="54"/>
      <c r="AF168" s="132">
        <v>11</v>
      </c>
    </row>
    <row r="169" s="132" customFormat="1" ht="11.5" customHeight="1">
      <c r="A169" s="706"/>
      <c r="B169" s="57"/>
      <c r="C169" s="57"/>
      <c r="D169" s="132"/>
      <c r="K169" s="53"/>
      <c r="L169" s="57"/>
      <c r="M169" s="57"/>
      <c r="N169" s="53"/>
      <c r="O169" s="53"/>
      <c r="P169" s="53"/>
      <c r="Q169" s="53"/>
      <c r="R169" s="57"/>
      <c r="S169" s="53"/>
      <c r="T169" s="53"/>
      <c r="U169" s="707"/>
      <c r="V169" s="53"/>
      <c r="W169" s="53"/>
      <c r="X169" s="53"/>
      <c r="Y169" s="53"/>
      <c r="Z169" s="53"/>
      <c r="AA169" s="56"/>
      <c r="AB169" s="54"/>
      <c r="AC169" s="54"/>
      <c r="AD169" s="54"/>
      <c r="AE169" s="54"/>
      <c r="AF169" s="132">
        <v>11</v>
      </c>
    </row>
    <row r="170" s="132" customFormat="1" ht="11.5" customHeight="1">
      <c r="A170" s="706"/>
      <c r="B170" s="57"/>
      <c r="C170" s="57"/>
      <c r="D170" s="132"/>
      <c r="K170" s="53"/>
      <c r="L170" s="57"/>
      <c r="M170" s="57"/>
      <c r="N170" s="53"/>
      <c r="O170" s="53"/>
      <c r="P170" s="53"/>
      <c r="Q170" s="53"/>
      <c r="R170" s="57"/>
      <c r="S170" s="53"/>
      <c r="T170" s="53"/>
      <c r="U170" s="707"/>
      <c r="V170" s="53"/>
      <c r="W170" s="53"/>
      <c r="X170" s="53"/>
      <c r="Y170" s="53"/>
      <c r="Z170" s="53"/>
      <c r="AA170" s="56"/>
      <c r="AB170" s="54"/>
      <c r="AC170" s="54"/>
      <c r="AD170" s="54"/>
      <c r="AE170" s="54"/>
      <c r="AF170" s="132">
        <v>11</v>
      </c>
    </row>
    <row r="171" s="132" customFormat="1" ht="11.5" customHeight="1">
      <c r="A171" s="706"/>
      <c r="B171" s="57"/>
      <c r="C171" s="57"/>
      <c r="D171" s="132"/>
      <c r="K171" s="53"/>
      <c r="L171" s="57"/>
      <c r="M171" s="57"/>
      <c r="N171" s="53"/>
      <c r="O171" s="53"/>
      <c r="P171" s="53"/>
      <c r="Q171" s="53"/>
      <c r="R171" s="57"/>
      <c r="S171" s="53"/>
      <c r="T171" s="53"/>
      <c r="U171" s="707"/>
      <c r="V171" s="53"/>
      <c r="W171" s="53"/>
      <c r="X171" s="53"/>
      <c r="Y171" s="53"/>
      <c r="Z171" s="53"/>
      <c r="AA171" s="56"/>
      <c r="AB171" s="54"/>
      <c r="AC171" s="54"/>
      <c r="AD171" s="54"/>
      <c r="AE171" s="54"/>
      <c r="AF171" s="132">
        <v>11</v>
      </c>
    </row>
    <row r="172" s="132" customFormat="1" ht="11.5" customHeight="1">
      <c r="A172" s="706"/>
      <c r="B172" s="57"/>
      <c r="C172" s="57"/>
      <c r="D172" s="132"/>
      <c r="K172" s="53"/>
      <c r="L172" s="57"/>
      <c r="M172" s="57"/>
      <c r="N172" s="53"/>
      <c r="O172" s="53"/>
      <c r="P172" s="53"/>
      <c r="Q172" s="53"/>
      <c r="R172" s="57"/>
      <c r="S172" s="53"/>
      <c r="T172" s="53"/>
      <c r="U172" s="707"/>
      <c r="V172" s="53"/>
      <c r="W172" s="53"/>
      <c r="X172" s="53"/>
      <c r="Y172" s="53"/>
      <c r="Z172" s="53"/>
      <c r="AA172" s="56"/>
      <c r="AB172" s="54"/>
      <c r="AC172" s="54"/>
      <c r="AD172" s="54"/>
      <c r="AE172" s="54"/>
      <c r="AF172" s="132">
        <v>11</v>
      </c>
    </row>
    <row r="173" s="132" customFormat="1" ht="11.5" customHeight="1">
      <c r="A173" s="706"/>
      <c r="B173" s="57"/>
      <c r="C173" s="57"/>
      <c r="D173" s="132"/>
      <c r="K173" s="53"/>
      <c r="L173" s="57"/>
      <c r="M173" s="57"/>
      <c r="N173" s="53"/>
      <c r="O173" s="53"/>
      <c r="P173" s="53"/>
      <c r="Q173" s="53"/>
      <c r="R173" s="57"/>
      <c r="S173" s="53"/>
      <c r="T173" s="53"/>
      <c r="U173" s="707"/>
      <c r="V173" s="53"/>
      <c r="W173" s="53"/>
      <c r="X173" s="53"/>
      <c r="Y173" s="53"/>
      <c r="Z173" s="53"/>
      <c r="AA173" s="56"/>
      <c r="AB173" s="54"/>
      <c r="AC173" s="54"/>
      <c r="AD173" s="54"/>
      <c r="AE173" s="54"/>
      <c r="AF173" s="132">
        <v>11</v>
      </c>
    </row>
    <row r="174" s="132" customFormat="1" ht="11.5" customHeight="1">
      <c r="A174" s="706"/>
      <c r="B174" s="57"/>
      <c r="C174" s="57"/>
      <c r="D174" s="132"/>
      <c r="K174" s="53"/>
      <c r="L174" s="57"/>
      <c r="M174" s="57"/>
      <c r="N174" s="53"/>
      <c r="O174" s="53"/>
      <c r="P174" s="53"/>
      <c r="Q174" s="53"/>
      <c r="R174" s="57"/>
      <c r="S174" s="53"/>
      <c r="T174" s="53"/>
      <c r="U174" s="707"/>
      <c r="V174" s="53"/>
      <c r="W174" s="53"/>
      <c r="X174" s="53"/>
      <c r="Y174" s="53"/>
      <c r="Z174" s="53"/>
      <c r="AA174" s="56"/>
      <c r="AB174" s="54"/>
      <c r="AC174" s="54"/>
      <c r="AD174" s="54"/>
      <c r="AE174" s="54"/>
      <c r="AF174" s="132">
        <v>11</v>
      </c>
    </row>
    <row r="175" s="132" customFormat="1" ht="11.5" customHeight="1">
      <c r="A175" s="706"/>
      <c r="B175" s="57"/>
      <c r="C175" s="57"/>
      <c r="D175" s="132"/>
      <c r="K175" s="53"/>
      <c r="L175" s="57"/>
      <c r="M175" s="57"/>
      <c r="N175" s="53"/>
      <c r="O175" s="53"/>
      <c r="P175" s="53"/>
      <c r="Q175" s="53"/>
      <c r="R175" s="57"/>
      <c r="S175" s="53"/>
      <c r="T175" s="53"/>
      <c r="U175" s="707"/>
      <c r="V175" s="53"/>
      <c r="W175" s="53"/>
      <c r="X175" s="53"/>
      <c r="Y175" s="53"/>
      <c r="Z175" s="53"/>
      <c r="AA175" s="56"/>
      <c r="AB175" s="54"/>
      <c r="AC175" s="54"/>
      <c r="AD175" s="54"/>
      <c r="AE175" s="54"/>
      <c r="AF175" s="132">
        <v>11</v>
      </c>
    </row>
    <row r="176" s="132" customFormat="1" ht="11.5" customHeight="1">
      <c r="A176" s="706"/>
      <c r="B176" s="57"/>
      <c r="C176" s="57"/>
      <c r="D176" s="132"/>
      <c r="K176" s="53"/>
      <c r="L176" s="57"/>
      <c r="M176" s="57"/>
      <c r="N176" s="53"/>
      <c r="O176" s="53"/>
      <c r="P176" s="53"/>
      <c r="Q176" s="53"/>
      <c r="R176" s="57"/>
      <c r="S176" s="53"/>
      <c r="T176" s="53"/>
      <c r="U176" s="707"/>
      <c r="V176" s="53"/>
      <c r="W176" s="53"/>
      <c r="X176" s="53"/>
      <c r="Y176" s="53"/>
      <c r="Z176" s="53"/>
      <c r="AA176" s="56"/>
      <c r="AB176" s="54"/>
      <c r="AC176" s="54"/>
      <c r="AD176" s="54"/>
      <c r="AE176" s="54"/>
      <c r="AF176" s="132">
        <v>11</v>
      </c>
    </row>
    <row r="177" s="132" customFormat="1" ht="11.5" customHeight="1">
      <c r="A177" s="706"/>
      <c r="B177" s="57"/>
      <c r="C177" s="57"/>
      <c r="D177" s="132"/>
      <c r="K177" s="53"/>
      <c r="L177" s="57"/>
      <c r="M177" s="57"/>
      <c r="N177" s="53"/>
      <c r="O177" s="53"/>
      <c r="P177" s="53"/>
      <c r="Q177" s="53"/>
      <c r="R177" s="57"/>
      <c r="S177" s="53"/>
      <c r="T177" s="53"/>
      <c r="U177" s="707"/>
      <c r="V177" s="53"/>
      <c r="W177" s="53"/>
      <c r="X177" s="53"/>
      <c r="Y177" s="53"/>
      <c r="Z177" s="53"/>
      <c r="AA177" s="56"/>
      <c r="AB177" s="54"/>
      <c r="AC177" s="54"/>
      <c r="AD177" s="54"/>
      <c r="AE177" s="54"/>
      <c r="AF177" s="132">
        <v>11</v>
      </c>
    </row>
    <row r="178" s="132" customFormat="1" ht="11.5" customHeight="1">
      <c r="A178" s="706"/>
      <c r="B178" s="57"/>
      <c r="C178" s="57"/>
      <c r="D178" s="132"/>
      <c r="K178" s="53"/>
      <c r="L178" s="57"/>
      <c r="M178" s="57"/>
      <c r="N178" s="53"/>
      <c r="O178" s="53"/>
      <c r="P178" s="53"/>
      <c r="Q178" s="53"/>
      <c r="R178" s="57"/>
      <c r="S178" s="53"/>
      <c r="T178" s="53"/>
      <c r="U178" s="707"/>
      <c r="V178" s="53"/>
      <c r="W178" s="53"/>
      <c r="X178" s="53"/>
      <c r="Y178" s="53"/>
      <c r="Z178" s="53"/>
      <c r="AA178" s="56"/>
      <c r="AB178" s="54"/>
      <c r="AC178" s="54"/>
      <c r="AD178" s="54"/>
      <c r="AE178" s="54"/>
      <c r="AF178" s="132">
        <v>11</v>
      </c>
    </row>
    <row r="179" s="132" customFormat="1" ht="11.5" customHeight="1">
      <c r="A179" s="706"/>
      <c r="B179" s="57"/>
      <c r="C179" s="57"/>
      <c r="D179" s="132"/>
      <c r="K179" s="53"/>
      <c r="L179" s="57"/>
      <c r="M179" s="57"/>
      <c r="N179" s="53"/>
      <c r="O179" s="53"/>
      <c r="P179" s="53"/>
      <c r="Q179" s="53"/>
      <c r="R179" s="57"/>
      <c r="S179" s="53"/>
      <c r="T179" s="53"/>
      <c r="U179" s="707"/>
      <c r="V179" s="53"/>
      <c r="W179" s="53"/>
      <c r="X179" s="53"/>
      <c r="Y179" s="53"/>
      <c r="Z179" s="53"/>
      <c r="AA179" s="56"/>
      <c r="AB179" s="54"/>
      <c r="AC179" s="54"/>
      <c r="AD179" s="54"/>
      <c r="AE179" s="54"/>
      <c r="AF179" s="132">
        <v>11</v>
      </c>
    </row>
    <row r="180" s="132" customFormat="1" ht="11.5" customHeight="1">
      <c r="A180" s="706"/>
      <c r="B180" s="57"/>
      <c r="C180" s="57"/>
      <c r="D180" s="132"/>
      <c r="K180" s="53"/>
      <c r="L180" s="57"/>
      <c r="M180" s="57"/>
      <c r="N180" s="53"/>
      <c r="O180" s="53"/>
      <c r="P180" s="53"/>
      <c r="Q180" s="53"/>
      <c r="R180" s="57"/>
      <c r="S180" s="53"/>
      <c r="T180" s="53"/>
      <c r="U180" s="707"/>
      <c r="V180" s="53"/>
      <c r="W180" s="53"/>
      <c r="X180" s="53"/>
      <c r="Y180" s="53"/>
      <c r="Z180" s="53"/>
      <c r="AA180" s="56"/>
      <c r="AB180" s="54"/>
      <c r="AC180" s="54"/>
      <c r="AD180" s="54"/>
      <c r="AE180" s="54"/>
      <c r="AF180" s="132">
        <v>11</v>
      </c>
    </row>
    <row r="181" s="132" customFormat="1" ht="11.5" customHeight="1">
      <c r="A181" s="706"/>
      <c r="B181" s="57"/>
      <c r="C181" s="57"/>
      <c r="D181" s="132"/>
      <c r="K181" s="53"/>
      <c r="L181" s="57"/>
      <c r="M181" s="57"/>
      <c r="N181" s="53"/>
      <c r="O181" s="53"/>
      <c r="P181" s="53"/>
      <c r="Q181" s="53"/>
      <c r="R181" s="57"/>
      <c r="S181" s="53"/>
      <c r="T181" s="53"/>
      <c r="U181" s="707"/>
      <c r="V181" s="53"/>
      <c r="W181" s="53"/>
      <c r="X181" s="53"/>
      <c r="Y181" s="53"/>
      <c r="Z181" s="53"/>
      <c r="AA181" s="56"/>
      <c r="AB181" s="54"/>
      <c r="AC181" s="54"/>
      <c r="AD181" s="54"/>
      <c r="AE181" s="54"/>
      <c r="AF181" s="132">
        <v>11</v>
      </c>
    </row>
    <row r="182" s="132" customFormat="1" ht="11.5" customHeight="1">
      <c r="A182" s="706"/>
      <c r="B182" s="57"/>
      <c r="C182" s="57"/>
      <c r="D182" s="132"/>
      <c r="K182" s="53"/>
      <c r="L182" s="57"/>
      <c r="M182" s="57"/>
      <c r="N182" s="53"/>
      <c r="O182" s="53"/>
      <c r="P182" s="53"/>
      <c r="Q182" s="53"/>
      <c r="R182" s="57"/>
      <c r="S182" s="53"/>
      <c r="T182" s="53"/>
      <c r="U182" s="707"/>
      <c r="V182" s="53"/>
      <c r="W182" s="53"/>
      <c r="X182" s="53"/>
      <c r="Y182" s="53"/>
      <c r="Z182" s="53"/>
      <c r="AA182" s="56"/>
      <c r="AB182" s="54"/>
      <c r="AC182" s="54"/>
      <c r="AD182" s="54"/>
      <c r="AE182" s="54"/>
      <c r="AF182" s="132">
        <v>11</v>
      </c>
    </row>
    <row r="183" s="132" customFormat="1" ht="11.5" customHeight="1">
      <c r="A183" s="706"/>
      <c r="B183" s="57"/>
      <c r="C183" s="57"/>
      <c r="D183" s="132"/>
      <c r="K183" s="53"/>
      <c r="L183" s="57"/>
      <c r="M183" s="57"/>
      <c r="N183" s="53"/>
      <c r="O183" s="53"/>
      <c r="P183" s="53"/>
      <c r="Q183" s="53"/>
      <c r="R183" s="57"/>
      <c r="S183" s="53"/>
      <c r="T183" s="53"/>
      <c r="U183" s="707"/>
      <c r="V183" s="53"/>
      <c r="W183" s="53"/>
      <c r="X183" s="53"/>
      <c r="Y183" s="53"/>
      <c r="Z183" s="53"/>
      <c r="AA183" s="56"/>
      <c r="AB183" s="54"/>
      <c r="AC183" s="54"/>
      <c r="AD183" s="54"/>
      <c r="AE183" s="54"/>
      <c r="AF183" s="132">
        <v>11</v>
      </c>
    </row>
    <row r="184" s="132" customFormat="1" ht="11.5" customHeight="1">
      <c r="A184" s="706"/>
      <c r="B184" s="57"/>
      <c r="C184" s="57"/>
      <c r="D184" s="132"/>
      <c r="K184" s="53"/>
      <c r="L184" s="57"/>
      <c r="M184" s="57"/>
      <c r="N184" s="53"/>
      <c r="O184" s="53"/>
      <c r="P184" s="53"/>
      <c r="Q184" s="53"/>
      <c r="R184" s="57"/>
      <c r="S184" s="53"/>
      <c r="T184" s="53"/>
      <c r="U184" s="707"/>
      <c r="V184" s="53"/>
      <c r="W184" s="53"/>
      <c r="X184" s="53"/>
      <c r="Y184" s="53"/>
      <c r="Z184" s="53"/>
      <c r="AA184" s="56"/>
      <c r="AB184" s="54"/>
      <c r="AC184" s="54"/>
      <c r="AD184" s="54"/>
      <c r="AE184" s="54"/>
      <c r="AF184" s="132">
        <v>11</v>
      </c>
    </row>
    <row r="185" s="132" customFormat="1" ht="11.5" customHeight="1">
      <c r="A185" s="706"/>
      <c r="B185" s="57"/>
      <c r="C185" s="57"/>
      <c r="D185" s="132"/>
      <c r="K185" s="53"/>
      <c r="L185" s="57"/>
      <c r="M185" s="57"/>
      <c r="N185" s="53"/>
      <c r="O185" s="53"/>
      <c r="P185" s="53"/>
      <c r="Q185" s="53"/>
      <c r="R185" s="57"/>
      <c r="S185" s="53"/>
      <c r="T185" s="53"/>
      <c r="U185" s="707"/>
      <c r="V185" s="53"/>
      <c r="W185" s="53"/>
      <c r="X185" s="53"/>
      <c r="Y185" s="53"/>
      <c r="Z185" s="53"/>
      <c r="AA185" s="56"/>
      <c r="AB185" s="54"/>
      <c r="AC185" s="54"/>
      <c r="AD185" s="54"/>
      <c r="AE185" s="54"/>
      <c r="AF185" s="132">
        <v>11</v>
      </c>
    </row>
    <row r="186" s="132" customFormat="1" ht="11.5" customHeight="1">
      <c r="A186" s="706"/>
      <c r="B186" s="57"/>
      <c r="C186" s="57"/>
      <c r="D186" s="132"/>
      <c r="K186" s="53"/>
      <c r="L186" s="57"/>
      <c r="M186" s="57"/>
      <c r="N186" s="53"/>
      <c r="O186" s="53"/>
      <c r="P186" s="53"/>
      <c r="Q186" s="53"/>
      <c r="R186" s="57"/>
      <c r="S186" s="53"/>
      <c r="T186" s="53"/>
      <c r="U186" s="707"/>
      <c r="V186" s="53"/>
      <c r="W186" s="53"/>
      <c r="X186" s="53"/>
      <c r="Y186" s="53"/>
      <c r="Z186" s="53"/>
      <c r="AA186" s="56"/>
      <c r="AB186" s="54"/>
      <c r="AC186" s="54"/>
      <c r="AD186" s="54"/>
      <c r="AE186" s="54"/>
      <c r="AF186" s="132">
        <v>11</v>
      </c>
    </row>
    <row r="187" s="132" customFormat="1" ht="11.5" customHeight="1">
      <c r="A187" s="706"/>
      <c r="B187" s="57"/>
      <c r="C187" s="57"/>
      <c r="D187" s="132"/>
      <c r="K187" s="53"/>
      <c r="L187" s="57"/>
      <c r="M187" s="57"/>
      <c r="N187" s="53"/>
      <c r="O187" s="53"/>
      <c r="P187" s="53"/>
      <c r="Q187" s="53"/>
      <c r="R187" s="57"/>
      <c r="S187" s="53"/>
      <c r="T187" s="53"/>
      <c r="U187" s="707"/>
      <c r="V187" s="53"/>
      <c r="W187" s="53"/>
      <c r="X187" s="53"/>
      <c r="Y187" s="53"/>
      <c r="Z187" s="53"/>
      <c r="AA187" s="56"/>
      <c r="AB187" s="54"/>
      <c r="AC187" s="54"/>
      <c r="AD187" s="54"/>
      <c r="AE187" s="54"/>
      <c r="AF187" s="132">
        <v>11</v>
      </c>
    </row>
    <row r="188" s="132" customFormat="1" ht="11.5" customHeight="1">
      <c r="A188" s="706"/>
      <c r="B188" s="57"/>
      <c r="C188" s="57"/>
      <c r="D188" s="132"/>
      <c r="K188" s="53"/>
      <c r="L188" s="57"/>
      <c r="M188" s="57"/>
      <c r="N188" s="53"/>
      <c r="O188" s="53"/>
      <c r="P188" s="53"/>
      <c r="Q188" s="53"/>
      <c r="R188" s="57"/>
      <c r="S188" s="53"/>
      <c r="T188" s="53"/>
      <c r="U188" s="707"/>
      <c r="V188" s="53"/>
      <c r="W188" s="53"/>
      <c r="X188" s="53"/>
      <c r="Y188" s="53"/>
      <c r="Z188" s="53"/>
      <c r="AA188" s="56"/>
      <c r="AB188" s="54"/>
      <c r="AC188" s="54"/>
      <c r="AD188" s="54"/>
      <c r="AE188" s="54"/>
      <c r="AF188" s="132">
        <v>11</v>
      </c>
    </row>
    <row r="189" s="132" customFormat="1" ht="11.5" customHeight="1">
      <c r="A189" s="706"/>
      <c r="B189" s="57"/>
      <c r="C189" s="57"/>
      <c r="D189" s="132"/>
      <c r="K189" s="53"/>
      <c r="L189" s="57"/>
      <c r="M189" s="57"/>
      <c r="N189" s="53"/>
      <c r="O189" s="53"/>
      <c r="P189" s="53"/>
      <c r="Q189" s="53"/>
      <c r="R189" s="57"/>
      <c r="S189" s="53"/>
      <c r="T189" s="53"/>
      <c r="U189" s="707"/>
      <c r="V189" s="53"/>
      <c r="W189" s="53"/>
      <c r="X189" s="53"/>
      <c r="Y189" s="53"/>
      <c r="Z189" s="53"/>
      <c r="AA189" s="56"/>
      <c r="AB189" s="54"/>
      <c r="AC189" s="54"/>
      <c r="AD189" s="54"/>
      <c r="AE189" s="54"/>
      <c r="AF189" s="132">
        <v>11</v>
      </c>
    </row>
    <row r="190" s="132" customFormat="1" ht="11.5" customHeight="1">
      <c r="A190" s="706"/>
      <c r="B190" s="57"/>
      <c r="C190" s="57"/>
      <c r="D190" s="132"/>
      <c r="K190" s="53"/>
      <c r="L190" s="57"/>
      <c r="M190" s="57"/>
      <c r="N190" s="53"/>
      <c r="O190" s="53"/>
      <c r="P190" s="53"/>
      <c r="Q190" s="53"/>
      <c r="R190" s="57"/>
      <c r="S190" s="53"/>
      <c r="T190" s="53"/>
      <c r="U190" s="707"/>
      <c r="V190" s="53"/>
      <c r="W190" s="53"/>
      <c r="X190" s="53"/>
      <c r="Y190" s="53"/>
      <c r="Z190" s="53"/>
      <c r="AA190" s="56"/>
      <c r="AB190" s="54"/>
      <c r="AC190" s="54"/>
      <c r="AD190" s="54"/>
      <c r="AE190" s="54"/>
      <c r="AF190" s="132">
        <v>11</v>
      </c>
    </row>
    <row r="191" s="132" customFormat="1" ht="11.5" customHeight="1">
      <c r="A191" s="706"/>
      <c r="B191" s="57"/>
      <c r="C191" s="57"/>
      <c r="D191" s="132"/>
      <c r="K191" s="53"/>
      <c r="L191" s="57"/>
      <c r="M191" s="57"/>
      <c r="N191" s="53"/>
      <c r="O191" s="53"/>
      <c r="P191" s="53"/>
      <c r="Q191" s="53"/>
      <c r="R191" s="57"/>
      <c r="S191" s="53"/>
      <c r="T191" s="53"/>
      <c r="U191" s="707"/>
      <c r="V191" s="53"/>
      <c r="W191" s="53"/>
      <c r="X191" s="53"/>
      <c r="Y191" s="53"/>
      <c r="Z191" s="53"/>
      <c r="AA191" s="56"/>
      <c r="AB191" s="54"/>
      <c r="AC191" s="54"/>
      <c r="AD191" s="54"/>
      <c r="AE191" s="54"/>
      <c r="AF191" s="132">
        <v>11</v>
      </c>
    </row>
    <row r="192" s="132" customFormat="1" ht="11.5" customHeight="1">
      <c r="A192" s="706"/>
      <c r="B192" s="57"/>
      <c r="C192" s="57"/>
      <c r="D192" s="132"/>
      <c r="K192" s="53"/>
      <c r="L192" s="57"/>
      <c r="M192" s="57"/>
      <c r="N192" s="53"/>
      <c r="O192" s="53"/>
      <c r="P192" s="53"/>
      <c r="Q192" s="53"/>
      <c r="R192" s="57"/>
      <c r="S192" s="53"/>
      <c r="T192" s="53"/>
      <c r="U192" s="707"/>
      <c r="V192" s="53"/>
      <c r="W192" s="53"/>
      <c r="X192" s="53"/>
      <c r="Y192" s="53"/>
      <c r="Z192" s="53"/>
      <c r="AA192" s="56"/>
      <c r="AB192" s="54"/>
      <c r="AC192" s="54"/>
      <c r="AD192" s="54"/>
      <c r="AE192" s="54"/>
      <c r="AF192" s="132">
        <v>11</v>
      </c>
    </row>
    <row r="193" s="132" customFormat="1" ht="11.5" customHeight="1">
      <c r="A193" s="706"/>
      <c r="B193" s="57"/>
      <c r="C193" s="57"/>
      <c r="D193" s="132"/>
      <c r="K193" s="53"/>
      <c r="L193" s="57"/>
      <c r="M193" s="57"/>
      <c r="N193" s="53"/>
      <c r="O193" s="53"/>
      <c r="P193" s="53"/>
      <c r="Q193" s="53"/>
      <c r="R193" s="57"/>
      <c r="S193" s="53"/>
      <c r="T193" s="53"/>
      <c r="U193" s="707"/>
      <c r="V193" s="53"/>
      <c r="W193" s="53"/>
      <c r="X193" s="53"/>
      <c r="Y193" s="53"/>
      <c r="Z193" s="53"/>
      <c r="AA193" s="56"/>
      <c r="AB193" s="54"/>
      <c r="AC193" s="54"/>
      <c r="AD193" s="54"/>
      <c r="AE193" s="54"/>
      <c r="AF193" s="132">
        <v>11</v>
      </c>
    </row>
    <row r="194" s="132" customFormat="1" ht="11.5" customHeight="1">
      <c r="A194" s="706"/>
      <c r="B194" s="57"/>
      <c r="C194" s="57"/>
      <c r="D194" s="132"/>
      <c r="K194" s="53"/>
      <c r="L194" s="57"/>
      <c r="M194" s="57"/>
      <c r="N194" s="53"/>
      <c r="O194" s="53"/>
      <c r="P194" s="53"/>
      <c r="Q194" s="53"/>
      <c r="R194" s="57"/>
      <c r="S194" s="53"/>
      <c r="T194" s="53"/>
      <c r="U194" s="707"/>
      <c r="V194" s="53"/>
      <c r="W194" s="53"/>
      <c r="X194" s="53"/>
      <c r="Y194" s="53"/>
      <c r="Z194" s="53"/>
      <c r="AA194" s="56"/>
      <c r="AB194" s="54"/>
      <c r="AC194" s="54"/>
      <c r="AD194" s="54"/>
      <c r="AE194" s="54"/>
      <c r="AF194" s="132">
        <v>11</v>
      </c>
    </row>
    <row r="195" s="132" customFormat="1" ht="11.5" customHeight="1">
      <c r="A195" s="706"/>
      <c r="B195" s="57"/>
      <c r="C195" s="57"/>
      <c r="D195" s="132"/>
      <c r="K195" s="53"/>
      <c r="L195" s="57"/>
      <c r="M195" s="57"/>
      <c r="N195" s="53"/>
      <c r="O195" s="53"/>
      <c r="P195" s="53"/>
      <c r="Q195" s="53"/>
      <c r="R195" s="57"/>
      <c r="S195" s="53"/>
      <c r="T195" s="53"/>
      <c r="U195" s="707"/>
      <c r="V195" s="53"/>
      <c r="W195" s="53"/>
      <c r="X195" s="53"/>
      <c r="Y195" s="53"/>
      <c r="Z195" s="53"/>
      <c r="AA195" s="56"/>
      <c r="AB195" s="54"/>
      <c r="AC195" s="54"/>
      <c r="AD195" s="54"/>
      <c r="AE195" s="54"/>
      <c r="AF195" s="132">
        <v>11</v>
      </c>
    </row>
    <row r="196" s="132" customFormat="1" ht="11.5" customHeight="1">
      <c r="A196" s="706"/>
      <c r="B196" s="57"/>
      <c r="C196" s="57"/>
      <c r="D196" s="132"/>
      <c r="K196" s="53"/>
      <c r="L196" s="57"/>
      <c r="M196" s="57"/>
      <c r="N196" s="53"/>
      <c r="O196" s="53"/>
      <c r="P196" s="53"/>
      <c r="Q196" s="53"/>
      <c r="R196" s="57"/>
      <c r="S196" s="53"/>
      <c r="T196" s="53"/>
      <c r="U196" s="707"/>
      <c r="V196" s="53"/>
      <c r="W196" s="53"/>
      <c r="X196" s="53"/>
      <c r="Y196" s="53"/>
      <c r="Z196" s="53"/>
      <c r="AA196" s="56"/>
      <c r="AB196" s="54"/>
      <c r="AC196" s="54"/>
      <c r="AD196" s="54"/>
      <c r="AE196" s="54"/>
      <c r="AF196" s="132">
        <v>11</v>
      </c>
    </row>
    <row r="197" s="132" customFormat="1" ht="11.5" customHeight="1">
      <c r="A197" s="706"/>
      <c r="B197" s="57"/>
      <c r="C197" s="57"/>
      <c r="D197" s="132"/>
      <c r="K197" s="53"/>
      <c r="L197" s="57"/>
      <c r="M197" s="57"/>
      <c r="N197" s="53"/>
      <c r="O197" s="53"/>
      <c r="P197" s="53"/>
      <c r="Q197" s="53"/>
      <c r="R197" s="57"/>
      <c r="S197" s="53"/>
      <c r="T197" s="53"/>
      <c r="U197" s="707"/>
      <c r="V197" s="53"/>
      <c r="W197" s="53"/>
      <c r="X197" s="53"/>
      <c r="Y197" s="53"/>
      <c r="Z197" s="53"/>
      <c r="AA197" s="56"/>
      <c r="AB197" s="54"/>
      <c r="AC197" s="54"/>
      <c r="AD197" s="54"/>
      <c r="AE197" s="54"/>
      <c r="AF197" s="132">
        <v>11</v>
      </c>
    </row>
    <row r="198" s="132" customFormat="1" ht="11.5" customHeight="1">
      <c r="A198" s="706"/>
      <c r="B198" s="57"/>
      <c r="C198" s="57"/>
      <c r="D198" s="132"/>
      <c r="K198" s="53"/>
      <c r="L198" s="57"/>
      <c r="M198" s="57"/>
      <c r="N198" s="53"/>
      <c r="O198" s="53"/>
      <c r="P198" s="53"/>
      <c r="Q198" s="53"/>
      <c r="R198" s="57"/>
      <c r="S198" s="53"/>
      <c r="T198" s="53"/>
      <c r="U198" s="707"/>
      <c r="V198" s="53"/>
      <c r="W198" s="53"/>
      <c r="X198" s="53"/>
      <c r="Y198" s="53"/>
      <c r="Z198" s="53"/>
      <c r="AA198" s="56"/>
      <c r="AB198" s="54"/>
      <c r="AC198" s="54"/>
      <c r="AD198" s="54"/>
      <c r="AE198" s="54"/>
      <c r="AF198" s="132">
        <v>11</v>
      </c>
    </row>
    <row r="199" s="132" customFormat="1" ht="11.5" customHeight="1">
      <c r="A199" s="706"/>
      <c r="B199" s="57"/>
      <c r="C199" s="57"/>
      <c r="D199" s="132"/>
      <c r="K199" s="53"/>
      <c r="L199" s="57"/>
      <c r="M199" s="57"/>
      <c r="N199" s="53"/>
      <c r="O199" s="53"/>
      <c r="P199" s="53"/>
      <c r="Q199" s="53"/>
      <c r="R199" s="57"/>
      <c r="S199" s="53"/>
      <c r="T199" s="53"/>
      <c r="U199" s="707"/>
      <c r="V199" s="53"/>
      <c r="W199" s="53"/>
      <c r="X199" s="53"/>
      <c r="Y199" s="53"/>
      <c r="Z199" s="53"/>
      <c r="AA199" s="56"/>
      <c r="AB199" s="54"/>
      <c r="AC199" s="54"/>
      <c r="AD199" s="54"/>
      <c r="AE199" s="54"/>
      <c r="AF199" s="132">
        <v>11</v>
      </c>
    </row>
    <row r="200" s="132" customFormat="1" ht="11.5" customHeight="1">
      <c r="A200" s="706"/>
      <c r="B200" s="57"/>
      <c r="C200" s="57"/>
      <c r="D200" s="132"/>
      <c r="K200" s="53"/>
      <c r="L200" s="57"/>
      <c r="M200" s="57"/>
      <c r="N200" s="53"/>
      <c r="O200" s="53"/>
      <c r="P200" s="53"/>
      <c r="Q200" s="53"/>
      <c r="R200" s="57"/>
      <c r="S200" s="53"/>
      <c r="T200" s="53"/>
      <c r="U200" s="707"/>
      <c r="V200" s="53"/>
      <c r="W200" s="53"/>
      <c r="X200" s="53"/>
      <c r="Y200" s="53"/>
      <c r="Z200" s="53"/>
      <c r="AA200" s="56"/>
      <c r="AB200" s="54"/>
      <c r="AC200" s="54"/>
      <c r="AD200" s="54"/>
      <c r="AE200" s="54"/>
      <c r="AF200" s="132">
        <v>11</v>
      </c>
    </row>
    <row r="201" s="132" customFormat="1" ht="11.5" customHeight="1">
      <c r="A201" s="706"/>
      <c r="B201" s="57"/>
      <c r="C201" s="57"/>
      <c r="D201" s="132"/>
      <c r="K201" s="53"/>
      <c r="L201" s="57"/>
      <c r="M201" s="57"/>
      <c r="N201" s="53"/>
      <c r="O201" s="53"/>
      <c r="P201" s="53"/>
      <c r="Q201" s="53"/>
      <c r="R201" s="57"/>
      <c r="S201" s="53"/>
      <c r="T201" s="53"/>
      <c r="U201" s="707"/>
      <c r="V201" s="53"/>
      <c r="W201" s="53"/>
      <c r="X201" s="53"/>
      <c r="Y201" s="53"/>
      <c r="Z201" s="53"/>
      <c r="AA201" s="56"/>
      <c r="AB201" s="54"/>
      <c r="AC201" s="54"/>
      <c r="AD201" s="54"/>
      <c r="AE201" s="54"/>
      <c r="AF201" s="132">
        <v>11</v>
      </c>
    </row>
    <row r="202" s="132" customFormat="1" ht="11.5" customHeight="1">
      <c r="A202" s="706"/>
      <c r="B202" s="57"/>
      <c r="C202" s="57"/>
      <c r="D202" s="132"/>
      <c r="K202" s="53"/>
      <c r="L202" s="57"/>
      <c r="M202" s="57"/>
      <c r="N202" s="53"/>
      <c r="O202" s="53"/>
      <c r="P202" s="53"/>
      <c r="Q202" s="53"/>
      <c r="R202" s="57"/>
      <c r="S202" s="53"/>
      <c r="T202" s="53"/>
      <c r="U202" s="707"/>
      <c r="V202" s="53"/>
      <c r="W202" s="53"/>
      <c r="X202" s="53"/>
      <c r="Y202" s="53"/>
      <c r="Z202" s="53"/>
      <c r="AA202" s="56"/>
      <c r="AB202" s="54"/>
      <c r="AC202" s="54"/>
      <c r="AD202" s="54"/>
      <c r="AE202" s="54"/>
      <c r="AF202" s="132">
        <v>11</v>
      </c>
    </row>
    <row r="203" ht="11.5" customHeight="1">
      <c r="AF203" s="50">
        <v>11</v>
      </c>
    </row>
    <row r="204" ht="11.5" customHeight="1">
      <c r="AF204" s="50">
        <v>11</v>
      </c>
    </row>
    <row r="205" ht="11.5" customHeight="1">
      <c r="AF205" s="50">
        <v>11</v>
      </c>
    </row>
    <row r="206" ht="11.5" customHeight="1">
      <c r="A206" s="774"/>
      <c r="B206" s="50"/>
      <c r="D206" s="50"/>
      <c r="K206" s="50"/>
      <c r="N206" s="50"/>
      <c r="O206" s="50"/>
      <c r="P206" s="50"/>
      <c r="Q206" s="50"/>
      <c r="S206" s="50"/>
      <c r="T206" s="50"/>
      <c r="U206" s="50"/>
      <c r="V206" s="50"/>
      <c r="W206" s="50"/>
      <c r="X206" s="50"/>
      <c r="Y206" s="50"/>
      <c r="Z206" s="50"/>
      <c r="AA206" s="50"/>
      <c r="AB206" s="50"/>
      <c r="AC206" s="50"/>
      <c r="AD206" s="50"/>
      <c r="AE206" s="50"/>
      <c r="AF206" s="50">
        <v>11</v>
      </c>
    </row>
    <row r="207" ht="11.5" customHeight="1">
      <c r="A207" s="774"/>
      <c r="B207" s="50"/>
      <c r="D207" s="50"/>
      <c r="K207" s="50"/>
      <c r="N207" s="50"/>
      <c r="O207" s="50"/>
      <c r="P207" s="50"/>
      <c r="Q207" s="50"/>
      <c r="S207" s="50"/>
      <c r="T207" s="50"/>
      <c r="U207" s="50"/>
      <c r="V207" s="50"/>
      <c r="W207" s="50"/>
      <c r="X207" s="50"/>
      <c r="Y207" s="50"/>
      <c r="Z207" s="50"/>
      <c r="AA207" s="50"/>
      <c r="AB207" s="50"/>
      <c r="AC207" s="50"/>
      <c r="AD207" s="50"/>
      <c r="AE207" s="50"/>
      <c r="AF207" s="50">
        <v>11</v>
      </c>
    </row>
    <row r="208" ht="11.5" customHeight="1">
      <c r="A208" s="774"/>
      <c r="B208" s="50"/>
      <c r="D208" s="50"/>
      <c r="K208" s="50"/>
      <c r="N208" s="50"/>
      <c r="O208" s="50"/>
      <c r="P208" s="50"/>
      <c r="Q208" s="50"/>
      <c r="S208" s="50"/>
      <c r="T208" s="50"/>
      <c r="U208" s="50"/>
      <c r="V208" s="50"/>
      <c r="W208" s="50"/>
      <c r="X208" s="50"/>
      <c r="Y208" s="50"/>
      <c r="Z208" s="50"/>
      <c r="AA208" s="50"/>
      <c r="AB208" s="50"/>
      <c r="AC208" s="50"/>
      <c r="AD208" s="50"/>
      <c r="AE208" s="50"/>
      <c r="AF208" s="50">
        <v>11</v>
      </c>
    </row>
    <row r="209" ht="11.5" customHeight="1">
      <c r="A209" s="774"/>
      <c r="B209" s="50"/>
      <c r="D209" s="50"/>
      <c r="K209" s="50"/>
      <c r="N209" s="50"/>
      <c r="O209" s="50"/>
      <c r="P209" s="50"/>
      <c r="Q209" s="50"/>
      <c r="S209" s="50"/>
      <c r="T209" s="50"/>
      <c r="U209" s="50"/>
      <c r="V209" s="50"/>
      <c r="W209" s="50"/>
      <c r="X209" s="50"/>
      <c r="Y209" s="50"/>
      <c r="Z209" s="50"/>
      <c r="AA209" s="50"/>
      <c r="AB209" s="50"/>
      <c r="AC209" s="50"/>
      <c r="AD209" s="50"/>
      <c r="AE209" s="50"/>
      <c r="AF209" s="50">
        <v>11</v>
      </c>
    </row>
    <row r="210" ht="11.5" customHeight="1">
      <c r="A210" s="774"/>
      <c r="B210" s="50"/>
      <c r="D210" s="50"/>
      <c r="K210" s="50"/>
      <c r="N210" s="50"/>
      <c r="O210" s="50"/>
      <c r="P210" s="50"/>
      <c r="Q210" s="50"/>
      <c r="S210" s="50"/>
      <c r="T210" s="50"/>
      <c r="U210" s="50"/>
      <c r="V210" s="50"/>
      <c r="W210" s="50"/>
      <c r="X210" s="50"/>
      <c r="Y210" s="50"/>
      <c r="Z210" s="50"/>
      <c r="AA210" s="50"/>
      <c r="AB210" s="50"/>
      <c r="AC210" s="50"/>
      <c r="AD210" s="50"/>
      <c r="AE210" s="50"/>
      <c r="AF210" s="50">
        <v>11</v>
      </c>
    </row>
    <row r="211" ht="11.5" customHeight="1">
      <c r="A211" s="774"/>
      <c r="B211" s="50"/>
      <c r="D211" s="50"/>
      <c r="K211" s="50"/>
      <c r="N211" s="50"/>
      <c r="O211" s="50"/>
      <c r="P211" s="50"/>
      <c r="Q211" s="50"/>
      <c r="S211" s="50"/>
      <c r="T211" s="50"/>
      <c r="U211" s="50"/>
      <c r="V211" s="50"/>
      <c r="W211" s="50"/>
      <c r="X211" s="50"/>
      <c r="Y211" s="50"/>
      <c r="Z211" s="50"/>
      <c r="AA211" s="50"/>
      <c r="AB211" s="50"/>
      <c r="AC211" s="50"/>
      <c r="AD211" s="50"/>
      <c r="AE211" s="50"/>
      <c r="AF211" s="50">
        <v>11</v>
      </c>
    </row>
    <row r="212" ht="11.5" customHeight="1">
      <c r="A212" s="774"/>
      <c r="B212" s="50"/>
      <c r="D212" s="50"/>
      <c r="K212" s="50"/>
      <c r="N212" s="50"/>
      <c r="O212" s="50"/>
      <c r="P212" s="50"/>
      <c r="Q212" s="50"/>
      <c r="S212" s="50"/>
      <c r="T212" s="50"/>
      <c r="U212" s="50"/>
      <c r="V212" s="50"/>
      <c r="W212" s="50"/>
      <c r="X212" s="50"/>
      <c r="Y212" s="50"/>
      <c r="Z212" s="50"/>
      <c r="AA212" s="50"/>
      <c r="AB212" s="50"/>
      <c r="AC212" s="50"/>
      <c r="AD212" s="50"/>
      <c r="AE212" s="50"/>
      <c r="AF212" s="50">
        <v>11</v>
      </c>
    </row>
    <row r="213" ht="11.5" customHeight="1">
      <c r="A213" s="774"/>
      <c r="B213" s="50"/>
      <c r="D213" s="50"/>
      <c r="K213" s="50"/>
      <c r="N213" s="50"/>
      <c r="O213" s="50"/>
      <c r="P213" s="50"/>
      <c r="Q213" s="50"/>
      <c r="S213" s="50"/>
      <c r="T213" s="50"/>
      <c r="U213" s="50"/>
      <c r="V213" s="50"/>
      <c r="W213" s="50"/>
      <c r="X213" s="50"/>
      <c r="Y213" s="50"/>
      <c r="Z213" s="50"/>
      <c r="AA213" s="50"/>
      <c r="AB213" s="50"/>
      <c r="AC213" s="50"/>
      <c r="AD213" s="50"/>
      <c r="AE213" s="50"/>
      <c r="AF213" s="50">
        <v>11</v>
      </c>
    </row>
    <row r="214" ht="11.5" customHeight="1">
      <c r="A214" s="774"/>
      <c r="B214" s="50"/>
      <c r="D214" s="50"/>
      <c r="K214" s="50"/>
      <c r="N214" s="50"/>
      <c r="O214" s="50"/>
      <c r="P214" s="50"/>
      <c r="Q214" s="50"/>
      <c r="S214" s="50"/>
      <c r="T214" s="50"/>
      <c r="U214" s="50"/>
      <c r="V214" s="50"/>
      <c r="W214" s="50"/>
      <c r="X214" s="50"/>
      <c r="Y214" s="50"/>
      <c r="Z214" s="50"/>
      <c r="AA214" s="50"/>
      <c r="AB214" s="50"/>
      <c r="AC214" s="50"/>
      <c r="AD214" s="50"/>
      <c r="AE214" s="50"/>
      <c r="AF214" s="50">
        <v>11</v>
      </c>
    </row>
    <row r="215" ht="11.5" customHeight="1">
      <c r="A215" s="774"/>
      <c r="B215" s="50"/>
      <c r="D215" s="50"/>
      <c r="K215" s="50"/>
      <c r="N215" s="50"/>
      <c r="O215" s="50"/>
      <c r="P215" s="50"/>
      <c r="Q215" s="50"/>
      <c r="S215" s="50"/>
      <c r="T215" s="50"/>
      <c r="U215" s="50"/>
      <c r="V215" s="50"/>
      <c r="W215" s="50"/>
      <c r="X215" s="50"/>
      <c r="Y215" s="50"/>
      <c r="Z215" s="50"/>
      <c r="AA215" s="50"/>
      <c r="AB215" s="50"/>
      <c r="AC215" s="50"/>
      <c r="AD215" s="50"/>
      <c r="AE215" s="50"/>
      <c r="AF215" s="50">
        <v>11</v>
      </c>
    </row>
    <row r="216" ht="11.5" customHeight="1">
      <c r="A216" s="774"/>
      <c r="B216" s="50"/>
      <c r="D216" s="50"/>
      <c r="K216" s="50"/>
      <c r="N216" s="50"/>
      <c r="O216" s="50"/>
      <c r="P216" s="50"/>
      <c r="Q216" s="50"/>
      <c r="S216" s="50"/>
      <c r="T216" s="50"/>
      <c r="U216" s="50"/>
      <c r="V216" s="50"/>
      <c r="W216" s="50"/>
      <c r="X216" s="50"/>
      <c r="Y216" s="50"/>
      <c r="Z216" s="50"/>
      <c r="AA216" s="50"/>
      <c r="AB216" s="50"/>
      <c r="AC216" s="50"/>
      <c r="AD216" s="50"/>
      <c r="AE216" s="50"/>
      <c r="AF216" s="50">
        <v>11</v>
      </c>
    </row>
    <row r="217" ht="11.25" hidden="1" customHeight="1">
      <c r="A217" s="706" t="s">
        <v>81</v>
      </c>
      <c r="B217" s="53">
        <v>0</v>
      </c>
      <c r="C217" s="57">
        <v>0</v>
      </c>
      <c r="D217" s="50">
        <v>3</v>
      </c>
      <c r="E217" s="50">
        <v>7</v>
      </c>
      <c r="F217" s="50">
        <v>56</v>
      </c>
      <c r="G217" s="50">
        <v>10</v>
      </c>
      <c r="H217" s="50">
        <v>0</v>
      </c>
      <c r="I217" s="50">
        <v>40</v>
      </c>
      <c r="J217" s="50">
        <v>102</v>
      </c>
      <c r="K217" s="53">
        <v>9</v>
      </c>
      <c r="L217" s="57">
        <v>5</v>
      </c>
      <c r="M217" s="57">
        <v>3</v>
      </c>
      <c r="N217" s="53">
        <v>3</v>
      </c>
      <c r="O217" s="53">
        <v>3</v>
      </c>
      <c r="P217" s="53">
        <v>3</v>
      </c>
      <c r="Q217" s="53">
        <v>3</v>
      </c>
      <c r="R217" s="57">
        <v>10</v>
      </c>
      <c r="S217" s="53">
        <v>34</v>
      </c>
      <c r="T217" s="53">
        <v>9</v>
      </c>
      <c r="U217" s="707">
        <v>8</v>
      </c>
      <c r="V217" s="53">
        <v>8</v>
      </c>
      <c r="W217" s="53">
        <v>8</v>
      </c>
      <c r="X217" s="53">
        <v>8</v>
      </c>
      <c r="Y217" s="53">
        <v>8</v>
      </c>
      <c r="Z217" s="53">
        <v>8</v>
      </c>
      <c r="AA217" s="56">
        <v>8</v>
      </c>
      <c r="AB217" s="56">
        <v>8</v>
      </c>
      <c r="AC217" s="56">
        <v>8</v>
      </c>
      <c r="AD217" s="56">
        <v>8</v>
      </c>
      <c r="AE217" s="56">
        <v>8</v>
      </c>
      <c r="AF217" s="50">
        <v>11</v>
      </c>
    </row>
  </sheetData>
  <sheetProtection autoFilter="0" deleteColumns="1" deleteRows="1" formatCells="1" formatColumns="0" formatRows="0" insertColumns="1" insertHyperlinks="1" insertRows="1" objects="0" pivotTables="1" scenarios="0" selectLockedCells="0" selectUnlockedCells="0" sheet="1" sort="1"/>
  <mergeCells count="7">
    <mergeCell ref="E6:I6"/>
    <mergeCell ref="E7:I7"/>
    <mergeCell ref="F10:G10"/>
    <mergeCell ref="J10:J14"/>
    <mergeCell ref="F11:G11"/>
    <mergeCell ref="F12:G12"/>
    <mergeCell ref="E13:G13"/>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disablePrompts="0">
        <x14:dataValidation xr:uid="{006F009E-00D8-49B5-9475-000000EF006E}" type="decimal" allowBlank="1" error="Допускается ввод только действительных чисел!" errorStyle="stop" errorTitle="Ошибка" imeMode="noControl" operator="between" showDropDown="0" showErrorMessage="1" showInputMessage="0">
          <x14:formula1>
            <xm:f>-9.99999999999999E+37</xm:f>
          </x14:formula1>
          <x14:formula2>
            <xm:f>9.99999999999999E+37</xm:f>
          </x14:formula2>
          <xm:sqref>H40:I42</xm:sqref>
        </x14:dataValidation>
        <x14:dataValidation xr:uid="{002700BD-0084-4DB2-833B-004D00E00070}"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H36:I37</xm:sqref>
        </x14:dataValidation>
        <x14:dataValidation xr:uid="{00EC0079-0056-4666-B312-00A400FF003D}"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H43:I43</xm:sqref>
        </x14:dataValidation>
        <x14:dataValidation xr:uid="{00B100CF-00C5-4242-8855-000600990037}"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H38:I39 H2:I2 H15:I15 H17:I32 H35:I35 H44:I46</xm:sqref>
        </x14:dataValidation>
        <x14:dataValidation xr:uid="{001700D9-0081-4EA7-AB12-00E300CF00B5}" type="textLength" allowBlank="1" error="Допускается ввод не более 900 символов!" errorStyle="stop" errorTitle="Ошибка" imeMode="noControl" operator="lessThanOrEqual" prompt="Введите наименование прочих расходов" showDropDown="0" showErrorMessage="1" showInputMessage="1">
          <x14:formula1>
            <xm:f>900</xm:f>
          </x14:formula1>
          <xm:sqref>H33:I33</xm:sqref>
        </x14:dataValidation>
      </x14:dataValidations>
    </ext>
  </extLst>
</worksheet>
</file>

<file path=xl/worksheets/sheet3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zoomScale="90" workbookViewId="0">
      <pane xSplit="8" ySplit="14" topLeftCell="I15" activePane="bottomRight" state="frozen"/>
      <selection activeCell="A1" activeCellId="0" sqref="A1"/>
    </sheetView>
  </sheetViews>
  <sheetFormatPr defaultColWidth="9.140625" defaultRowHeight="11.25" customHeight="1"/>
  <cols>
    <col customWidth="1" hidden="1" min="1" max="1" style="706" width="10.7109375"/>
    <col customWidth="1" hidden="1" min="2" max="2" style="53" width="16.8515625"/>
    <col customWidth="1" hidden="1" min="3" max="3" style="57" width="5.57421875"/>
    <col customWidth="1" min="4" max="4" style="50" width="3.00390625"/>
    <col customWidth="1" min="5" max="5" style="50" width="7.00390625"/>
    <col customWidth="1" min="6" max="6" style="50" width="54.00390625"/>
    <col customWidth="1" min="7" max="7" style="50" width="10.00390625"/>
    <col customWidth="1" hidden="1" min="8" max="8" style="50" width="40.7109375"/>
    <col customWidth="1" min="9" max="9" style="50" width="40.00390625"/>
    <col customWidth="1" min="10" max="10" style="50" width="102.00390625"/>
    <col customWidth="1" min="11" max="11" style="53" width="9.00390625"/>
    <col customWidth="1" min="12" max="12" style="57" width="5.00390625"/>
    <col customWidth="1" min="13" max="13" style="57" width="3.00390625"/>
    <col customWidth="1" min="14" max="17" style="53" width="3.00390625"/>
    <col customWidth="1" min="18" max="18" style="57" width="10.00390625"/>
    <col customWidth="1" min="19" max="19" style="53" width="34.00390625"/>
    <col customWidth="1" min="20" max="20" style="53" width="9.00390625"/>
    <col customWidth="1" min="21" max="21" style="707" width="8.00390625"/>
    <col customWidth="1" min="22" max="26" style="53" width="8.00390625"/>
    <col customWidth="1" min="27" max="31" style="56" width="8.00390625"/>
    <col hidden="1" min="32" max="32" style="50" width="9.140625"/>
  </cols>
  <sheetData>
    <row r="1" s="53" customFormat="1" ht="22.5" hidden="1" customHeight="1">
      <c r="A1" s="706"/>
      <c r="C1" s="57"/>
      <c r="D1" s="53"/>
      <c r="H1" s="53">
        <v>4</v>
      </c>
      <c r="I1" s="53">
        <v>4</v>
      </c>
      <c r="L1" s="57"/>
      <c r="M1" s="57"/>
      <c r="R1" s="57"/>
      <c r="AF1" s="53" t="s">
        <v>14</v>
      </c>
    </row>
    <row r="2" s="53" customFormat="1" ht="22.5" hidden="1" customHeight="1">
      <c r="A2" s="706"/>
      <c r="C2" s="57"/>
      <c r="D2" s="716"/>
      <c r="E2" s="158"/>
      <c r="F2" s="160"/>
      <c r="G2" s="158" t="s">
        <v>546</v>
      </c>
      <c r="H2" s="508"/>
      <c r="I2" s="508"/>
      <c r="J2" s="717" t="s">
        <v>549</v>
      </c>
      <c r="K2" s="710"/>
      <c r="L2" s="57"/>
      <c r="M2" s="57"/>
      <c r="R2" s="57"/>
      <c r="U2" s="707"/>
      <c r="AA2" s="56"/>
      <c r="AB2" s="56"/>
      <c r="AC2" s="56"/>
      <c r="AD2" s="56"/>
      <c r="AE2" s="56"/>
      <c r="AF2" s="53">
        <v>0</v>
      </c>
    </row>
    <row r="3" ht="11.25" hidden="1" customHeight="1">
      <c r="AF3" s="50">
        <v>0</v>
      </c>
    </row>
    <row r="4" s="56" customFormat="1" ht="11.25" hidden="1" customHeight="1">
      <c r="A4" s="706"/>
      <c r="B4" s="53"/>
      <c r="C4" s="57"/>
      <c r="D4" s="56"/>
      <c r="J4" s="56">
        <v>4</v>
      </c>
      <c r="K4" s="53"/>
      <c r="L4" s="57"/>
      <c r="M4" s="57"/>
      <c r="N4" s="53"/>
      <c r="O4" s="53"/>
      <c r="P4" s="53"/>
      <c r="Q4" s="53"/>
      <c r="R4" s="57"/>
      <c r="S4" s="53"/>
      <c r="T4" s="53"/>
      <c r="U4" s="707"/>
      <c r="V4" s="53"/>
      <c r="W4" s="53"/>
      <c r="X4" s="53"/>
      <c r="Y4" s="53"/>
      <c r="Z4" s="53"/>
      <c r="AF4" s="56">
        <v>0</v>
      </c>
    </row>
    <row r="5" ht="11.5" customHeight="1">
      <c r="AF5" s="50">
        <v>11</v>
      </c>
    </row>
    <row r="6" ht="33.75" customHeight="1">
      <c r="E6" s="453" t="s">
        <v>769</v>
      </c>
      <c r="F6" s="453"/>
      <c r="G6" s="453"/>
      <c r="H6" s="453"/>
      <c r="I6" s="453"/>
      <c r="J6" s="241"/>
      <c r="AF6" s="50">
        <v>32</v>
      </c>
    </row>
    <row r="7" ht="25.199999999999999" customHeight="1">
      <c r="E7" s="304" t="str">
        <f>IF(org=0,"Не определено",org)</f>
        <v xml:space="preserve">АО "ДГК" СП "Биробиджанская ТЭЦ"</v>
      </c>
      <c r="F7" s="304"/>
      <c r="G7" s="304"/>
      <c r="H7" s="304"/>
      <c r="I7" s="304"/>
      <c r="AF7" s="50">
        <v>24</v>
      </c>
    </row>
    <row r="8" ht="11.5" customHeight="1">
      <c r="E8" s="720"/>
      <c r="F8" s="720"/>
      <c r="G8" s="720"/>
      <c r="H8" s="720"/>
      <c r="I8" s="720"/>
      <c r="AF8" s="50">
        <v>11</v>
      </c>
    </row>
    <row r="9" s="57" customFormat="1" ht="1.05" customHeight="1">
      <c r="A9" s="532"/>
      <c r="D9" s="57"/>
      <c r="H9" s="721"/>
      <c r="I9" s="721" t="s">
        <v>113</v>
      </c>
      <c r="AF9" s="57">
        <v>1</v>
      </c>
    </row>
    <row r="10" ht="11.5" customHeight="1">
      <c r="E10" s="722"/>
      <c r="F10" s="723" t="s">
        <v>101</v>
      </c>
      <c r="G10" s="724"/>
      <c r="H10" s="725" t="str">
        <f>IF(H9="","",INDEX(DIFFERENTIATION_UNMERGE_VD,MATCH(H9,DIFFERENTIATION_ID_DIFF,0)))</f>
        <v/>
      </c>
      <c r="I10" s="725">
        <f>IF(I9="","",INDEX(DIFFERENTIATION_UNMERGE_VD,MATCH(I9,DIFFERENTIATION_ID_DIFF,0)))</f>
        <v>0</v>
      </c>
      <c r="J10" s="158"/>
      <c r="AF10" s="50">
        <v>11</v>
      </c>
    </row>
    <row r="11" ht="11.5" customHeight="1">
      <c r="E11" s="722"/>
      <c r="F11" s="723" t="s">
        <v>558</v>
      </c>
      <c r="G11" s="724"/>
      <c r="H11" s="725" t="str">
        <f>IF(H9="","",INDEX(DIFFERENTIATION_UNMERGE_AREA,MATCH(H9,DIFFERENTIATION_ID_DIFF,0)))</f>
        <v/>
      </c>
      <c r="I11" s="725" t="str">
        <f>IF(I9="","",INDEX(DIFFERENTIATION_UNMERGE_AREA,MATCH(I9,DIFFERENTIATION_ID_DIFF,0)))</f>
        <v/>
      </c>
      <c r="J11" s="158"/>
      <c r="AF11" s="50">
        <v>11</v>
      </c>
    </row>
    <row r="12" ht="11.25" hidden="1" customHeight="1">
      <c r="E12" s="807"/>
      <c r="F12" s="837" t="s">
        <v>559</v>
      </c>
      <c r="G12" s="838"/>
      <c r="H12" s="839" t="str">
        <f>IF(H9="","",INDEX(DIFFERENTIATION_UNMERGE_SYSTEM,MATCH(H9,DIFFERENTIATION_ID_DIFF,0)))</f>
        <v/>
      </c>
      <c r="I12" s="839" t="str">
        <f>IF(I9="","",INDEX(DIFFERENTIATION_UNMERGE_SYSTEM,MATCH(I9,DIFFERENTIATION_ID_DIFF,0)))</f>
        <v xml:space="preserve">без дифференциации</v>
      </c>
      <c r="J12" s="158"/>
      <c r="AF12" s="50">
        <v>0</v>
      </c>
    </row>
    <row r="13" ht="11.5" customHeight="1">
      <c r="E13" s="726" t="s">
        <v>294</v>
      </c>
      <c r="F13" s="727"/>
      <c r="G13" s="727"/>
      <c r="H13" s="723"/>
      <c r="I13" s="723"/>
      <c r="J13" s="158"/>
      <c r="AF13" s="50">
        <v>11</v>
      </c>
    </row>
    <row r="14" ht="24" customHeight="1">
      <c r="E14" s="158" t="s">
        <v>87</v>
      </c>
      <c r="F14" s="158" t="s">
        <v>296</v>
      </c>
      <c r="G14" s="158" t="s">
        <v>560</v>
      </c>
      <c r="H14" s="158" t="s">
        <v>297</v>
      </c>
      <c r="I14" s="158" t="s">
        <v>297</v>
      </c>
      <c r="J14" s="158"/>
      <c r="AF14" s="50">
        <v>23</v>
      </c>
    </row>
    <row r="15" ht="19.949999999999999" customHeight="1">
      <c r="D15" s="126"/>
      <c r="E15" s="810" t="s">
        <v>105</v>
      </c>
      <c r="F15" s="314" t="s">
        <v>770</v>
      </c>
      <c r="G15" s="158" t="s">
        <v>546</v>
      </c>
      <c r="H15" s="728"/>
      <c r="I15" s="728"/>
      <c r="J15" s="486" t="s">
        <v>771</v>
      </c>
      <c r="K15" s="710" t="s">
        <v>624</v>
      </c>
      <c r="AF15" s="50">
        <v>19</v>
      </c>
    </row>
    <row r="16" ht="24" customHeight="1">
      <c r="D16" s="126"/>
      <c r="E16" s="810" t="s">
        <v>106</v>
      </c>
      <c r="F16" s="329" t="s">
        <v>772</v>
      </c>
      <c r="G16" s="158" t="s">
        <v>546</v>
      </c>
      <c r="H16" s="729">
        <f>SUM(H17,H20:H27)</f>
        <v>0</v>
      </c>
      <c r="I16" s="729">
        <f>SUM(I17,I20:I27)</f>
        <v>0</v>
      </c>
      <c r="J16" s="486" t="s">
        <v>773</v>
      </c>
      <c r="K16" s="710" t="s">
        <v>624</v>
      </c>
      <c r="AF16" s="50">
        <v>23</v>
      </c>
    </row>
    <row r="17" ht="35.649999999999999" customHeight="1">
      <c r="D17" s="126"/>
      <c r="E17" s="816" t="s">
        <v>703</v>
      </c>
      <c r="F17" s="380" t="s">
        <v>774</v>
      </c>
      <c r="G17" s="72" t="s">
        <v>546</v>
      </c>
      <c r="H17" s="728"/>
      <c r="I17" s="728"/>
      <c r="J17" s="486" t="s">
        <v>775</v>
      </c>
      <c r="K17" s="710"/>
      <c r="AF17" s="50">
        <v>34</v>
      </c>
    </row>
    <row r="18" ht="19.949999999999999" customHeight="1">
      <c r="D18" s="126"/>
      <c r="E18" s="816" t="s">
        <v>706</v>
      </c>
      <c r="F18" s="841" t="s">
        <v>776</v>
      </c>
      <c r="G18" s="72" t="s">
        <v>546</v>
      </c>
      <c r="H18" s="728"/>
      <c r="I18" s="728"/>
      <c r="J18" s="486"/>
      <c r="K18" s="710"/>
      <c r="AF18" s="50">
        <v>19</v>
      </c>
    </row>
    <row r="19" ht="24" customHeight="1">
      <c r="D19" s="126"/>
      <c r="E19" s="816" t="s">
        <v>709</v>
      </c>
      <c r="F19" s="841" t="s">
        <v>777</v>
      </c>
      <c r="G19" s="72" t="s">
        <v>546</v>
      </c>
      <c r="H19" s="728"/>
      <c r="I19" s="728"/>
      <c r="J19" s="486"/>
      <c r="K19" s="710"/>
      <c r="AF19" s="50">
        <v>23</v>
      </c>
    </row>
    <row r="20" ht="35.649999999999999" customHeight="1">
      <c r="D20" s="126"/>
      <c r="E20" s="816" t="s">
        <v>301</v>
      </c>
      <c r="F20" s="380" t="s">
        <v>778</v>
      </c>
      <c r="G20" s="72" t="s">
        <v>546</v>
      </c>
      <c r="H20" s="728"/>
      <c r="I20" s="728"/>
      <c r="J20" s="486"/>
      <c r="K20" s="710"/>
      <c r="AF20" s="50">
        <v>34</v>
      </c>
    </row>
    <row r="21" ht="48.25" customHeight="1">
      <c r="D21" s="126"/>
      <c r="E21" s="816" t="s">
        <v>304</v>
      </c>
      <c r="F21" s="380" t="s">
        <v>779</v>
      </c>
      <c r="G21" s="72" t="s">
        <v>546</v>
      </c>
      <c r="H21" s="728"/>
      <c r="I21" s="728"/>
      <c r="J21" s="486"/>
      <c r="K21" s="710"/>
      <c r="AF21" s="50">
        <v>46</v>
      </c>
    </row>
    <row r="22" ht="60" customHeight="1">
      <c r="D22" s="126"/>
      <c r="E22" s="816" t="s">
        <v>723</v>
      </c>
      <c r="F22" s="380" t="s">
        <v>780</v>
      </c>
      <c r="G22" s="72" t="s">
        <v>546</v>
      </c>
      <c r="H22" s="728"/>
      <c r="I22" s="728"/>
      <c r="J22" s="486"/>
      <c r="K22" s="710"/>
      <c r="AF22" s="50">
        <v>57</v>
      </c>
    </row>
    <row r="23" ht="35.649999999999999" customHeight="1">
      <c r="D23" s="126"/>
      <c r="E23" s="816" t="s">
        <v>730</v>
      </c>
      <c r="F23" s="380" t="s">
        <v>781</v>
      </c>
      <c r="G23" s="72" t="s">
        <v>546</v>
      </c>
      <c r="H23" s="728"/>
      <c r="I23" s="728"/>
      <c r="J23" s="486"/>
      <c r="K23" s="710"/>
      <c r="AF23" s="50">
        <v>34</v>
      </c>
    </row>
    <row r="24" ht="35.649999999999999" customHeight="1">
      <c r="D24" s="126"/>
      <c r="E24" s="816" t="s">
        <v>732</v>
      </c>
      <c r="F24" s="380" t="s">
        <v>782</v>
      </c>
      <c r="G24" s="72" t="s">
        <v>546</v>
      </c>
      <c r="H24" s="728"/>
      <c r="I24" s="728"/>
      <c r="J24" s="486"/>
      <c r="K24" s="710"/>
      <c r="AF24" s="50">
        <v>34</v>
      </c>
    </row>
    <row r="25" ht="24" customHeight="1">
      <c r="D25" s="126"/>
      <c r="E25" s="816" t="s">
        <v>734</v>
      </c>
      <c r="F25" s="380" t="s">
        <v>783</v>
      </c>
      <c r="G25" s="72" t="s">
        <v>546</v>
      </c>
      <c r="H25" s="728"/>
      <c r="I25" s="728"/>
      <c r="J25" s="486"/>
      <c r="K25" s="710"/>
      <c r="AF25" s="50">
        <v>23</v>
      </c>
    </row>
    <row r="26" ht="76.5" customHeight="1">
      <c r="D26" s="126"/>
      <c r="E26" s="816" t="s">
        <v>736</v>
      </c>
      <c r="F26" s="380" t="s">
        <v>784</v>
      </c>
      <c r="G26" s="72" t="s">
        <v>546</v>
      </c>
      <c r="H26" s="728"/>
      <c r="I26" s="728"/>
      <c r="J26" s="486"/>
      <c r="K26" s="710"/>
      <c r="AF26" s="50">
        <v>73</v>
      </c>
    </row>
    <row r="27" s="53" customFormat="1" ht="35.649999999999999" customHeight="1">
      <c r="A27" s="706"/>
      <c r="C27" s="57"/>
      <c r="D27" s="126"/>
      <c r="E27" s="812" t="s">
        <v>740</v>
      </c>
      <c r="F27" s="187" t="s">
        <v>785</v>
      </c>
      <c r="G27" s="308" t="s">
        <v>546</v>
      </c>
      <c r="H27" s="751">
        <f>SUM(H28:H29)</f>
        <v>0</v>
      </c>
      <c r="I27" s="751">
        <f>SUM(I28:I29)</f>
        <v>0</v>
      </c>
      <c r="J27" s="486" t="s">
        <v>738</v>
      </c>
      <c r="K27" s="710"/>
      <c r="L27" s="57"/>
      <c r="M27" s="57"/>
      <c r="R27" s="57"/>
      <c r="U27" s="707"/>
      <c r="AA27" s="56"/>
      <c r="AB27" s="56"/>
      <c r="AC27" s="56"/>
      <c r="AD27" s="56"/>
      <c r="AE27" s="56"/>
      <c r="AF27" s="53">
        <v>34</v>
      </c>
    </row>
    <row r="28" s="57" customFormat="1" ht="1.05" customHeight="1">
      <c r="A28" s="532"/>
      <c r="D28" s="532"/>
      <c r="E28" s="159" t="str">
        <f>E27&amp;".0"</f>
        <v>2.9.0</v>
      </c>
      <c r="F28" s="752"/>
      <c r="G28" s="159"/>
      <c r="H28" s="753"/>
      <c r="I28" s="753"/>
      <c r="J28" s="754"/>
      <c r="AF28" s="57">
        <v>1</v>
      </c>
    </row>
    <row r="29" s="53" customFormat="1" ht="19.949999999999999" customHeight="1">
      <c r="A29" s="706"/>
      <c r="C29" s="57"/>
      <c r="D29" s="129"/>
      <c r="E29" s="741"/>
      <c r="F29" s="840" t="s">
        <v>571</v>
      </c>
      <c r="G29" s="742"/>
      <c r="H29" s="743"/>
      <c r="I29" s="743"/>
      <c r="J29" s="550" t="s">
        <v>739</v>
      </c>
      <c r="K29" s="710"/>
      <c r="L29" s="57"/>
      <c r="M29" s="57"/>
      <c r="R29" s="57"/>
      <c r="U29" s="707"/>
      <c r="AA29" s="56"/>
      <c r="AB29" s="56"/>
      <c r="AC29" s="56"/>
      <c r="AD29" s="56"/>
      <c r="AE29" s="56"/>
      <c r="AF29" s="53">
        <v>19</v>
      </c>
    </row>
    <row r="30" s="53" customFormat="1" ht="24" customHeight="1">
      <c r="A30" s="706"/>
      <c r="C30" s="57"/>
      <c r="D30" s="126"/>
      <c r="E30" s="816" t="s">
        <v>89</v>
      </c>
      <c r="F30" s="842" t="s">
        <v>786</v>
      </c>
      <c r="G30" s="72" t="s">
        <v>546</v>
      </c>
      <c r="H30" s="728"/>
      <c r="I30" s="728"/>
      <c r="J30" s="486"/>
      <c r="K30" s="710"/>
      <c r="L30" s="57"/>
      <c r="M30" s="57"/>
      <c r="R30" s="57"/>
      <c r="U30" s="707"/>
      <c r="AA30" s="56"/>
      <c r="AB30" s="56"/>
      <c r="AC30" s="56"/>
      <c r="AD30" s="56"/>
      <c r="AE30" s="56"/>
      <c r="AF30" s="53">
        <v>23</v>
      </c>
    </row>
    <row r="31" s="53" customFormat="1" ht="35.649999999999999" customHeight="1">
      <c r="A31" s="706"/>
      <c r="C31" s="57"/>
      <c r="D31" s="747"/>
      <c r="E31" s="816" t="s">
        <v>90</v>
      </c>
      <c r="F31" s="842" t="s">
        <v>787</v>
      </c>
      <c r="G31" s="72" t="s">
        <v>546</v>
      </c>
      <c r="H31" s="728"/>
      <c r="I31" s="728"/>
      <c r="J31" s="486" t="s">
        <v>788</v>
      </c>
      <c r="K31" s="710"/>
      <c r="L31" s="57"/>
      <c r="M31" s="57"/>
      <c r="R31" s="57"/>
      <c r="U31" s="707"/>
      <c r="AA31" s="56"/>
      <c r="AB31" s="56"/>
      <c r="AC31" s="56"/>
      <c r="AD31" s="56"/>
      <c r="AE31" s="56"/>
      <c r="AF31" s="53">
        <v>34</v>
      </c>
    </row>
    <row r="32" s="53" customFormat="1" ht="24" customHeight="1">
      <c r="A32" s="706"/>
      <c r="C32" s="57"/>
      <c r="D32" s="126"/>
      <c r="E32" s="816" t="s">
        <v>748</v>
      </c>
      <c r="F32" s="380" t="s">
        <v>752</v>
      </c>
      <c r="G32" s="72" t="s">
        <v>546</v>
      </c>
      <c r="H32" s="728"/>
      <c r="I32" s="728"/>
      <c r="J32" s="486" t="s">
        <v>789</v>
      </c>
      <c r="K32" s="710"/>
      <c r="L32" s="57"/>
      <c r="M32" s="57"/>
      <c r="R32" s="57"/>
      <c r="U32" s="707"/>
      <c r="AA32" s="56"/>
      <c r="AB32" s="56"/>
      <c r="AC32" s="56"/>
      <c r="AD32" s="56"/>
      <c r="AE32" s="56"/>
      <c r="AF32" s="53">
        <v>23</v>
      </c>
    </row>
    <row r="33" s="53" customFormat="1" ht="24" customHeight="1">
      <c r="A33" s="706"/>
      <c r="C33" s="57"/>
      <c r="D33" s="126"/>
      <c r="E33" s="816" t="s">
        <v>790</v>
      </c>
      <c r="F33" s="380" t="s">
        <v>791</v>
      </c>
      <c r="G33" s="72" t="s">
        <v>546</v>
      </c>
      <c r="H33" s="728"/>
      <c r="I33" s="728"/>
      <c r="J33" s="486" t="s">
        <v>792</v>
      </c>
      <c r="K33" s="710"/>
      <c r="L33" s="57"/>
      <c r="M33" s="57"/>
      <c r="R33" s="57"/>
      <c r="U33" s="707"/>
      <c r="AA33" s="56"/>
      <c r="AB33" s="56"/>
      <c r="AC33" s="56"/>
      <c r="AD33" s="56"/>
      <c r="AE33" s="56"/>
      <c r="AF33" s="53">
        <v>23</v>
      </c>
    </row>
    <row r="34" s="53" customFormat="1" ht="24" customHeight="1">
      <c r="A34" s="706"/>
      <c r="C34" s="57"/>
      <c r="D34" s="126"/>
      <c r="E34" s="816" t="s">
        <v>793</v>
      </c>
      <c r="F34" s="380" t="s">
        <v>758</v>
      </c>
      <c r="G34" s="72" t="s">
        <v>546</v>
      </c>
      <c r="H34" s="728"/>
      <c r="I34" s="728"/>
      <c r="J34" s="486" t="s">
        <v>794</v>
      </c>
      <c r="K34" s="710"/>
      <c r="L34" s="57"/>
      <c r="M34" s="57"/>
      <c r="R34" s="57"/>
      <c r="U34" s="707"/>
      <c r="AA34" s="56"/>
      <c r="AB34" s="56"/>
      <c r="AC34" s="56"/>
      <c r="AD34" s="56"/>
      <c r="AE34" s="56"/>
      <c r="AF34" s="53">
        <v>23</v>
      </c>
    </row>
    <row r="35" s="53" customFormat="1" ht="35.649999999999999" customHeight="1">
      <c r="A35" s="706"/>
      <c r="C35" s="57" t="s">
        <v>582</v>
      </c>
      <c r="D35" s="126"/>
      <c r="E35" s="816" t="s">
        <v>107</v>
      </c>
      <c r="F35" s="842" t="s">
        <v>623</v>
      </c>
      <c r="G35" s="158" t="s">
        <v>300</v>
      </c>
      <c r="H35" s="759"/>
      <c r="I35" s="759"/>
      <c r="J35" s="486" t="s">
        <v>795</v>
      </c>
      <c r="K35" s="710"/>
      <c r="L35" s="57"/>
      <c r="M35" s="57"/>
      <c r="R35" s="57"/>
      <c r="U35" s="707"/>
      <c r="AA35" s="56"/>
      <c r="AB35" s="56"/>
      <c r="AC35" s="56"/>
      <c r="AD35" s="56"/>
      <c r="AE35" s="56"/>
      <c r="AF35" s="53">
        <v>34</v>
      </c>
    </row>
    <row r="36" s="53" customFormat="1" ht="35.649999999999999" customHeight="1">
      <c r="A36" s="706"/>
      <c r="C36" s="57"/>
      <c r="D36" s="126"/>
      <c r="E36" s="816" t="s">
        <v>91</v>
      </c>
      <c r="F36" s="842" t="s">
        <v>796</v>
      </c>
      <c r="G36" s="72" t="s">
        <v>763</v>
      </c>
      <c r="H36" s="718"/>
      <c r="I36" s="718"/>
      <c r="J36" s="486" t="s">
        <v>764</v>
      </c>
      <c r="K36" s="710"/>
      <c r="L36" s="57"/>
      <c r="M36" s="57"/>
      <c r="R36" s="57"/>
      <c r="U36" s="707"/>
      <c r="AA36" s="56"/>
      <c r="AB36" s="56"/>
      <c r="AC36" s="56"/>
      <c r="AD36" s="56"/>
      <c r="AE36" s="56"/>
      <c r="AF36" s="53">
        <v>34</v>
      </c>
    </row>
    <row r="37" s="53" customFormat="1" ht="24" customHeight="1">
      <c r="A37" s="706"/>
      <c r="C37" s="57"/>
      <c r="D37" s="126"/>
      <c r="E37" s="816" t="s">
        <v>92</v>
      </c>
      <c r="F37" s="842" t="s">
        <v>797</v>
      </c>
      <c r="G37" s="72" t="s">
        <v>766</v>
      </c>
      <c r="H37" s="718"/>
      <c r="I37" s="718"/>
      <c r="J37" s="486" t="s">
        <v>767</v>
      </c>
      <c r="K37" s="710"/>
      <c r="L37" s="57"/>
      <c r="M37" s="57"/>
      <c r="R37" s="57"/>
      <c r="U37" s="707"/>
      <c r="AA37" s="56"/>
      <c r="AB37" s="56"/>
      <c r="AC37" s="56"/>
      <c r="AD37" s="56"/>
      <c r="AE37" s="56"/>
      <c r="AF37" s="53">
        <v>23</v>
      </c>
    </row>
    <row r="38" ht="11.5" customHeight="1">
      <c r="D38" s="126"/>
      <c r="AF38" s="50">
        <v>11</v>
      </c>
    </row>
    <row r="39" ht="27.300000000000001" customHeight="1">
      <c r="D39" s="126"/>
      <c r="E39" s="477" t="s">
        <v>798</v>
      </c>
      <c r="F39" s="575" t="s">
        <v>799</v>
      </c>
      <c r="G39" s="575"/>
      <c r="H39" s="396"/>
      <c r="I39" s="396"/>
      <c r="J39" s="396"/>
      <c r="AF39" s="50">
        <v>26</v>
      </c>
    </row>
    <row r="40" s="132" customFormat="1" ht="39.75" customHeight="1">
      <c r="A40" s="706"/>
      <c r="B40" s="57"/>
      <c r="C40" s="57"/>
      <c r="D40" s="132"/>
      <c r="F40" s="575" t="s">
        <v>800</v>
      </c>
      <c r="G40" s="575"/>
      <c r="H40" s="396"/>
      <c r="I40" s="396"/>
      <c r="J40" s="396"/>
      <c r="K40" s="53"/>
      <c r="L40" s="57"/>
      <c r="M40" s="57"/>
      <c r="N40" s="53"/>
      <c r="O40" s="53"/>
      <c r="P40" s="53"/>
      <c r="Q40" s="53"/>
      <c r="R40" s="57"/>
      <c r="S40" s="53"/>
      <c r="T40" s="53"/>
      <c r="U40" s="707"/>
      <c r="V40" s="53"/>
      <c r="W40" s="53"/>
      <c r="X40" s="53"/>
      <c r="Y40" s="53"/>
      <c r="Z40" s="53"/>
      <c r="AA40" s="56"/>
      <c r="AB40" s="54"/>
      <c r="AC40" s="54"/>
      <c r="AD40" s="54"/>
      <c r="AE40" s="54"/>
      <c r="AF40" s="132">
        <v>38</v>
      </c>
    </row>
    <row r="41" s="132" customFormat="1" ht="11.5" customHeight="1">
      <c r="A41" s="706"/>
      <c r="B41" s="57"/>
      <c r="C41" s="57"/>
      <c r="D41" s="132"/>
      <c r="K41" s="53"/>
      <c r="L41" s="57"/>
      <c r="M41" s="57"/>
      <c r="N41" s="53"/>
      <c r="O41" s="53"/>
      <c r="P41" s="53"/>
      <c r="Q41" s="53"/>
      <c r="R41" s="57"/>
      <c r="S41" s="53"/>
      <c r="T41" s="53"/>
      <c r="U41" s="707"/>
      <c r="V41" s="53"/>
      <c r="W41" s="53"/>
      <c r="X41" s="53"/>
      <c r="Y41" s="53"/>
      <c r="Z41" s="53"/>
      <c r="AA41" s="56"/>
      <c r="AB41" s="54"/>
      <c r="AC41" s="54"/>
      <c r="AD41" s="54"/>
      <c r="AE41" s="54"/>
      <c r="AF41" s="132">
        <v>11</v>
      </c>
    </row>
    <row r="42" s="132" customFormat="1" ht="11.5" customHeight="1">
      <c r="A42" s="706"/>
      <c r="B42" s="57"/>
      <c r="C42" s="57"/>
      <c r="D42" s="132"/>
      <c r="K42" s="53"/>
      <c r="L42" s="57"/>
      <c r="M42" s="57"/>
      <c r="N42" s="53"/>
      <c r="O42" s="53"/>
      <c r="P42" s="53"/>
      <c r="Q42" s="53"/>
      <c r="R42" s="57"/>
      <c r="S42" s="53"/>
      <c r="T42" s="53"/>
      <c r="U42" s="707"/>
      <c r="V42" s="53"/>
      <c r="W42" s="53"/>
      <c r="X42" s="53"/>
      <c r="Y42" s="53"/>
      <c r="Z42" s="53"/>
      <c r="AA42" s="56"/>
      <c r="AB42" s="54"/>
      <c r="AC42" s="54"/>
      <c r="AD42" s="54"/>
      <c r="AE42" s="54"/>
      <c r="AF42" s="132">
        <v>11</v>
      </c>
    </row>
    <row r="43" s="132" customFormat="1" ht="11.5" customHeight="1">
      <c r="A43" s="706"/>
      <c r="B43" s="57"/>
      <c r="C43" s="57"/>
      <c r="D43" s="132"/>
      <c r="H43" s="54"/>
      <c r="I43" s="54"/>
      <c r="K43" s="53"/>
      <c r="L43" s="57"/>
      <c r="M43" s="57"/>
      <c r="N43" s="53"/>
      <c r="O43" s="53"/>
      <c r="P43" s="53"/>
      <c r="Q43" s="53"/>
      <c r="R43" s="57"/>
      <c r="S43" s="53"/>
      <c r="T43" s="53"/>
      <c r="U43" s="707"/>
      <c r="V43" s="53"/>
      <c r="W43" s="53"/>
      <c r="X43" s="53"/>
      <c r="Y43" s="53"/>
      <c r="Z43" s="53"/>
      <c r="AA43" s="56"/>
      <c r="AB43" s="54"/>
      <c r="AC43" s="54"/>
      <c r="AD43" s="54"/>
      <c r="AE43" s="54"/>
      <c r="AF43" s="132">
        <v>11</v>
      </c>
    </row>
    <row r="44" s="132" customFormat="1" ht="11.5" customHeight="1">
      <c r="A44" s="706"/>
      <c r="B44" s="57"/>
      <c r="C44" s="57"/>
      <c r="D44" s="132"/>
      <c r="K44" s="53"/>
      <c r="L44" s="57"/>
      <c r="M44" s="57"/>
      <c r="N44" s="53"/>
      <c r="O44" s="53"/>
      <c r="P44" s="53"/>
      <c r="Q44" s="53"/>
      <c r="R44" s="57"/>
      <c r="S44" s="53"/>
      <c r="T44" s="53"/>
      <c r="U44" s="707"/>
      <c r="V44" s="53"/>
      <c r="W44" s="53"/>
      <c r="X44" s="53"/>
      <c r="Y44" s="53"/>
      <c r="Z44" s="53"/>
      <c r="AA44" s="56"/>
      <c r="AB44" s="54"/>
      <c r="AC44" s="54"/>
      <c r="AD44" s="54"/>
      <c r="AE44" s="54"/>
      <c r="AF44" s="132">
        <v>11</v>
      </c>
    </row>
    <row r="45" s="132" customFormat="1" ht="11.5" customHeight="1">
      <c r="A45" s="706"/>
      <c r="B45" s="57"/>
      <c r="C45" s="57"/>
      <c r="D45" s="132"/>
      <c r="K45" s="53"/>
      <c r="L45" s="57"/>
      <c r="M45" s="57"/>
      <c r="N45" s="53"/>
      <c r="O45" s="53"/>
      <c r="P45" s="53"/>
      <c r="Q45" s="53"/>
      <c r="R45" s="57"/>
      <c r="S45" s="53"/>
      <c r="T45" s="53"/>
      <c r="U45" s="707"/>
      <c r="V45" s="53"/>
      <c r="W45" s="53"/>
      <c r="X45" s="53"/>
      <c r="Y45" s="53"/>
      <c r="Z45" s="53"/>
      <c r="AA45" s="56"/>
      <c r="AB45" s="54"/>
      <c r="AC45" s="54"/>
      <c r="AD45" s="54"/>
      <c r="AE45" s="54"/>
      <c r="AF45" s="132">
        <v>11</v>
      </c>
    </row>
    <row r="46" s="132" customFormat="1" ht="11.5" customHeight="1">
      <c r="A46" s="706"/>
      <c r="B46" s="57"/>
      <c r="C46" s="57"/>
      <c r="D46" s="132"/>
      <c r="K46" s="53"/>
      <c r="L46" s="57"/>
      <c r="M46" s="57"/>
      <c r="N46" s="53"/>
      <c r="O46" s="53"/>
      <c r="P46" s="53"/>
      <c r="Q46" s="53"/>
      <c r="R46" s="57"/>
      <c r="S46" s="53"/>
      <c r="T46" s="53"/>
      <c r="U46" s="707"/>
      <c r="V46" s="53"/>
      <c r="W46" s="53"/>
      <c r="X46" s="53"/>
      <c r="Y46" s="53"/>
      <c r="Z46" s="53"/>
      <c r="AA46" s="56"/>
      <c r="AB46" s="54"/>
      <c r="AC46" s="54"/>
      <c r="AD46" s="54"/>
      <c r="AE46" s="54"/>
      <c r="AF46" s="132">
        <v>11</v>
      </c>
    </row>
    <row r="47" s="132" customFormat="1" ht="11.5" customHeight="1">
      <c r="A47" s="706"/>
      <c r="B47" s="57"/>
      <c r="C47" s="57"/>
      <c r="D47" s="132"/>
      <c r="K47" s="53"/>
      <c r="L47" s="57"/>
      <c r="M47" s="57"/>
      <c r="N47" s="53"/>
      <c r="O47" s="53"/>
      <c r="P47" s="53"/>
      <c r="Q47" s="53"/>
      <c r="R47" s="57"/>
      <c r="S47" s="53"/>
      <c r="T47" s="53"/>
      <c r="U47" s="707"/>
      <c r="V47" s="53"/>
      <c r="W47" s="53"/>
      <c r="X47" s="53"/>
      <c r="Y47" s="53"/>
      <c r="Z47" s="53"/>
      <c r="AA47" s="56"/>
      <c r="AB47" s="54"/>
      <c r="AC47" s="54"/>
      <c r="AD47" s="54"/>
      <c r="AE47" s="54"/>
      <c r="AF47" s="132">
        <v>11</v>
      </c>
    </row>
    <row r="48" s="132" customFormat="1" ht="11.5" customHeight="1">
      <c r="A48" s="706"/>
      <c r="B48" s="57"/>
      <c r="C48" s="57"/>
      <c r="D48" s="132"/>
      <c r="K48" s="53"/>
      <c r="L48" s="57"/>
      <c r="M48" s="57"/>
      <c r="N48" s="53"/>
      <c r="O48" s="53"/>
      <c r="P48" s="53"/>
      <c r="Q48" s="53"/>
      <c r="R48" s="57"/>
      <c r="S48" s="53"/>
      <c r="T48" s="53"/>
      <c r="U48" s="707"/>
      <c r="V48" s="53"/>
      <c r="W48" s="53"/>
      <c r="X48" s="53"/>
      <c r="Y48" s="53"/>
      <c r="Z48" s="53"/>
      <c r="AA48" s="56"/>
      <c r="AB48" s="54"/>
      <c r="AC48" s="54"/>
      <c r="AD48" s="54"/>
      <c r="AE48" s="54"/>
      <c r="AF48" s="132">
        <v>11</v>
      </c>
    </row>
    <row r="49" s="132" customFormat="1" ht="11.5" customHeight="1">
      <c r="A49" s="706"/>
      <c r="B49" s="57"/>
      <c r="C49" s="57"/>
      <c r="D49" s="132"/>
      <c r="K49" s="53"/>
      <c r="L49" s="57"/>
      <c r="M49" s="57"/>
      <c r="N49" s="53"/>
      <c r="O49" s="53"/>
      <c r="P49" s="53"/>
      <c r="Q49" s="53"/>
      <c r="R49" s="57"/>
      <c r="S49" s="53"/>
      <c r="T49" s="53"/>
      <c r="U49" s="707"/>
      <c r="V49" s="53"/>
      <c r="W49" s="53"/>
      <c r="X49" s="53"/>
      <c r="Y49" s="53"/>
      <c r="Z49" s="53"/>
      <c r="AA49" s="56"/>
      <c r="AB49" s="54"/>
      <c r="AC49" s="54"/>
      <c r="AD49" s="54"/>
      <c r="AE49" s="54"/>
      <c r="AF49" s="132">
        <v>11</v>
      </c>
    </row>
    <row r="50" s="132" customFormat="1" ht="11.5" customHeight="1">
      <c r="A50" s="706"/>
      <c r="B50" s="57"/>
      <c r="C50" s="57"/>
      <c r="D50" s="132"/>
      <c r="K50" s="53"/>
      <c r="L50" s="57"/>
      <c r="M50" s="57"/>
      <c r="N50" s="53"/>
      <c r="O50" s="53"/>
      <c r="P50" s="53"/>
      <c r="Q50" s="53"/>
      <c r="R50" s="57"/>
      <c r="S50" s="53"/>
      <c r="T50" s="53"/>
      <c r="U50" s="707"/>
      <c r="V50" s="53"/>
      <c r="W50" s="53"/>
      <c r="X50" s="53"/>
      <c r="Y50" s="53"/>
      <c r="Z50" s="53"/>
      <c r="AA50" s="56"/>
      <c r="AB50" s="54"/>
      <c r="AC50" s="54"/>
      <c r="AD50" s="54"/>
      <c r="AE50" s="54"/>
      <c r="AF50" s="132">
        <v>11</v>
      </c>
    </row>
    <row r="51" s="132" customFormat="1" ht="11.5" customHeight="1">
      <c r="A51" s="706"/>
      <c r="B51" s="57"/>
      <c r="C51" s="57"/>
      <c r="D51" s="132"/>
      <c r="K51" s="53"/>
      <c r="L51" s="57"/>
      <c r="M51" s="57"/>
      <c r="N51" s="53"/>
      <c r="O51" s="53"/>
      <c r="P51" s="53"/>
      <c r="Q51" s="53"/>
      <c r="R51" s="57"/>
      <c r="S51" s="53"/>
      <c r="T51" s="53"/>
      <c r="U51" s="707"/>
      <c r="V51" s="53"/>
      <c r="W51" s="53"/>
      <c r="X51" s="53"/>
      <c r="Y51" s="53"/>
      <c r="Z51" s="53"/>
      <c r="AA51" s="56"/>
      <c r="AB51" s="54"/>
      <c r="AC51" s="54"/>
      <c r="AD51" s="54"/>
      <c r="AE51" s="54"/>
      <c r="AF51" s="132">
        <v>11</v>
      </c>
    </row>
    <row r="52" s="132" customFormat="1" ht="11.5" customHeight="1">
      <c r="A52" s="706"/>
      <c r="B52" s="57"/>
      <c r="C52" s="57"/>
      <c r="D52" s="132"/>
      <c r="K52" s="53"/>
      <c r="L52" s="57"/>
      <c r="M52" s="57"/>
      <c r="N52" s="53"/>
      <c r="O52" s="53"/>
      <c r="P52" s="53"/>
      <c r="Q52" s="53"/>
      <c r="R52" s="57"/>
      <c r="S52" s="53"/>
      <c r="T52" s="53"/>
      <c r="U52" s="707"/>
      <c r="V52" s="53"/>
      <c r="W52" s="53"/>
      <c r="X52" s="53"/>
      <c r="Y52" s="53"/>
      <c r="Z52" s="53"/>
      <c r="AA52" s="56"/>
      <c r="AB52" s="54"/>
      <c r="AC52" s="54"/>
      <c r="AD52" s="54"/>
      <c r="AE52" s="54"/>
      <c r="AF52" s="132">
        <v>11</v>
      </c>
    </row>
    <row r="53" s="132" customFormat="1" ht="11.5" customHeight="1">
      <c r="A53" s="706"/>
      <c r="B53" s="57"/>
      <c r="C53" s="57"/>
      <c r="D53" s="132"/>
      <c r="K53" s="53"/>
      <c r="L53" s="57"/>
      <c r="M53" s="57"/>
      <c r="N53" s="53"/>
      <c r="O53" s="53"/>
      <c r="P53" s="53"/>
      <c r="Q53" s="53"/>
      <c r="R53" s="57"/>
      <c r="S53" s="53"/>
      <c r="T53" s="53"/>
      <c r="U53" s="707"/>
      <c r="V53" s="53"/>
      <c r="W53" s="53"/>
      <c r="X53" s="53"/>
      <c r="Y53" s="53"/>
      <c r="Z53" s="53"/>
      <c r="AA53" s="56"/>
      <c r="AB53" s="54"/>
      <c r="AC53" s="54"/>
      <c r="AD53" s="54"/>
      <c r="AE53" s="54"/>
      <c r="AF53" s="132">
        <v>11</v>
      </c>
    </row>
    <row r="54" s="132" customFormat="1" ht="11.5" customHeight="1">
      <c r="A54" s="706"/>
      <c r="B54" s="57"/>
      <c r="C54" s="57"/>
      <c r="D54" s="132"/>
      <c r="K54" s="53"/>
      <c r="L54" s="57"/>
      <c r="M54" s="57"/>
      <c r="N54" s="53"/>
      <c r="O54" s="53"/>
      <c r="P54" s="53"/>
      <c r="Q54" s="53"/>
      <c r="R54" s="57"/>
      <c r="S54" s="53"/>
      <c r="T54" s="53"/>
      <c r="U54" s="707"/>
      <c r="V54" s="53"/>
      <c r="W54" s="53"/>
      <c r="X54" s="53"/>
      <c r="Y54" s="53"/>
      <c r="Z54" s="53"/>
      <c r="AA54" s="56"/>
      <c r="AB54" s="54"/>
      <c r="AC54" s="54"/>
      <c r="AD54" s="54"/>
      <c r="AE54" s="54"/>
      <c r="AF54" s="132">
        <v>11</v>
      </c>
    </row>
    <row r="55" s="132" customFormat="1" ht="11.5" customHeight="1">
      <c r="A55" s="706"/>
      <c r="B55" s="57"/>
      <c r="C55" s="57"/>
      <c r="D55" s="132"/>
      <c r="K55" s="53"/>
      <c r="L55" s="57"/>
      <c r="M55" s="57"/>
      <c r="N55" s="53"/>
      <c r="O55" s="53"/>
      <c r="P55" s="53"/>
      <c r="Q55" s="53"/>
      <c r="R55" s="57"/>
      <c r="S55" s="53"/>
      <c r="T55" s="53"/>
      <c r="U55" s="707"/>
      <c r="V55" s="53"/>
      <c r="W55" s="53"/>
      <c r="X55" s="53"/>
      <c r="Y55" s="53"/>
      <c r="Z55" s="53"/>
      <c r="AA55" s="56"/>
      <c r="AB55" s="54"/>
      <c r="AC55" s="54"/>
      <c r="AD55" s="54"/>
      <c r="AE55" s="54"/>
      <c r="AF55" s="132">
        <v>11</v>
      </c>
    </row>
    <row r="56" s="132" customFormat="1" ht="11.5" customHeight="1">
      <c r="A56" s="706"/>
      <c r="B56" s="57"/>
      <c r="C56" s="57"/>
      <c r="D56" s="132"/>
      <c r="K56" s="53"/>
      <c r="L56" s="57"/>
      <c r="M56" s="57"/>
      <c r="N56" s="53"/>
      <c r="O56" s="53"/>
      <c r="P56" s="53"/>
      <c r="Q56" s="53"/>
      <c r="R56" s="57"/>
      <c r="S56" s="53"/>
      <c r="T56" s="53"/>
      <c r="U56" s="707"/>
      <c r="V56" s="53"/>
      <c r="W56" s="53"/>
      <c r="X56" s="53"/>
      <c r="Y56" s="53"/>
      <c r="Z56" s="53"/>
      <c r="AA56" s="56"/>
      <c r="AB56" s="54"/>
      <c r="AC56" s="54"/>
      <c r="AD56" s="54"/>
      <c r="AE56" s="54"/>
      <c r="AF56" s="132">
        <v>11</v>
      </c>
    </row>
    <row r="57" s="132" customFormat="1" ht="11.5" customHeight="1">
      <c r="A57" s="706"/>
      <c r="B57" s="57"/>
      <c r="C57" s="57"/>
      <c r="D57" s="132"/>
      <c r="K57" s="53"/>
      <c r="L57" s="57"/>
      <c r="M57" s="57"/>
      <c r="N57" s="53"/>
      <c r="O57" s="53"/>
      <c r="P57" s="53"/>
      <c r="Q57" s="53"/>
      <c r="R57" s="57"/>
      <c r="S57" s="53"/>
      <c r="T57" s="53"/>
      <c r="U57" s="707"/>
      <c r="V57" s="53"/>
      <c r="W57" s="53"/>
      <c r="X57" s="53"/>
      <c r="Y57" s="53"/>
      <c r="Z57" s="53"/>
      <c r="AA57" s="56"/>
      <c r="AB57" s="54"/>
      <c r="AC57" s="54"/>
      <c r="AD57" s="54"/>
      <c r="AE57" s="54"/>
      <c r="AF57" s="132">
        <v>11</v>
      </c>
    </row>
    <row r="58" s="132" customFormat="1" ht="11.5" customHeight="1">
      <c r="A58" s="706"/>
      <c r="B58" s="57"/>
      <c r="C58" s="57"/>
      <c r="D58" s="132"/>
      <c r="K58" s="53"/>
      <c r="L58" s="57"/>
      <c r="M58" s="57"/>
      <c r="N58" s="53"/>
      <c r="O58" s="53"/>
      <c r="P58" s="53"/>
      <c r="Q58" s="53"/>
      <c r="R58" s="57"/>
      <c r="S58" s="53"/>
      <c r="T58" s="53"/>
      <c r="U58" s="707"/>
      <c r="V58" s="53"/>
      <c r="W58" s="53"/>
      <c r="X58" s="53"/>
      <c r="Y58" s="53"/>
      <c r="Z58" s="53"/>
      <c r="AA58" s="56"/>
      <c r="AB58" s="54"/>
      <c r="AC58" s="54"/>
      <c r="AD58" s="54"/>
      <c r="AE58" s="54"/>
      <c r="AF58" s="132">
        <v>11</v>
      </c>
    </row>
    <row r="59" s="132" customFormat="1" ht="11.5" customHeight="1">
      <c r="A59" s="706"/>
      <c r="B59" s="57"/>
      <c r="C59" s="57"/>
      <c r="D59" s="132"/>
      <c r="K59" s="53"/>
      <c r="L59" s="57"/>
      <c r="M59" s="57"/>
      <c r="N59" s="53"/>
      <c r="O59" s="53"/>
      <c r="P59" s="53"/>
      <c r="Q59" s="53"/>
      <c r="R59" s="57"/>
      <c r="S59" s="53"/>
      <c r="T59" s="53"/>
      <c r="U59" s="707"/>
      <c r="V59" s="53"/>
      <c r="W59" s="53"/>
      <c r="X59" s="53"/>
      <c r="Y59" s="53"/>
      <c r="Z59" s="53"/>
      <c r="AA59" s="56"/>
      <c r="AB59" s="54"/>
      <c r="AC59" s="54"/>
      <c r="AD59" s="54"/>
      <c r="AE59" s="54"/>
      <c r="AF59" s="132">
        <v>11</v>
      </c>
    </row>
    <row r="60" s="132" customFormat="1" ht="11.5" customHeight="1">
      <c r="A60" s="706"/>
      <c r="B60" s="57"/>
      <c r="C60" s="57"/>
      <c r="D60" s="132"/>
      <c r="K60" s="53"/>
      <c r="L60" s="57"/>
      <c r="M60" s="57"/>
      <c r="N60" s="53"/>
      <c r="O60" s="53"/>
      <c r="P60" s="53"/>
      <c r="Q60" s="53"/>
      <c r="R60" s="57"/>
      <c r="S60" s="53"/>
      <c r="T60" s="53"/>
      <c r="U60" s="707"/>
      <c r="V60" s="53"/>
      <c r="W60" s="53"/>
      <c r="X60" s="53"/>
      <c r="Y60" s="53"/>
      <c r="Z60" s="53"/>
      <c r="AA60" s="56"/>
      <c r="AB60" s="54"/>
      <c r="AC60" s="54"/>
      <c r="AD60" s="54"/>
      <c r="AE60" s="54"/>
      <c r="AF60" s="132">
        <v>11</v>
      </c>
    </row>
    <row r="61" s="132" customFormat="1" ht="11.5" customHeight="1">
      <c r="A61" s="706"/>
      <c r="B61" s="57"/>
      <c r="C61" s="57"/>
      <c r="D61" s="132"/>
      <c r="K61" s="53"/>
      <c r="L61" s="57"/>
      <c r="M61" s="57"/>
      <c r="N61" s="53"/>
      <c r="O61" s="53"/>
      <c r="P61" s="53"/>
      <c r="Q61" s="53"/>
      <c r="R61" s="57"/>
      <c r="S61" s="53"/>
      <c r="T61" s="53"/>
      <c r="U61" s="707"/>
      <c r="V61" s="53"/>
      <c r="W61" s="53"/>
      <c r="X61" s="53"/>
      <c r="Y61" s="53"/>
      <c r="Z61" s="53"/>
      <c r="AA61" s="56"/>
      <c r="AB61" s="54"/>
      <c r="AC61" s="54"/>
      <c r="AD61" s="54"/>
      <c r="AE61" s="54"/>
      <c r="AF61" s="132">
        <v>11</v>
      </c>
    </row>
    <row r="62" s="132" customFormat="1" ht="11.5" customHeight="1">
      <c r="A62" s="706"/>
      <c r="B62" s="57"/>
      <c r="C62" s="57"/>
      <c r="D62" s="132"/>
      <c r="K62" s="53"/>
      <c r="L62" s="57"/>
      <c r="M62" s="57"/>
      <c r="N62" s="53"/>
      <c r="O62" s="53"/>
      <c r="P62" s="53"/>
      <c r="Q62" s="53"/>
      <c r="R62" s="57"/>
      <c r="S62" s="53"/>
      <c r="T62" s="53"/>
      <c r="U62" s="707"/>
      <c r="V62" s="53"/>
      <c r="W62" s="53"/>
      <c r="X62" s="53"/>
      <c r="Y62" s="53"/>
      <c r="Z62" s="53"/>
      <c r="AA62" s="56"/>
      <c r="AB62" s="54"/>
      <c r="AC62" s="54"/>
      <c r="AD62" s="54"/>
      <c r="AE62" s="54"/>
      <c r="AF62" s="132">
        <v>11</v>
      </c>
    </row>
    <row r="63" s="132" customFormat="1" ht="11.5" customHeight="1">
      <c r="A63" s="706"/>
      <c r="B63" s="57"/>
      <c r="C63" s="57"/>
      <c r="D63" s="132"/>
      <c r="K63" s="53"/>
      <c r="L63" s="57"/>
      <c r="M63" s="57"/>
      <c r="N63" s="53"/>
      <c r="O63" s="53"/>
      <c r="P63" s="53"/>
      <c r="Q63" s="53"/>
      <c r="R63" s="57"/>
      <c r="S63" s="53"/>
      <c r="T63" s="53"/>
      <c r="U63" s="707"/>
      <c r="V63" s="53"/>
      <c r="W63" s="53"/>
      <c r="X63" s="53"/>
      <c r="Y63" s="53"/>
      <c r="Z63" s="53"/>
      <c r="AA63" s="56"/>
      <c r="AB63" s="54"/>
      <c r="AC63" s="54"/>
      <c r="AD63" s="54"/>
      <c r="AE63" s="54"/>
      <c r="AF63" s="132">
        <v>11</v>
      </c>
    </row>
    <row r="64" s="132" customFormat="1" ht="11.5" customHeight="1">
      <c r="A64" s="706"/>
      <c r="B64" s="57"/>
      <c r="C64" s="57"/>
      <c r="D64" s="132"/>
      <c r="K64" s="53"/>
      <c r="L64" s="57"/>
      <c r="M64" s="57"/>
      <c r="N64" s="53"/>
      <c r="O64" s="53"/>
      <c r="P64" s="53"/>
      <c r="Q64" s="53"/>
      <c r="R64" s="57"/>
      <c r="S64" s="53"/>
      <c r="T64" s="53"/>
      <c r="U64" s="707"/>
      <c r="V64" s="53"/>
      <c r="W64" s="53"/>
      <c r="X64" s="53"/>
      <c r="Y64" s="53"/>
      <c r="Z64" s="53"/>
      <c r="AA64" s="56"/>
      <c r="AB64" s="54"/>
      <c r="AC64" s="54"/>
      <c r="AD64" s="54"/>
      <c r="AE64" s="54"/>
      <c r="AF64" s="132">
        <v>11</v>
      </c>
    </row>
    <row r="65" s="132" customFormat="1" ht="11.5" customHeight="1">
      <c r="A65" s="706"/>
      <c r="B65" s="57"/>
      <c r="C65" s="57"/>
      <c r="D65" s="132"/>
      <c r="K65" s="53"/>
      <c r="L65" s="57"/>
      <c r="M65" s="57"/>
      <c r="N65" s="53"/>
      <c r="O65" s="53"/>
      <c r="P65" s="53"/>
      <c r="Q65" s="53"/>
      <c r="R65" s="57"/>
      <c r="S65" s="53"/>
      <c r="T65" s="53"/>
      <c r="U65" s="707"/>
      <c r="V65" s="53"/>
      <c r="W65" s="53"/>
      <c r="X65" s="53"/>
      <c r="Y65" s="53"/>
      <c r="Z65" s="53"/>
      <c r="AA65" s="56"/>
      <c r="AB65" s="54"/>
      <c r="AC65" s="54"/>
      <c r="AD65" s="54"/>
      <c r="AE65" s="54"/>
      <c r="AF65" s="132">
        <v>11</v>
      </c>
    </row>
    <row r="66" s="132" customFormat="1" ht="11.5" customHeight="1">
      <c r="A66" s="706"/>
      <c r="B66" s="57"/>
      <c r="C66" s="57"/>
      <c r="D66" s="132"/>
      <c r="K66" s="53"/>
      <c r="L66" s="57"/>
      <c r="M66" s="57"/>
      <c r="N66" s="53"/>
      <c r="O66" s="53"/>
      <c r="P66" s="53"/>
      <c r="Q66" s="53"/>
      <c r="R66" s="57"/>
      <c r="S66" s="53"/>
      <c r="T66" s="53"/>
      <c r="U66" s="707"/>
      <c r="V66" s="53"/>
      <c r="W66" s="53"/>
      <c r="X66" s="53"/>
      <c r="Y66" s="53"/>
      <c r="Z66" s="53"/>
      <c r="AA66" s="56"/>
      <c r="AB66" s="54"/>
      <c r="AC66" s="54"/>
      <c r="AD66" s="54"/>
      <c r="AE66" s="54"/>
      <c r="AF66" s="132">
        <v>11</v>
      </c>
    </row>
    <row r="67" s="132" customFormat="1" ht="11.5" customHeight="1">
      <c r="A67" s="706"/>
      <c r="B67" s="57"/>
      <c r="C67" s="57"/>
      <c r="D67" s="132"/>
      <c r="K67" s="53"/>
      <c r="L67" s="57"/>
      <c r="M67" s="57"/>
      <c r="N67" s="53"/>
      <c r="O67" s="53"/>
      <c r="P67" s="53"/>
      <c r="Q67" s="53"/>
      <c r="R67" s="57"/>
      <c r="S67" s="53"/>
      <c r="T67" s="53"/>
      <c r="U67" s="707"/>
      <c r="V67" s="53"/>
      <c r="W67" s="53"/>
      <c r="X67" s="53"/>
      <c r="Y67" s="53"/>
      <c r="Z67" s="53"/>
      <c r="AA67" s="56"/>
      <c r="AB67" s="54"/>
      <c r="AC67" s="54"/>
      <c r="AD67" s="54"/>
      <c r="AE67" s="54"/>
      <c r="AF67" s="132">
        <v>11</v>
      </c>
    </row>
    <row r="68" s="132" customFormat="1" ht="11.5" customHeight="1">
      <c r="A68" s="706"/>
      <c r="B68" s="57"/>
      <c r="C68" s="57"/>
      <c r="D68" s="132"/>
      <c r="K68" s="53"/>
      <c r="L68" s="57"/>
      <c r="M68" s="57"/>
      <c r="N68" s="53"/>
      <c r="O68" s="53"/>
      <c r="P68" s="53"/>
      <c r="Q68" s="53"/>
      <c r="R68" s="57"/>
      <c r="S68" s="53"/>
      <c r="T68" s="53"/>
      <c r="U68" s="707"/>
      <c r="V68" s="53"/>
      <c r="W68" s="53"/>
      <c r="X68" s="53"/>
      <c r="Y68" s="53"/>
      <c r="Z68" s="53"/>
      <c r="AA68" s="56"/>
      <c r="AB68" s="54"/>
      <c r="AC68" s="54"/>
      <c r="AD68" s="54"/>
      <c r="AE68" s="54"/>
      <c r="AF68" s="132">
        <v>11</v>
      </c>
    </row>
    <row r="69" s="132" customFormat="1" ht="11.5" customHeight="1">
      <c r="A69" s="706"/>
      <c r="B69" s="57"/>
      <c r="C69" s="57"/>
      <c r="D69" s="132"/>
      <c r="K69" s="53"/>
      <c r="L69" s="57"/>
      <c r="M69" s="57"/>
      <c r="N69" s="53"/>
      <c r="O69" s="53"/>
      <c r="P69" s="53"/>
      <c r="Q69" s="53"/>
      <c r="R69" s="57"/>
      <c r="S69" s="53"/>
      <c r="T69" s="53"/>
      <c r="U69" s="707"/>
      <c r="V69" s="53"/>
      <c r="W69" s="53"/>
      <c r="X69" s="53"/>
      <c r="Y69" s="53"/>
      <c r="Z69" s="53"/>
      <c r="AA69" s="56"/>
      <c r="AB69" s="54"/>
      <c r="AC69" s="54"/>
      <c r="AD69" s="54"/>
      <c r="AE69" s="54"/>
      <c r="AF69" s="132">
        <v>11</v>
      </c>
    </row>
    <row r="70" s="132" customFormat="1" ht="11.5" customHeight="1">
      <c r="A70" s="706"/>
      <c r="B70" s="57"/>
      <c r="C70" s="57"/>
      <c r="D70" s="132"/>
      <c r="K70" s="53"/>
      <c r="L70" s="57"/>
      <c r="M70" s="57"/>
      <c r="N70" s="53"/>
      <c r="O70" s="53"/>
      <c r="P70" s="53"/>
      <c r="Q70" s="53"/>
      <c r="R70" s="57"/>
      <c r="S70" s="53"/>
      <c r="T70" s="53"/>
      <c r="U70" s="707"/>
      <c r="V70" s="53"/>
      <c r="W70" s="53"/>
      <c r="X70" s="53"/>
      <c r="Y70" s="53"/>
      <c r="Z70" s="53"/>
      <c r="AA70" s="56"/>
      <c r="AB70" s="54"/>
      <c r="AC70" s="54"/>
      <c r="AD70" s="54"/>
      <c r="AE70" s="54"/>
      <c r="AF70" s="132">
        <v>11</v>
      </c>
    </row>
    <row r="71" s="132" customFormat="1" ht="11.5" customHeight="1">
      <c r="A71" s="706"/>
      <c r="B71" s="57"/>
      <c r="C71" s="57"/>
      <c r="D71" s="132"/>
      <c r="K71" s="53"/>
      <c r="L71" s="57"/>
      <c r="M71" s="57"/>
      <c r="N71" s="53"/>
      <c r="O71" s="53"/>
      <c r="P71" s="53"/>
      <c r="Q71" s="53"/>
      <c r="R71" s="57"/>
      <c r="S71" s="53"/>
      <c r="T71" s="53"/>
      <c r="U71" s="707"/>
      <c r="V71" s="53"/>
      <c r="W71" s="53"/>
      <c r="X71" s="53"/>
      <c r="Y71" s="53"/>
      <c r="Z71" s="53"/>
      <c r="AA71" s="56"/>
      <c r="AB71" s="54"/>
      <c r="AC71" s="54"/>
      <c r="AD71" s="54"/>
      <c r="AE71" s="54"/>
      <c r="AF71" s="132">
        <v>11</v>
      </c>
    </row>
    <row r="72" s="132" customFormat="1" ht="11.5" customHeight="1">
      <c r="A72" s="706"/>
      <c r="B72" s="57"/>
      <c r="C72" s="57"/>
      <c r="D72" s="132"/>
      <c r="K72" s="53"/>
      <c r="L72" s="57"/>
      <c r="M72" s="57"/>
      <c r="N72" s="53"/>
      <c r="O72" s="53"/>
      <c r="P72" s="53"/>
      <c r="Q72" s="53"/>
      <c r="R72" s="57"/>
      <c r="S72" s="53"/>
      <c r="T72" s="53"/>
      <c r="U72" s="707"/>
      <c r="V72" s="53"/>
      <c r="W72" s="53"/>
      <c r="X72" s="53"/>
      <c r="Y72" s="53"/>
      <c r="Z72" s="53"/>
      <c r="AA72" s="56"/>
      <c r="AB72" s="54"/>
      <c r="AC72" s="54"/>
      <c r="AD72" s="54"/>
      <c r="AE72" s="54"/>
      <c r="AF72" s="132">
        <v>11</v>
      </c>
    </row>
    <row r="73" s="132" customFormat="1" ht="11.5" customHeight="1">
      <c r="A73" s="706"/>
      <c r="B73" s="57"/>
      <c r="C73" s="57"/>
      <c r="D73" s="132"/>
      <c r="K73" s="53"/>
      <c r="L73" s="57"/>
      <c r="M73" s="57"/>
      <c r="N73" s="53"/>
      <c r="O73" s="53"/>
      <c r="P73" s="53"/>
      <c r="Q73" s="53"/>
      <c r="R73" s="57"/>
      <c r="S73" s="53"/>
      <c r="T73" s="53"/>
      <c r="U73" s="707"/>
      <c r="V73" s="53"/>
      <c r="W73" s="53"/>
      <c r="X73" s="53"/>
      <c r="Y73" s="53"/>
      <c r="Z73" s="53"/>
      <c r="AA73" s="56"/>
      <c r="AB73" s="54"/>
      <c r="AC73" s="54"/>
      <c r="AD73" s="54"/>
      <c r="AE73" s="54"/>
      <c r="AF73" s="132">
        <v>11</v>
      </c>
    </row>
    <row r="74" s="132" customFormat="1" ht="11.5" customHeight="1">
      <c r="A74" s="706"/>
      <c r="B74" s="57"/>
      <c r="C74" s="57"/>
      <c r="D74" s="132"/>
      <c r="K74" s="53"/>
      <c r="L74" s="57"/>
      <c r="M74" s="57"/>
      <c r="N74" s="53"/>
      <c r="O74" s="53"/>
      <c r="P74" s="53"/>
      <c r="Q74" s="53"/>
      <c r="R74" s="57"/>
      <c r="S74" s="53"/>
      <c r="T74" s="53"/>
      <c r="U74" s="707"/>
      <c r="V74" s="53"/>
      <c r="W74" s="53"/>
      <c r="X74" s="53"/>
      <c r="Y74" s="53"/>
      <c r="Z74" s="53"/>
      <c r="AA74" s="56"/>
      <c r="AB74" s="54"/>
      <c r="AC74" s="54"/>
      <c r="AD74" s="54"/>
      <c r="AE74" s="54"/>
      <c r="AF74" s="132">
        <v>11</v>
      </c>
    </row>
    <row r="75" s="132" customFormat="1" ht="11.5" customHeight="1">
      <c r="A75" s="706"/>
      <c r="B75" s="57"/>
      <c r="C75" s="57"/>
      <c r="D75" s="132"/>
      <c r="K75" s="53"/>
      <c r="L75" s="57"/>
      <c r="M75" s="57"/>
      <c r="N75" s="53"/>
      <c r="O75" s="53"/>
      <c r="P75" s="53"/>
      <c r="Q75" s="53"/>
      <c r="R75" s="57"/>
      <c r="S75" s="53"/>
      <c r="T75" s="53"/>
      <c r="U75" s="707"/>
      <c r="V75" s="53"/>
      <c r="W75" s="53"/>
      <c r="X75" s="53"/>
      <c r="Y75" s="53"/>
      <c r="Z75" s="53"/>
      <c r="AA75" s="56"/>
      <c r="AB75" s="54"/>
      <c r="AC75" s="54"/>
      <c r="AD75" s="54"/>
      <c r="AE75" s="54"/>
      <c r="AF75" s="132">
        <v>11</v>
      </c>
    </row>
    <row r="76" s="132" customFormat="1" ht="11.5" customHeight="1">
      <c r="A76" s="706"/>
      <c r="B76" s="57"/>
      <c r="C76" s="57"/>
      <c r="D76" s="132"/>
      <c r="K76" s="53"/>
      <c r="L76" s="57"/>
      <c r="M76" s="57"/>
      <c r="N76" s="53"/>
      <c r="O76" s="53"/>
      <c r="P76" s="53"/>
      <c r="Q76" s="53"/>
      <c r="R76" s="57"/>
      <c r="S76" s="53"/>
      <c r="T76" s="53"/>
      <c r="U76" s="707"/>
      <c r="V76" s="53"/>
      <c r="W76" s="53"/>
      <c r="X76" s="53"/>
      <c r="Y76" s="53"/>
      <c r="Z76" s="53"/>
      <c r="AA76" s="56"/>
      <c r="AB76" s="54"/>
      <c r="AC76" s="54"/>
      <c r="AD76" s="54"/>
      <c r="AE76" s="54"/>
      <c r="AF76" s="132">
        <v>11</v>
      </c>
    </row>
    <row r="77" s="132" customFormat="1" ht="11.5" customHeight="1">
      <c r="A77" s="706"/>
      <c r="B77" s="57"/>
      <c r="C77" s="57"/>
      <c r="D77" s="132"/>
      <c r="K77" s="53"/>
      <c r="L77" s="57"/>
      <c r="M77" s="57"/>
      <c r="N77" s="53"/>
      <c r="O77" s="53"/>
      <c r="P77" s="53"/>
      <c r="Q77" s="53"/>
      <c r="R77" s="57"/>
      <c r="S77" s="53"/>
      <c r="T77" s="53"/>
      <c r="U77" s="707"/>
      <c r="V77" s="53"/>
      <c r="W77" s="53"/>
      <c r="X77" s="53"/>
      <c r="Y77" s="53"/>
      <c r="Z77" s="53"/>
      <c r="AA77" s="56"/>
      <c r="AB77" s="54"/>
      <c r="AC77" s="54"/>
      <c r="AD77" s="54"/>
      <c r="AE77" s="54"/>
      <c r="AF77" s="132">
        <v>11</v>
      </c>
    </row>
    <row r="78" s="132" customFormat="1" ht="11.5" customHeight="1">
      <c r="A78" s="706"/>
      <c r="B78" s="57"/>
      <c r="C78" s="57"/>
      <c r="D78" s="132"/>
      <c r="K78" s="53"/>
      <c r="L78" s="57"/>
      <c r="M78" s="57"/>
      <c r="N78" s="53"/>
      <c r="O78" s="53"/>
      <c r="P78" s="53"/>
      <c r="Q78" s="53"/>
      <c r="R78" s="57"/>
      <c r="S78" s="53"/>
      <c r="T78" s="53"/>
      <c r="U78" s="707"/>
      <c r="V78" s="53"/>
      <c r="W78" s="53"/>
      <c r="X78" s="53"/>
      <c r="Y78" s="53"/>
      <c r="Z78" s="53"/>
      <c r="AA78" s="56"/>
      <c r="AB78" s="54"/>
      <c r="AC78" s="54"/>
      <c r="AD78" s="54"/>
      <c r="AE78" s="54"/>
      <c r="AF78" s="132">
        <v>11</v>
      </c>
    </row>
    <row r="79" s="132" customFormat="1" ht="11.5" customHeight="1">
      <c r="A79" s="706"/>
      <c r="B79" s="57"/>
      <c r="C79" s="57"/>
      <c r="D79" s="132"/>
      <c r="K79" s="53"/>
      <c r="L79" s="57"/>
      <c r="M79" s="57"/>
      <c r="N79" s="53"/>
      <c r="O79" s="53"/>
      <c r="P79" s="53"/>
      <c r="Q79" s="53"/>
      <c r="R79" s="57"/>
      <c r="S79" s="53"/>
      <c r="T79" s="53"/>
      <c r="U79" s="707"/>
      <c r="V79" s="53"/>
      <c r="W79" s="53"/>
      <c r="X79" s="53"/>
      <c r="Y79" s="53"/>
      <c r="Z79" s="53"/>
      <c r="AA79" s="56"/>
      <c r="AB79" s="54"/>
      <c r="AC79" s="54"/>
      <c r="AD79" s="54"/>
      <c r="AE79" s="54"/>
      <c r="AF79" s="132">
        <v>11</v>
      </c>
    </row>
    <row r="80" s="132" customFormat="1" ht="11.5" customHeight="1">
      <c r="A80" s="706"/>
      <c r="B80" s="57"/>
      <c r="C80" s="57"/>
      <c r="D80" s="132"/>
      <c r="K80" s="53"/>
      <c r="L80" s="57"/>
      <c r="M80" s="57"/>
      <c r="N80" s="53"/>
      <c r="O80" s="53"/>
      <c r="P80" s="53"/>
      <c r="Q80" s="53"/>
      <c r="R80" s="57"/>
      <c r="S80" s="53"/>
      <c r="T80" s="53"/>
      <c r="U80" s="707"/>
      <c r="V80" s="53"/>
      <c r="W80" s="53"/>
      <c r="X80" s="53"/>
      <c r="Y80" s="53"/>
      <c r="Z80" s="53"/>
      <c r="AA80" s="56"/>
      <c r="AB80" s="54"/>
      <c r="AC80" s="54"/>
      <c r="AD80" s="54"/>
      <c r="AE80" s="54"/>
      <c r="AF80" s="132">
        <v>11</v>
      </c>
    </row>
    <row r="81" s="132" customFormat="1" ht="11.5" customHeight="1">
      <c r="A81" s="706"/>
      <c r="B81" s="57"/>
      <c r="C81" s="57"/>
      <c r="D81" s="132"/>
      <c r="K81" s="53"/>
      <c r="L81" s="57"/>
      <c r="M81" s="57"/>
      <c r="N81" s="53"/>
      <c r="O81" s="53"/>
      <c r="P81" s="53"/>
      <c r="Q81" s="53"/>
      <c r="R81" s="57"/>
      <c r="S81" s="53"/>
      <c r="T81" s="53"/>
      <c r="U81" s="707"/>
      <c r="V81" s="53"/>
      <c r="W81" s="53"/>
      <c r="X81" s="53"/>
      <c r="Y81" s="53"/>
      <c r="Z81" s="53"/>
      <c r="AA81" s="56"/>
      <c r="AB81" s="54"/>
      <c r="AC81" s="54"/>
      <c r="AD81" s="54"/>
      <c r="AE81" s="54"/>
      <c r="AF81" s="132">
        <v>11</v>
      </c>
    </row>
    <row r="82" s="132" customFormat="1" ht="11.5" customHeight="1">
      <c r="A82" s="706"/>
      <c r="B82" s="57"/>
      <c r="C82" s="57"/>
      <c r="D82" s="132"/>
      <c r="K82" s="53"/>
      <c r="L82" s="57"/>
      <c r="M82" s="57"/>
      <c r="N82" s="53"/>
      <c r="O82" s="53"/>
      <c r="P82" s="53"/>
      <c r="Q82" s="53"/>
      <c r="R82" s="57"/>
      <c r="S82" s="53"/>
      <c r="T82" s="53"/>
      <c r="U82" s="707"/>
      <c r="V82" s="53"/>
      <c r="W82" s="53"/>
      <c r="X82" s="53"/>
      <c r="Y82" s="53"/>
      <c r="Z82" s="53"/>
      <c r="AA82" s="56"/>
      <c r="AB82" s="54"/>
      <c r="AC82" s="54"/>
      <c r="AD82" s="54"/>
      <c r="AE82" s="54"/>
      <c r="AF82" s="132">
        <v>11</v>
      </c>
    </row>
    <row r="83" s="132" customFormat="1" ht="11.5" customHeight="1">
      <c r="A83" s="706"/>
      <c r="B83" s="57"/>
      <c r="C83" s="57"/>
      <c r="D83" s="132"/>
      <c r="K83" s="53"/>
      <c r="L83" s="57"/>
      <c r="M83" s="57"/>
      <c r="N83" s="53"/>
      <c r="O83" s="53"/>
      <c r="P83" s="53"/>
      <c r="Q83" s="53"/>
      <c r="R83" s="57"/>
      <c r="S83" s="53"/>
      <c r="T83" s="53"/>
      <c r="U83" s="707"/>
      <c r="V83" s="53"/>
      <c r="W83" s="53"/>
      <c r="X83" s="53"/>
      <c r="Y83" s="53"/>
      <c r="Z83" s="53"/>
      <c r="AA83" s="56"/>
      <c r="AB83" s="54"/>
      <c r="AC83" s="54"/>
      <c r="AD83" s="54"/>
      <c r="AE83" s="54"/>
      <c r="AF83" s="132">
        <v>11</v>
      </c>
    </row>
    <row r="84" s="132" customFormat="1" ht="11.5" customHeight="1">
      <c r="A84" s="706"/>
      <c r="B84" s="57"/>
      <c r="C84" s="57"/>
      <c r="D84" s="132"/>
      <c r="K84" s="53"/>
      <c r="L84" s="57"/>
      <c r="M84" s="57"/>
      <c r="N84" s="53"/>
      <c r="O84" s="53"/>
      <c r="P84" s="53"/>
      <c r="Q84" s="53"/>
      <c r="R84" s="57"/>
      <c r="S84" s="53"/>
      <c r="T84" s="53"/>
      <c r="U84" s="707"/>
      <c r="V84" s="53"/>
      <c r="W84" s="53"/>
      <c r="X84" s="53"/>
      <c r="Y84" s="53"/>
      <c r="Z84" s="53"/>
      <c r="AA84" s="56"/>
      <c r="AB84" s="54"/>
      <c r="AC84" s="54"/>
      <c r="AD84" s="54"/>
      <c r="AE84" s="54"/>
      <c r="AF84" s="132">
        <v>11</v>
      </c>
    </row>
    <row r="85" s="132" customFormat="1" ht="11.5" customHeight="1">
      <c r="A85" s="706"/>
      <c r="B85" s="57"/>
      <c r="C85" s="57"/>
      <c r="D85" s="132"/>
      <c r="K85" s="53"/>
      <c r="L85" s="57"/>
      <c r="M85" s="57"/>
      <c r="N85" s="53"/>
      <c r="O85" s="53"/>
      <c r="P85" s="53"/>
      <c r="Q85" s="53"/>
      <c r="R85" s="57"/>
      <c r="S85" s="53"/>
      <c r="T85" s="53"/>
      <c r="U85" s="707"/>
      <c r="V85" s="53"/>
      <c r="W85" s="53"/>
      <c r="X85" s="53"/>
      <c r="Y85" s="53"/>
      <c r="Z85" s="53"/>
      <c r="AA85" s="56"/>
      <c r="AB85" s="54"/>
      <c r="AC85" s="54"/>
      <c r="AD85" s="54"/>
      <c r="AE85" s="54"/>
      <c r="AF85" s="132">
        <v>11</v>
      </c>
    </row>
    <row r="86" s="132" customFormat="1" ht="11.5" customHeight="1">
      <c r="A86" s="706"/>
      <c r="B86" s="57"/>
      <c r="C86" s="57"/>
      <c r="D86" s="132"/>
      <c r="K86" s="53"/>
      <c r="L86" s="57"/>
      <c r="M86" s="57"/>
      <c r="N86" s="53"/>
      <c r="O86" s="53"/>
      <c r="P86" s="53"/>
      <c r="Q86" s="53"/>
      <c r="R86" s="57"/>
      <c r="S86" s="53"/>
      <c r="T86" s="53"/>
      <c r="U86" s="707"/>
      <c r="V86" s="53"/>
      <c r="W86" s="53"/>
      <c r="X86" s="53"/>
      <c r="Y86" s="53"/>
      <c r="Z86" s="53"/>
      <c r="AA86" s="56"/>
      <c r="AB86" s="54"/>
      <c r="AC86" s="54"/>
      <c r="AD86" s="54"/>
      <c r="AE86" s="54"/>
      <c r="AF86" s="132">
        <v>11</v>
      </c>
    </row>
    <row r="87" s="132" customFormat="1" ht="11.5" customHeight="1">
      <c r="A87" s="706"/>
      <c r="B87" s="57"/>
      <c r="C87" s="57"/>
      <c r="D87" s="132"/>
      <c r="K87" s="53"/>
      <c r="L87" s="57"/>
      <c r="M87" s="57"/>
      <c r="N87" s="53"/>
      <c r="O87" s="53"/>
      <c r="P87" s="53"/>
      <c r="Q87" s="53"/>
      <c r="R87" s="57"/>
      <c r="S87" s="53"/>
      <c r="T87" s="53"/>
      <c r="U87" s="707"/>
      <c r="V87" s="53"/>
      <c r="W87" s="53"/>
      <c r="X87" s="53"/>
      <c r="Y87" s="53"/>
      <c r="Z87" s="53"/>
      <c r="AA87" s="56"/>
      <c r="AB87" s="54"/>
      <c r="AC87" s="54"/>
      <c r="AD87" s="54"/>
      <c r="AE87" s="54"/>
      <c r="AF87" s="132">
        <v>11</v>
      </c>
    </row>
    <row r="88" s="132" customFormat="1" ht="11.5" customHeight="1">
      <c r="A88" s="706"/>
      <c r="B88" s="57"/>
      <c r="C88" s="57"/>
      <c r="D88" s="132"/>
      <c r="K88" s="53"/>
      <c r="L88" s="57"/>
      <c r="M88" s="57"/>
      <c r="N88" s="53"/>
      <c r="O88" s="53"/>
      <c r="P88" s="53"/>
      <c r="Q88" s="53"/>
      <c r="R88" s="57"/>
      <c r="S88" s="53"/>
      <c r="T88" s="53"/>
      <c r="U88" s="707"/>
      <c r="V88" s="53"/>
      <c r="W88" s="53"/>
      <c r="X88" s="53"/>
      <c r="Y88" s="53"/>
      <c r="Z88" s="53"/>
      <c r="AA88" s="56"/>
      <c r="AB88" s="54"/>
      <c r="AC88" s="54"/>
      <c r="AD88" s="54"/>
      <c r="AE88" s="54"/>
      <c r="AF88" s="132">
        <v>11</v>
      </c>
    </row>
    <row r="89" s="132" customFormat="1" ht="11.5" customHeight="1">
      <c r="A89" s="706"/>
      <c r="B89" s="57"/>
      <c r="C89" s="57"/>
      <c r="D89" s="132"/>
      <c r="K89" s="53"/>
      <c r="L89" s="57"/>
      <c r="M89" s="57"/>
      <c r="N89" s="53"/>
      <c r="O89" s="53"/>
      <c r="P89" s="53"/>
      <c r="Q89" s="53"/>
      <c r="R89" s="57"/>
      <c r="S89" s="53"/>
      <c r="T89" s="53"/>
      <c r="U89" s="707"/>
      <c r="V89" s="53"/>
      <c r="W89" s="53"/>
      <c r="X89" s="53"/>
      <c r="Y89" s="53"/>
      <c r="Z89" s="53"/>
      <c r="AA89" s="56"/>
      <c r="AB89" s="54"/>
      <c r="AC89" s="54"/>
      <c r="AD89" s="54"/>
      <c r="AE89" s="54"/>
      <c r="AF89" s="132">
        <v>11</v>
      </c>
    </row>
    <row r="90" s="132" customFormat="1" ht="11.5" customHeight="1">
      <c r="A90" s="706"/>
      <c r="B90" s="57"/>
      <c r="C90" s="57"/>
      <c r="D90" s="132"/>
      <c r="K90" s="53"/>
      <c r="L90" s="57"/>
      <c r="M90" s="57"/>
      <c r="N90" s="53"/>
      <c r="O90" s="53"/>
      <c r="P90" s="53"/>
      <c r="Q90" s="53"/>
      <c r="R90" s="57"/>
      <c r="S90" s="53"/>
      <c r="T90" s="53"/>
      <c r="U90" s="707"/>
      <c r="V90" s="53"/>
      <c r="W90" s="53"/>
      <c r="X90" s="53"/>
      <c r="Y90" s="53"/>
      <c r="Z90" s="53"/>
      <c r="AA90" s="56"/>
      <c r="AB90" s="54"/>
      <c r="AC90" s="54"/>
      <c r="AD90" s="54"/>
      <c r="AE90" s="54"/>
      <c r="AF90" s="132">
        <v>11</v>
      </c>
    </row>
    <row r="91" s="132" customFormat="1" ht="11.5" customHeight="1">
      <c r="A91" s="706"/>
      <c r="B91" s="57"/>
      <c r="C91" s="57"/>
      <c r="D91" s="132"/>
      <c r="K91" s="53"/>
      <c r="L91" s="57"/>
      <c r="M91" s="57"/>
      <c r="N91" s="53"/>
      <c r="O91" s="53"/>
      <c r="P91" s="53"/>
      <c r="Q91" s="53"/>
      <c r="R91" s="57"/>
      <c r="S91" s="53"/>
      <c r="T91" s="53"/>
      <c r="U91" s="707"/>
      <c r="V91" s="53"/>
      <c r="W91" s="53"/>
      <c r="X91" s="53"/>
      <c r="Y91" s="53"/>
      <c r="Z91" s="53"/>
      <c r="AA91" s="56"/>
      <c r="AB91" s="54"/>
      <c r="AC91" s="54"/>
      <c r="AD91" s="54"/>
      <c r="AE91" s="54"/>
      <c r="AF91" s="132">
        <v>11</v>
      </c>
    </row>
    <row r="92" s="132" customFormat="1" ht="11.5" customHeight="1">
      <c r="A92" s="706"/>
      <c r="B92" s="57"/>
      <c r="C92" s="57"/>
      <c r="D92" s="132"/>
      <c r="K92" s="53"/>
      <c r="L92" s="57"/>
      <c r="M92" s="57"/>
      <c r="N92" s="53"/>
      <c r="O92" s="53"/>
      <c r="P92" s="53"/>
      <c r="Q92" s="53"/>
      <c r="R92" s="57"/>
      <c r="S92" s="53"/>
      <c r="T92" s="53"/>
      <c r="U92" s="707"/>
      <c r="V92" s="53"/>
      <c r="W92" s="53"/>
      <c r="X92" s="53"/>
      <c r="Y92" s="53"/>
      <c r="Z92" s="53"/>
      <c r="AA92" s="56"/>
      <c r="AB92" s="54"/>
      <c r="AC92" s="54"/>
      <c r="AD92" s="54"/>
      <c r="AE92" s="54"/>
      <c r="AF92" s="132">
        <v>11</v>
      </c>
    </row>
    <row r="93" s="132" customFormat="1" ht="11.5" customHeight="1">
      <c r="A93" s="706"/>
      <c r="B93" s="57"/>
      <c r="C93" s="57"/>
      <c r="D93" s="132"/>
      <c r="K93" s="53"/>
      <c r="L93" s="57"/>
      <c r="M93" s="57"/>
      <c r="N93" s="53"/>
      <c r="O93" s="53"/>
      <c r="P93" s="53"/>
      <c r="Q93" s="53"/>
      <c r="R93" s="57"/>
      <c r="S93" s="53"/>
      <c r="T93" s="53"/>
      <c r="U93" s="707"/>
      <c r="V93" s="53"/>
      <c r="W93" s="53"/>
      <c r="X93" s="53"/>
      <c r="Y93" s="53"/>
      <c r="Z93" s="53"/>
      <c r="AA93" s="56"/>
      <c r="AB93" s="54"/>
      <c r="AC93" s="54"/>
      <c r="AD93" s="54"/>
      <c r="AE93" s="54"/>
      <c r="AF93" s="132">
        <v>11</v>
      </c>
    </row>
    <row r="94" s="132" customFormat="1" ht="11.5" customHeight="1">
      <c r="A94" s="706"/>
      <c r="B94" s="57"/>
      <c r="C94" s="57"/>
      <c r="D94" s="132"/>
      <c r="K94" s="53"/>
      <c r="L94" s="57"/>
      <c r="M94" s="57"/>
      <c r="N94" s="53"/>
      <c r="O94" s="53"/>
      <c r="P94" s="53"/>
      <c r="Q94" s="53"/>
      <c r="R94" s="57"/>
      <c r="S94" s="53"/>
      <c r="T94" s="53"/>
      <c r="U94" s="707"/>
      <c r="V94" s="53"/>
      <c r="W94" s="53"/>
      <c r="X94" s="53"/>
      <c r="Y94" s="53"/>
      <c r="Z94" s="53"/>
      <c r="AA94" s="56"/>
      <c r="AB94" s="54"/>
      <c r="AC94" s="54"/>
      <c r="AD94" s="54"/>
      <c r="AE94" s="54"/>
      <c r="AF94" s="132">
        <v>11</v>
      </c>
    </row>
    <row r="95" s="132" customFormat="1" ht="11.5" customHeight="1">
      <c r="A95" s="706"/>
      <c r="B95" s="57"/>
      <c r="C95" s="57"/>
      <c r="D95" s="132"/>
      <c r="K95" s="53"/>
      <c r="L95" s="57"/>
      <c r="M95" s="57"/>
      <c r="N95" s="53"/>
      <c r="O95" s="53"/>
      <c r="P95" s="53"/>
      <c r="Q95" s="53"/>
      <c r="R95" s="57"/>
      <c r="S95" s="53"/>
      <c r="T95" s="53"/>
      <c r="U95" s="707"/>
      <c r="V95" s="53"/>
      <c r="W95" s="53"/>
      <c r="X95" s="53"/>
      <c r="Y95" s="53"/>
      <c r="Z95" s="53"/>
      <c r="AA95" s="56"/>
      <c r="AB95" s="54"/>
      <c r="AC95" s="54"/>
      <c r="AD95" s="54"/>
      <c r="AE95" s="54"/>
      <c r="AF95" s="132">
        <v>11</v>
      </c>
    </row>
    <row r="96" s="132" customFormat="1" ht="11.5" customHeight="1">
      <c r="A96" s="706"/>
      <c r="B96" s="57"/>
      <c r="C96" s="57"/>
      <c r="D96" s="132"/>
      <c r="K96" s="53"/>
      <c r="L96" s="57"/>
      <c r="M96" s="57"/>
      <c r="N96" s="53"/>
      <c r="O96" s="53"/>
      <c r="P96" s="53"/>
      <c r="Q96" s="53"/>
      <c r="R96" s="57"/>
      <c r="S96" s="53"/>
      <c r="T96" s="53"/>
      <c r="U96" s="707"/>
      <c r="V96" s="53"/>
      <c r="W96" s="53"/>
      <c r="X96" s="53"/>
      <c r="Y96" s="53"/>
      <c r="Z96" s="53"/>
      <c r="AA96" s="56"/>
      <c r="AB96" s="54"/>
      <c r="AC96" s="54"/>
      <c r="AD96" s="54"/>
      <c r="AE96" s="54"/>
      <c r="AF96" s="132">
        <v>11</v>
      </c>
    </row>
    <row r="97" s="132" customFormat="1" ht="11.5" customHeight="1">
      <c r="A97" s="706"/>
      <c r="B97" s="57"/>
      <c r="C97" s="57"/>
      <c r="D97" s="132"/>
      <c r="K97" s="53"/>
      <c r="L97" s="57"/>
      <c r="M97" s="57"/>
      <c r="N97" s="53"/>
      <c r="O97" s="53"/>
      <c r="P97" s="53"/>
      <c r="Q97" s="53"/>
      <c r="R97" s="57"/>
      <c r="S97" s="53"/>
      <c r="T97" s="53"/>
      <c r="U97" s="707"/>
      <c r="V97" s="53"/>
      <c r="W97" s="53"/>
      <c r="X97" s="53"/>
      <c r="Y97" s="53"/>
      <c r="Z97" s="53"/>
      <c r="AA97" s="56"/>
      <c r="AB97" s="54"/>
      <c r="AC97" s="54"/>
      <c r="AD97" s="54"/>
      <c r="AE97" s="54"/>
      <c r="AF97" s="132">
        <v>11</v>
      </c>
    </row>
    <row r="98" s="132" customFormat="1" ht="11.5" customHeight="1">
      <c r="A98" s="706"/>
      <c r="B98" s="57"/>
      <c r="C98" s="57"/>
      <c r="D98" s="132"/>
      <c r="K98" s="53"/>
      <c r="L98" s="57"/>
      <c r="M98" s="57"/>
      <c r="N98" s="53"/>
      <c r="O98" s="53"/>
      <c r="P98" s="53"/>
      <c r="Q98" s="53"/>
      <c r="R98" s="57"/>
      <c r="S98" s="53"/>
      <c r="T98" s="53"/>
      <c r="U98" s="707"/>
      <c r="V98" s="53"/>
      <c r="W98" s="53"/>
      <c r="X98" s="53"/>
      <c r="Y98" s="53"/>
      <c r="Z98" s="53"/>
      <c r="AA98" s="56"/>
      <c r="AB98" s="54"/>
      <c r="AC98" s="54"/>
      <c r="AD98" s="54"/>
      <c r="AE98" s="54"/>
      <c r="AF98" s="132">
        <v>11</v>
      </c>
    </row>
    <row r="99" s="132" customFormat="1" ht="11.5" customHeight="1">
      <c r="A99" s="706"/>
      <c r="B99" s="57"/>
      <c r="C99" s="57"/>
      <c r="D99" s="132"/>
      <c r="K99" s="53"/>
      <c r="L99" s="57"/>
      <c r="M99" s="57"/>
      <c r="N99" s="53"/>
      <c r="O99" s="53"/>
      <c r="P99" s="53"/>
      <c r="Q99" s="53"/>
      <c r="R99" s="57"/>
      <c r="S99" s="53"/>
      <c r="T99" s="53"/>
      <c r="U99" s="707"/>
      <c r="V99" s="53"/>
      <c r="W99" s="53"/>
      <c r="X99" s="53"/>
      <c r="Y99" s="53"/>
      <c r="Z99" s="53"/>
      <c r="AA99" s="56"/>
      <c r="AB99" s="54"/>
      <c r="AC99" s="54"/>
      <c r="AD99" s="54"/>
      <c r="AE99" s="54"/>
      <c r="AF99" s="132">
        <v>11</v>
      </c>
    </row>
    <row r="100" s="132" customFormat="1" ht="11.5" customHeight="1">
      <c r="A100" s="706"/>
      <c r="B100" s="57"/>
      <c r="C100" s="57"/>
      <c r="D100" s="132"/>
      <c r="K100" s="53"/>
      <c r="L100" s="57"/>
      <c r="M100" s="57"/>
      <c r="N100" s="53"/>
      <c r="O100" s="53"/>
      <c r="P100" s="53"/>
      <c r="Q100" s="53"/>
      <c r="R100" s="57"/>
      <c r="S100" s="53"/>
      <c r="T100" s="53"/>
      <c r="U100" s="707"/>
      <c r="V100" s="53"/>
      <c r="W100" s="53"/>
      <c r="X100" s="53"/>
      <c r="Y100" s="53"/>
      <c r="Z100" s="53"/>
      <c r="AA100" s="56"/>
      <c r="AB100" s="54"/>
      <c r="AC100" s="54"/>
      <c r="AD100" s="54"/>
      <c r="AE100" s="54"/>
      <c r="AF100" s="132">
        <v>11</v>
      </c>
    </row>
    <row r="101" s="132" customFormat="1" ht="11.5" customHeight="1">
      <c r="A101" s="706"/>
      <c r="B101" s="57"/>
      <c r="C101" s="57"/>
      <c r="D101" s="132"/>
      <c r="K101" s="53"/>
      <c r="L101" s="57"/>
      <c r="M101" s="57"/>
      <c r="N101" s="53"/>
      <c r="O101" s="53"/>
      <c r="P101" s="53"/>
      <c r="Q101" s="53"/>
      <c r="R101" s="57"/>
      <c r="S101" s="53"/>
      <c r="T101" s="53"/>
      <c r="U101" s="707"/>
      <c r="V101" s="53"/>
      <c r="W101" s="53"/>
      <c r="X101" s="53"/>
      <c r="Y101" s="53"/>
      <c r="Z101" s="53"/>
      <c r="AA101" s="56"/>
      <c r="AB101" s="54"/>
      <c r="AC101" s="54"/>
      <c r="AD101" s="54"/>
      <c r="AE101" s="54"/>
      <c r="AF101" s="132">
        <v>11</v>
      </c>
    </row>
    <row r="102" s="132" customFormat="1" ht="11.5" customHeight="1">
      <c r="A102" s="706"/>
      <c r="B102" s="57"/>
      <c r="C102" s="57"/>
      <c r="D102" s="132"/>
      <c r="K102" s="53"/>
      <c r="L102" s="57"/>
      <c r="M102" s="57"/>
      <c r="N102" s="53"/>
      <c r="O102" s="53"/>
      <c r="P102" s="53"/>
      <c r="Q102" s="53"/>
      <c r="R102" s="57"/>
      <c r="S102" s="53"/>
      <c r="T102" s="53"/>
      <c r="U102" s="707"/>
      <c r="V102" s="53"/>
      <c r="W102" s="53"/>
      <c r="X102" s="53"/>
      <c r="Y102" s="53"/>
      <c r="Z102" s="53"/>
      <c r="AA102" s="56"/>
      <c r="AB102" s="54"/>
      <c r="AC102" s="54"/>
      <c r="AD102" s="54"/>
      <c r="AE102" s="54"/>
      <c r="AF102" s="132">
        <v>11</v>
      </c>
    </row>
    <row r="103" s="132" customFormat="1" ht="11.5" customHeight="1">
      <c r="A103" s="706"/>
      <c r="B103" s="57"/>
      <c r="C103" s="57"/>
      <c r="D103" s="132"/>
      <c r="K103" s="53"/>
      <c r="L103" s="57"/>
      <c r="M103" s="57"/>
      <c r="N103" s="53"/>
      <c r="O103" s="53"/>
      <c r="P103" s="53"/>
      <c r="Q103" s="53"/>
      <c r="R103" s="57"/>
      <c r="S103" s="53"/>
      <c r="T103" s="53"/>
      <c r="U103" s="707"/>
      <c r="V103" s="53"/>
      <c r="W103" s="53"/>
      <c r="X103" s="53"/>
      <c r="Y103" s="53"/>
      <c r="Z103" s="53"/>
      <c r="AA103" s="56"/>
      <c r="AB103" s="54"/>
      <c r="AC103" s="54"/>
      <c r="AD103" s="54"/>
      <c r="AE103" s="54"/>
      <c r="AF103" s="132">
        <v>11</v>
      </c>
    </row>
    <row r="104" s="132" customFormat="1" ht="11.5" customHeight="1">
      <c r="A104" s="706"/>
      <c r="B104" s="57"/>
      <c r="C104" s="57"/>
      <c r="D104" s="132"/>
      <c r="K104" s="53"/>
      <c r="L104" s="57"/>
      <c r="M104" s="57"/>
      <c r="N104" s="53"/>
      <c r="O104" s="53"/>
      <c r="P104" s="53"/>
      <c r="Q104" s="53"/>
      <c r="R104" s="57"/>
      <c r="S104" s="53"/>
      <c r="T104" s="53"/>
      <c r="U104" s="707"/>
      <c r="V104" s="53"/>
      <c r="W104" s="53"/>
      <c r="X104" s="53"/>
      <c r="Y104" s="53"/>
      <c r="Z104" s="53"/>
      <c r="AA104" s="56"/>
      <c r="AB104" s="54"/>
      <c r="AC104" s="54"/>
      <c r="AD104" s="54"/>
      <c r="AE104" s="54"/>
      <c r="AF104" s="132">
        <v>11</v>
      </c>
    </row>
    <row r="105" s="132" customFormat="1" ht="11.5" customHeight="1">
      <c r="A105" s="706"/>
      <c r="B105" s="57"/>
      <c r="C105" s="57"/>
      <c r="D105" s="132"/>
      <c r="K105" s="53"/>
      <c r="L105" s="57"/>
      <c r="M105" s="57"/>
      <c r="N105" s="53"/>
      <c r="O105" s="53"/>
      <c r="P105" s="53"/>
      <c r="Q105" s="53"/>
      <c r="R105" s="57"/>
      <c r="S105" s="53"/>
      <c r="T105" s="53"/>
      <c r="U105" s="707"/>
      <c r="V105" s="53"/>
      <c r="W105" s="53"/>
      <c r="X105" s="53"/>
      <c r="Y105" s="53"/>
      <c r="Z105" s="53"/>
      <c r="AA105" s="56"/>
      <c r="AB105" s="54"/>
      <c r="AC105" s="54"/>
      <c r="AD105" s="54"/>
      <c r="AE105" s="54"/>
      <c r="AF105" s="132">
        <v>11</v>
      </c>
    </row>
    <row r="106" s="132" customFormat="1" ht="11.5" customHeight="1">
      <c r="A106" s="706"/>
      <c r="B106" s="57"/>
      <c r="C106" s="57"/>
      <c r="D106" s="132"/>
      <c r="K106" s="53"/>
      <c r="L106" s="57"/>
      <c r="M106" s="57"/>
      <c r="N106" s="53"/>
      <c r="O106" s="53"/>
      <c r="P106" s="53"/>
      <c r="Q106" s="53"/>
      <c r="R106" s="57"/>
      <c r="S106" s="53"/>
      <c r="T106" s="53"/>
      <c r="U106" s="707"/>
      <c r="V106" s="53"/>
      <c r="W106" s="53"/>
      <c r="X106" s="53"/>
      <c r="Y106" s="53"/>
      <c r="Z106" s="53"/>
      <c r="AA106" s="56"/>
      <c r="AB106" s="54"/>
      <c r="AC106" s="54"/>
      <c r="AD106" s="54"/>
      <c r="AE106" s="54"/>
      <c r="AF106" s="132">
        <v>11</v>
      </c>
    </row>
    <row r="107" s="132" customFormat="1" ht="11.5" customHeight="1">
      <c r="A107" s="706"/>
      <c r="B107" s="57"/>
      <c r="C107" s="57"/>
      <c r="D107" s="132"/>
      <c r="K107" s="53"/>
      <c r="L107" s="57"/>
      <c r="M107" s="57"/>
      <c r="N107" s="53"/>
      <c r="O107" s="53"/>
      <c r="P107" s="53"/>
      <c r="Q107" s="53"/>
      <c r="R107" s="57"/>
      <c r="S107" s="53"/>
      <c r="T107" s="53"/>
      <c r="U107" s="707"/>
      <c r="V107" s="53"/>
      <c r="W107" s="53"/>
      <c r="X107" s="53"/>
      <c r="Y107" s="53"/>
      <c r="Z107" s="53"/>
      <c r="AA107" s="56"/>
      <c r="AB107" s="54"/>
      <c r="AC107" s="54"/>
      <c r="AD107" s="54"/>
      <c r="AE107" s="54"/>
      <c r="AF107" s="132">
        <v>11</v>
      </c>
    </row>
    <row r="108" s="132" customFormat="1" ht="11.5" customHeight="1">
      <c r="A108" s="706"/>
      <c r="B108" s="57"/>
      <c r="C108" s="57"/>
      <c r="D108" s="132"/>
      <c r="K108" s="53"/>
      <c r="L108" s="57"/>
      <c r="M108" s="57"/>
      <c r="N108" s="53"/>
      <c r="O108" s="53"/>
      <c r="P108" s="53"/>
      <c r="Q108" s="53"/>
      <c r="R108" s="57"/>
      <c r="S108" s="53"/>
      <c r="T108" s="53"/>
      <c r="U108" s="707"/>
      <c r="V108" s="53"/>
      <c r="W108" s="53"/>
      <c r="X108" s="53"/>
      <c r="Y108" s="53"/>
      <c r="Z108" s="53"/>
      <c r="AA108" s="56"/>
      <c r="AB108" s="54"/>
      <c r="AC108" s="54"/>
      <c r="AD108" s="54"/>
      <c r="AE108" s="54"/>
      <c r="AF108" s="132">
        <v>11</v>
      </c>
    </row>
    <row r="109" s="132" customFormat="1" ht="11.5" customHeight="1">
      <c r="A109" s="706"/>
      <c r="B109" s="57"/>
      <c r="C109" s="57"/>
      <c r="D109" s="132"/>
      <c r="K109" s="53"/>
      <c r="L109" s="57"/>
      <c r="M109" s="57"/>
      <c r="N109" s="53"/>
      <c r="O109" s="53"/>
      <c r="P109" s="53"/>
      <c r="Q109" s="53"/>
      <c r="R109" s="57"/>
      <c r="S109" s="53"/>
      <c r="T109" s="53"/>
      <c r="U109" s="707"/>
      <c r="V109" s="53"/>
      <c r="W109" s="53"/>
      <c r="X109" s="53"/>
      <c r="Y109" s="53"/>
      <c r="Z109" s="53"/>
      <c r="AA109" s="56"/>
      <c r="AB109" s="54"/>
      <c r="AC109" s="54"/>
      <c r="AD109" s="54"/>
      <c r="AE109" s="54"/>
      <c r="AF109" s="132">
        <v>11</v>
      </c>
    </row>
    <row r="110" s="132" customFormat="1" ht="11.5" customHeight="1">
      <c r="A110" s="706"/>
      <c r="B110" s="57"/>
      <c r="C110" s="57"/>
      <c r="D110" s="132"/>
      <c r="K110" s="53"/>
      <c r="L110" s="57"/>
      <c r="M110" s="57"/>
      <c r="N110" s="53"/>
      <c r="O110" s="53"/>
      <c r="P110" s="53"/>
      <c r="Q110" s="53"/>
      <c r="R110" s="57"/>
      <c r="S110" s="53"/>
      <c r="T110" s="53"/>
      <c r="U110" s="707"/>
      <c r="V110" s="53"/>
      <c r="W110" s="53"/>
      <c r="X110" s="53"/>
      <c r="Y110" s="53"/>
      <c r="Z110" s="53"/>
      <c r="AA110" s="56"/>
      <c r="AB110" s="54"/>
      <c r="AC110" s="54"/>
      <c r="AD110" s="54"/>
      <c r="AE110" s="54"/>
      <c r="AF110" s="132">
        <v>11</v>
      </c>
    </row>
    <row r="111" s="132" customFormat="1" ht="11.5" customHeight="1">
      <c r="A111" s="706"/>
      <c r="B111" s="57"/>
      <c r="C111" s="57"/>
      <c r="D111" s="132"/>
      <c r="K111" s="53"/>
      <c r="L111" s="57"/>
      <c r="M111" s="57"/>
      <c r="N111" s="53"/>
      <c r="O111" s="53"/>
      <c r="P111" s="53"/>
      <c r="Q111" s="53"/>
      <c r="R111" s="57"/>
      <c r="S111" s="53"/>
      <c r="T111" s="53"/>
      <c r="U111" s="707"/>
      <c r="V111" s="53"/>
      <c r="W111" s="53"/>
      <c r="X111" s="53"/>
      <c r="Y111" s="53"/>
      <c r="Z111" s="53"/>
      <c r="AA111" s="56"/>
      <c r="AB111" s="54"/>
      <c r="AC111" s="54"/>
      <c r="AD111" s="54"/>
      <c r="AE111" s="54"/>
      <c r="AF111" s="132">
        <v>11</v>
      </c>
    </row>
    <row r="112" s="132" customFormat="1" ht="11.5" customHeight="1">
      <c r="A112" s="706"/>
      <c r="B112" s="57"/>
      <c r="C112" s="57"/>
      <c r="D112" s="132"/>
      <c r="K112" s="53"/>
      <c r="L112" s="57"/>
      <c r="M112" s="57"/>
      <c r="N112" s="53"/>
      <c r="O112" s="53"/>
      <c r="P112" s="53"/>
      <c r="Q112" s="53"/>
      <c r="R112" s="57"/>
      <c r="S112" s="53"/>
      <c r="T112" s="53"/>
      <c r="U112" s="707"/>
      <c r="V112" s="53"/>
      <c r="W112" s="53"/>
      <c r="X112" s="53"/>
      <c r="Y112" s="53"/>
      <c r="Z112" s="53"/>
      <c r="AA112" s="56"/>
      <c r="AB112" s="54"/>
      <c r="AC112" s="54"/>
      <c r="AD112" s="54"/>
      <c r="AE112" s="54"/>
      <c r="AF112" s="132">
        <v>11</v>
      </c>
    </row>
    <row r="113" s="132" customFormat="1" ht="11.5" customHeight="1">
      <c r="A113" s="706"/>
      <c r="B113" s="57"/>
      <c r="C113" s="57"/>
      <c r="D113" s="132"/>
      <c r="K113" s="53"/>
      <c r="L113" s="57"/>
      <c r="M113" s="57"/>
      <c r="N113" s="53"/>
      <c r="O113" s="53"/>
      <c r="P113" s="53"/>
      <c r="Q113" s="53"/>
      <c r="R113" s="57"/>
      <c r="S113" s="53"/>
      <c r="T113" s="53"/>
      <c r="U113" s="707"/>
      <c r="V113" s="53"/>
      <c r="W113" s="53"/>
      <c r="X113" s="53"/>
      <c r="Y113" s="53"/>
      <c r="Z113" s="53"/>
      <c r="AA113" s="56"/>
      <c r="AB113" s="54"/>
      <c r="AC113" s="54"/>
      <c r="AD113" s="54"/>
      <c r="AE113" s="54"/>
      <c r="AF113" s="132">
        <v>11</v>
      </c>
    </row>
    <row r="114" s="132" customFormat="1" ht="11.5" customHeight="1">
      <c r="A114" s="706"/>
      <c r="B114" s="57"/>
      <c r="C114" s="57"/>
      <c r="D114" s="132"/>
      <c r="K114" s="53"/>
      <c r="L114" s="57"/>
      <c r="M114" s="57"/>
      <c r="N114" s="53"/>
      <c r="O114" s="53"/>
      <c r="P114" s="53"/>
      <c r="Q114" s="53"/>
      <c r="R114" s="57"/>
      <c r="S114" s="53"/>
      <c r="T114" s="53"/>
      <c r="U114" s="707"/>
      <c r="V114" s="53"/>
      <c r="W114" s="53"/>
      <c r="X114" s="53"/>
      <c r="Y114" s="53"/>
      <c r="Z114" s="53"/>
      <c r="AA114" s="56"/>
      <c r="AB114" s="54"/>
      <c r="AC114" s="54"/>
      <c r="AD114" s="54"/>
      <c r="AE114" s="54"/>
      <c r="AF114" s="132">
        <v>11</v>
      </c>
    </row>
    <row r="115" s="132" customFormat="1" ht="11.5" customHeight="1">
      <c r="A115" s="706"/>
      <c r="B115" s="57"/>
      <c r="C115" s="57"/>
      <c r="D115" s="132"/>
      <c r="K115" s="53"/>
      <c r="L115" s="57"/>
      <c r="M115" s="57"/>
      <c r="N115" s="53"/>
      <c r="O115" s="53"/>
      <c r="P115" s="53"/>
      <c r="Q115" s="53"/>
      <c r="R115" s="57"/>
      <c r="S115" s="53"/>
      <c r="T115" s="53"/>
      <c r="U115" s="707"/>
      <c r="V115" s="53"/>
      <c r="W115" s="53"/>
      <c r="X115" s="53"/>
      <c r="Y115" s="53"/>
      <c r="Z115" s="53"/>
      <c r="AA115" s="56"/>
      <c r="AB115" s="54"/>
      <c r="AC115" s="54"/>
      <c r="AD115" s="54"/>
      <c r="AE115" s="54"/>
      <c r="AF115" s="132">
        <v>11</v>
      </c>
    </row>
    <row r="116" s="132" customFormat="1" ht="11.5" customHeight="1">
      <c r="A116" s="706"/>
      <c r="B116" s="57"/>
      <c r="C116" s="57"/>
      <c r="D116" s="132"/>
      <c r="K116" s="53"/>
      <c r="L116" s="57"/>
      <c r="M116" s="57"/>
      <c r="N116" s="53"/>
      <c r="O116" s="53"/>
      <c r="P116" s="53"/>
      <c r="Q116" s="53"/>
      <c r="R116" s="57"/>
      <c r="S116" s="53"/>
      <c r="T116" s="53"/>
      <c r="U116" s="707"/>
      <c r="V116" s="53"/>
      <c r="W116" s="53"/>
      <c r="X116" s="53"/>
      <c r="Y116" s="53"/>
      <c r="Z116" s="53"/>
      <c r="AA116" s="56"/>
      <c r="AB116" s="54"/>
      <c r="AC116" s="54"/>
      <c r="AD116" s="54"/>
      <c r="AE116" s="54"/>
      <c r="AF116" s="132">
        <v>11</v>
      </c>
    </row>
    <row r="117" s="132" customFormat="1" ht="11.5" customHeight="1">
      <c r="A117" s="706"/>
      <c r="B117" s="57"/>
      <c r="C117" s="57"/>
      <c r="D117" s="132"/>
      <c r="K117" s="53"/>
      <c r="L117" s="57"/>
      <c r="M117" s="57"/>
      <c r="N117" s="53"/>
      <c r="O117" s="53"/>
      <c r="P117" s="53"/>
      <c r="Q117" s="53"/>
      <c r="R117" s="57"/>
      <c r="S117" s="53"/>
      <c r="T117" s="53"/>
      <c r="U117" s="707"/>
      <c r="V117" s="53"/>
      <c r="W117" s="53"/>
      <c r="X117" s="53"/>
      <c r="Y117" s="53"/>
      <c r="Z117" s="53"/>
      <c r="AA117" s="56"/>
      <c r="AB117" s="54"/>
      <c r="AC117" s="54"/>
      <c r="AD117" s="54"/>
      <c r="AE117" s="54"/>
      <c r="AF117" s="132">
        <v>11</v>
      </c>
    </row>
    <row r="118" s="132" customFormat="1" ht="11.5" customHeight="1">
      <c r="A118" s="706"/>
      <c r="B118" s="57"/>
      <c r="C118" s="57"/>
      <c r="D118" s="132"/>
      <c r="K118" s="53"/>
      <c r="L118" s="57"/>
      <c r="M118" s="57"/>
      <c r="N118" s="53"/>
      <c r="O118" s="53"/>
      <c r="P118" s="53"/>
      <c r="Q118" s="53"/>
      <c r="R118" s="57"/>
      <c r="S118" s="53"/>
      <c r="T118" s="53"/>
      <c r="U118" s="707"/>
      <c r="V118" s="53"/>
      <c r="W118" s="53"/>
      <c r="X118" s="53"/>
      <c r="Y118" s="53"/>
      <c r="Z118" s="53"/>
      <c r="AA118" s="56"/>
      <c r="AB118" s="54"/>
      <c r="AC118" s="54"/>
      <c r="AD118" s="54"/>
      <c r="AE118" s="54"/>
      <c r="AF118" s="132">
        <v>11</v>
      </c>
    </row>
    <row r="119" s="132" customFormat="1" ht="11.5" customHeight="1">
      <c r="A119" s="706"/>
      <c r="B119" s="57"/>
      <c r="C119" s="57"/>
      <c r="D119" s="132"/>
      <c r="K119" s="53"/>
      <c r="L119" s="57"/>
      <c r="M119" s="57"/>
      <c r="N119" s="53"/>
      <c r="O119" s="53"/>
      <c r="P119" s="53"/>
      <c r="Q119" s="53"/>
      <c r="R119" s="57"/>
      <c r="S119" s="53"/>
      <c r="T119" s="53"/>
      <c r="U119" s="707"/>
      <c r="V119" s="53"/>
      <c r="W119" s="53"/>
      <c r="X119" s="53"/>
      <c r="Y119" s="53"/>
      <c r="Z119" s="53"/>
      <c r="AA119" s="56"/>
      <c r="AB119" s="54"/>
      <c r="AC119" s="54"/>
      <c r="AD119" s="54"/>
      <c r="AE119" s="54"/>
      <c r="AF119" s="132">
        <v>11</v>
      </c>
    </row>
    <row r="120" s="132" customFormat="1" ht="11.5" customHeight="1">
      <c r="A120" s="706"/>
      <c r="B120" s="57"/>
      <c r="C120" s="57"/>
      <c r="D120" s="132"/>
      <c r="K120" s="53"/>
      <c r="L120" s="57"/>
      <c r="M120" s="57"/>
      <c r="N120" s="53"/>
      <c r="O120" s="53"/>
      <c r="P120" s="53"/>
      <c r="Q120" s="53"/>
      <c r="R120" s="57"/>
      <c r="S120" s="53"/>
      <c r="T120" s="53"/>
      <c r="U120" s="707"/>
      <c r="V120" s="53"/>
      <c r="W120" s="53"/>
      <c r="X120" s="53"/>
      <c r="Y120" s="53"/>
      <c r="Z120" s="53"/>
      <c r="AA120" s="56"/>
      <c r="AB120" s="54"/>
      <c r="AC120" s="54"/>
      <c r="AD120" s="54"/>
      <c r="AE120" s="54"/>
      <c r="AF120" s="132">
        <v>11</v>
      </c>
    </row>
    <row r="121" s="132" customFormat="1" ht="11.5" customHeight="1">
      <c r="A121" s="706"/>
      <c r="B121" s="57"/>
      <c r="C121" s="57"/>
      <c r="D121" s="132"/>
      <c r="K121" s="53"/>
      <c r="L121" s="57"/>
      <c r="M121" s="57"/>
      <c r="N121" s="53"/>
      <c r="O121" s="53"/>
      <c r="P121" s="53"/>
      <c r="Q121" s="53"/>
      <c r="R121" s="57"/>
      <c r="S121" s="53"/>
      <c r="T121" s="53"/>
      <c r="U121" s="707"/>
      <c r="V121" s="53"/>
      <c r="W121" s="53"/>
      <c r="X121" s="53"/>
      <c r="Y121" s="53"/>
      <c r="Z121" s="53"/>
      <c r="AA121" s="56"/>
      <c r="AB121" s="54"/>
      <c r="AC121" s="54"/>
      <c r="AD121" s="54"/>
      <c r="AE121" s="54"/>
      <c r="AF121" s="132">
        <v>11</v>
      </c>
    </row>
    <row r="122" s="132" customFormat="1" ht="11.5" customHeight="1">
      <c r="A122" s="706"/>
      <c r="B122" s="57"/>
      <c r="C122" s="57"/>
      <c r="D122" s="132"/>
      <c r="K122" s="53"/>
      <c r="L122" s="57"/>
      <c r="M122" s="57"/>
      <c r="N122" s="53"/>
      <c r="O122" s="53"/>
      <c r="P122" s="53"/>
      <c r="Q122" s="53"/>
      <c r="R122" s="57"/>
      <c r="S122" s="53"/>
      <c r="T122" s="53"/>
      <c r="U122" s="707"/>
      <c r="V122" s="53"/>
      <c r="W122" s="53"/>
      <c r="X122" s="53"/>
      <c r="Y122" s="53"/>
      <c r="Z122" s="53"/>
      <c r="AA122" s="56"/>
      <c r="AB122" s="54"/>
      <c r="AC122" s="54"/>
      <c r="AD122" s="54"/>
      <c r="AE122" s="54"/>
      <c r="AF122" s="132">
        <v>11</v>
      </c>
    </row>
    <row r="123" s="132" customFormat="1" ht="11.5" customHeight="1">
      <c r="A123" s="706"/>
      <c r="B123" s="57"/>
      <c r="C123" s="57"/>
      <c r="D123" s="132"/>
      <c r="K123" s="53"/>
      <c r="L123" s="57"/>
      <c r="M123" s="57"/>
      <c r="N123" s="53"/>
      <c r="O123" s="53"/>
      <c r="P123" s="53"/>
      <c r="Q123" s="53"/>
      <c r="R123" s="57"/>
      <c r="S123" s="53"/>
      <c r="T123" s="53"/>
      <c r="U123" s="707"/>
      <c r="V123" s="53"/>
      <c r="W123" s="53"/>
      <c r="X123" s="53"/>
      <c r="Y123" s="53"/>
      <c r="Z123" s="53"/>
      <c r="AA123" s="56"/>
      <c r="AB123" s="54"/>
      <c r="AC123" s="54"/>
      <c r="AD123" s="54"/>
      <c r="AE123" s="54"/>
      <c r="AF123" s="132">
        <v>11</v>
      </c>
    </row>
    <row r="124" s="132" customFormat="1" ht="11.5" customHeight="1">
      <c r="A124" s="706"/>
      <c r="B124" s="57"/>
      <c r="C124" s="57"/>
      <c r="D124" s="132"/>
      <c r="K124" s="53"/>
      <c r="L124" s="57"/>
      <c r="M124" s="57"/>
      <c r="N124" s="53"/>
      <c r="O124" s="53"/>
      <c r="P124" s="53"/>
      <c r="Q124" s="53"/>
      <c r="R124" s="57"/>
      <c r="S124" s="53"/>
      <c r="T124" s="53"/>
      <c r="U124" s="707"/>
      <c r="V124" s="53"/>
      <c r="W124" s="53"/>
      <c r="X124" s="53"/>
      <c r="Y124" s="53"/>
      <c r="Z124" s="53"/>
      <c r="AA124" s="56"/>
      <c r="AB124" s="54"/>
      <c r="AC124" s="54"/>
      <c r="AD124" s="54"/>
      <c r="AE124" s="54"/>
      <c r="AF124" s="132">
        <v>11</v>
      </c>
    </row>
    <row r="125" s="132" customFormat="1" ht="11.5" customHeight="1">
      <c r="A125" s="706"/>
      <c r="B125" s="57"/>
      <c r="C125" s="57"/>
      <c r="D125" s="132"/>
      <c r="K125" s="53"/>
      <c r="L125" s="57"/>
      <c r="M125" s="57"/>
      <c r="N125" s="53"/>
      <c r="O125" s="53"/>
      <c r="P125" s="53"/>
      <c r="Q125" s="53"/>
      <c r="R125" s="57"/>
      <c r="S125" s="53"/>
      <c r="T125" s="53"/>
      <c r="U125" s="707"/>
      <c r="V125" s="53"/>
      <c r="W125" s="53"/>
      <c r="X125" s="53"/>
      <c r="Y125" s="53"/>
      <c r="Z125" s="53"/>
      <c r="AA125" s="56"/>
      <c r="AB125" s="54"/>
      <c r="AC125" s="54"/>
      <c r="AD125" s="54"/>
      <c r="AE125" s="54"/>
      <c r="AF125" s="132">
        <v>11</v>
      </c>
    </row>
    <row r="126" s="132" customFormat="1" ht="11.5" customHeight="1">
      <c r="A126" s="706"/>
      <c r="B126" s="57"/>
      <c r="C126" s="57"/>
      <c r="D126" s="132"/>
      <c r="K126" s="53"/>
      <c r="L126" s="57"/>
      <c r="M126" s="57"/>
      <c r="N126" s="53"/>
      <c r="O126" s="53"/>
      <c r="P126" s="53"/>
      <c r="Q126" s="53"/>
      <c r="R126" s="57"/>
      <c r="S126" s="53"/>
      <c r="T126" s="53"/>
      <c r="U126" s="707"/>
      <c r="V126" s="53"/>
      <c r="W126" s="53"/>
      <c r="X126" s="53"/>
      <c r="Y126" s="53"/>
      <c r="Z126" s="53"/>
      <c r="AA126" s="56"/>
      <c r="AB126" s="54"/>
      <c r="AC126" s="54"/>
      <c r="AD126" s="54"/>
      <c r="AE126" s="54"/>
      <c r="AF126" s="132">
        <v>11</v>
      </c>
    </row>
    <row r="127" s="132" customFormat="1" ht="11.5" customHeight="1">
      <c r="A127" s="706"/>
      <c r="B127" s="57"/>
      <c r="C127" s="57"/>
      <c r="D127" s="132"/>
      <c r="K127" s="53"/>
      <c r="L127" s="57"/>
      <c r="M127" s="57"/>
      <c r="N127" s="53"/>
      <c r="O127" s="53"/>
      <c r="P127" s="53"/>
      <c r="Q127" s="53"/>
      <c r="R127" s="57"/>
      <c r="S127" s="53"/>
      <c r="T127" s="53"/>
      <c r="U127" s="707"/>
      <c r="V127" s="53"/>
      <c r="W127" s="53"/>
      <c r="X127" s="53"/>
      <c r="Y127" s="53"/>
      <c r="Z127" s="53"/>
      <c r="AA127" s="56"/>
      <c r="AB127" s="54"/>
      <c r="AC127" s="54"/>
      <c r="AD127" s="54"/>
      <c r="AE127" s="54"/>
      <c r="AF127" s="132">
        <v>11</v>
      </c>
    </row>
    <row r="128" s="132" customFormat="1" ht="11.5" customHeight="1">
      <c r="A128" s="706"/>
      <c r="B128" s="57"/>
      <c r="C128" s="57"/>
      <c r="D128" s="132"/>
      <c r="K128" s="53"/>
      <c r="L128" s="57"/>
      <c r="M128" s="57"/>
      <c r="N128" s="53"/>
      <c r="O128" s="53"/>
      <c r="P128" s="53"/>
      <c r="Q128" s="53"/>
      <c r="R128" s="57"/>
      <c r="S128" s="53"/>
      <c r="T128" s="53"/>
      <c r="U128" s="707"/>
      <c r="V128" s="53"/>
      <c r="W128" s="53"/>
      <c r="X128" s="53"/>
      <c r="Y128" s="53"/>
      <c r="Z128" s="53"/>
      <c r="AA128" s="56"/>
      <c r="AB128" s="54"/>
      <c r="AC128" s="54"/>
      <c r="AD128" s="54"/>
      <c r="AE128" s="54"/>
      <c r="AF128" s="132">
        <v>11</v>
      </c>
    </row>
    <row r="129" s="132" customFormat="1" ht="11.5" customHeight="1">
      <c r="A129" s="706"/>
      <c r="B129" s="57"/>
      <c r="C129" s="57"/>
      <c r="D129" s="132"/>
      <c r="K129" s="53"/>
      <c r="L129" s="57"/>
      <c r="M129" s="57"/>
      <c r="N129" s="53"/>
      <c r="O129" s="53"/>
      <c r="P129" s="53"/>
      <c r="Q129" s="53"/>
      <c r="R129" s="57"/>
      <c r="S129" s="53"/>
      <c r="T129" s="53"/>
      <c r="U129" s="707"/>
      <c r="V129" s="53"/>
      <c r="W129" s="53"/>
      <c r="X129" s="53"/>
      <c r="Y129" s="53"/>
      <c r="Z129" s="53"/>
      <c r="AA129" s="56"/>
      <c r="AB129" s="54"/>
      <c r="AC129" s="54"/>
      <c r="AD129" s="54"/>
      <c r="AE129" s="54"/>
      <c r="AF129" s="132">
        <v>11</v>
      </c>
    </row>
    <row r="130" s="132" customFormat="1" ht="11.5" customHeight="1">
      <c r="A130" s="706"/>
      <c r="B130" s="57"/>
      <c r="C130" s="57"/>
      <c r="D130" s="132"/>
      <c r="K130" s="53"/>
      <c r="L130" s="57"/>
      <c r="M130" s="57"/>
      <c r="N130" s="53"/>
      <c r="O130" s="53"/>
      <c r="P130" s="53"/>
      <c r="Q130" s="53"/>
      <c r="R130" s="57"/>
      <c r="S130" s="53"/>
      <c r="T130" s="53"/>
      <c r="U130" s="707"/>
      <c r="V130" s="53"/>
      <c r="W130" s="53"/>
      <c r="X130" s="53"/>
      <c r="Y130" s="53"/>
      <c r="Z130" s="53"/>
      <c r="AA130" s="56"/>
      <c r="AB130" s="54"/>
      <c r="AC130" s="54"/>
      <c r="AD130" s="54"/>
      <c r="AE130" s="54"/>
      <c r="AF130" s="132">
        <v>11</v>
      </c>
    </row>
    <row r="131" s="132" customFormat="1" ht="11.5" customHeight="1">
      <c r="A131" s="706"/>
      <c r="B131" s="57"/>
      <c r="C131" s="57"/>
      <c r="D131" s="132"/>
      <c r="K131" s="53"/>
      <c r="L131" s="57"/>
      <c r="M131" s="57"/>
      <c r="N131" s="53"/>
      <c r="O131" s="53"/>
      <c r="P131" s="53"/>
      <c r="Q131" s="53"/>
      <c r="R131" s="57"/>
      <c r="S131" s="53"/>
      <c r="T131" s="53"/>
      <c r="U131" s="707"/>
      <c r="V131" s="53"/>
      <c r="W131" s="53"/>
      <c r="X131" s="53"/>
      <c r="Y131" s="53"/>
      <c r="Z131" s="53"/>
      <c r="AA131" s="56"/>
      <c r="AB131" s="54"/>
      <c r="AC131" s="54"/>
      <c r="AD131" s="54"/>
      <c r="AE131" s="54"/>
      <c r="AF131" s="132">
        <v>11</v>
      </c>
    </row>
    <row r="132" s="132" customFormat="1" ht="11.5" customHeight="1">
      <c r="A132" s="706"/>
      <c r="B132" s="57"/>
      <c r="C132" s="57"/>
      <c r="D132" s="132"/>
      <c r="K132" s="53"/>
      <c r="L132" s="57"/>
      <c r="M132" s="57"/>
      <c r="N132" s="53"/>
      <c r="O132" s="53"/>
      <c r="P132" s="53"/>
      <c r="Q132" s="53"/>
      <c r="R132" s="57"/>
      <c r="S132" s="53"/>
      <c r="T132" s="53"/>
      <c r="U132" s="707"/>
      <c r="V132" s="53"/>
      <c r="W132" s="53"/>
      <c r="X132" s="53"/>
      <c r="Y132" s="53"/>
      <c r="Z132" s="53"/>
      <c r="AA132" s="56"/>
      <c r="AB132" s="54"/>
      <c r="AC132" s="54"/>
      <c r="AD132" s="54"/>
      <c r="AE132" s="54"/>
      <c r="AF132" s="132">
        <v>11</v>
      </c>
    </row>
    <row r="133" s="132" customFormat="1" ht="11.5" customHeight="1">
      <c r="A133" s="706"/>
      <c r="B133" s="57"/>
      <c r="C133" s="57"/>
      <c r="D133" s="132"/>
      <c r="K133" s="53"/>
      <c r="L133" s="57"/>
      <c r="M133" s="57"/>
      <c r="N133" s="53"/>
      <c r="O133" s="53"/>
      <c r="P133" s="53"/>
      <c r="Q133" s="53"/>
      <c r="R133" s="57"/>
      <c r="S133" s="53"/>
      <c r="T133" s="53"/>
      <c r="U133" s="707"/>
      <c r="V133" s="53"/>
      <c r="W133" s="53"/>
      <c r="X133" s="53"/>
      <c r="Y133" s="53"/>
      <c r="Z133" s="53"/>
      <c r="AA133" s="56"/>
      <c r="AB133" s="54"/>
      <c r="AC133" s="54"/>
      <c r="AD133" s="54"/>
      <c r="AE133" s="54"/>
      <c r="AF133" s="132">
        <v>11</v>
      </c>
    </row>
    <row r="134" s="132" customFormat="1" ht="11.5" customHeight="1">
      <c r="A134" s="706"/>
      <c r="B134" s="57"/>
      <c r="C134" s="57"/>
      <c r="D134" s="132"/>
      <c r="K134" s="53"/>
      <c r="L134" s="57"/>
      <c r="M134" s="57"/>
      <c r="N134" s="53"/>
      <c r="O134" s="53"/>
      <c r="P134" s="53"/>
      <c r="Q134" s="53"/>
      <c r="R134" s="57"/>
      <c r="S134" s="53"/>
      <c r="T134" s="53"/>
      <c r="U134" s="707"/>
      <c r="V134" s="53"/>
      <c r="W134" s="53"/>
      <c r="X134" s="53"/>
      <c r="Y134" s="53"/>
      <c r="Z134" s="53"/>
      <c r="AA134" s="56"/>
      <c r="AB134" s="54"/>
      <c r="AC134" s="54"/>
      <c r="AD134" s="54"/>
      <c r="AE134" s="54"/>
      <c r="AF134" s="132">
        <v>11</v>
      </c>
    </row>
    <row r="135" s="132" customFormat="1" ht="11.5" customHeight="1">
      <c r="A135" s="706"/>
      <c r="B135" s="57"/>
      <c r="C135" s="57"/>
      <c r="D135" s="132"/>
      <c r="K135" s="53"/>
      <c r="L135" s="57"/>
      <c r="M135" s="57"/>
      <c r="N135" s="53"/>
      <c r="O135" s="53"/>
      <c r="P135" s="53"/>
      <c r="Q135" s="53"/>
      <c r="R135" s="57"/>
      <c r="S135" s="53"/>
      <c r="T135" s="53"/>
      <c r="U135" s="707"/>
      <c r="V135" s="53"/>
      <c r="W135" s="53"/>
      <c r="X135" s="53"/>
      <c r="Y135" s="53"/>
      <c r="Z135" s="53"/>
      <c r="AA135" s="56"/>
      <c r="AB135" s="54"/>
      <c r="AC135" s="54"/>
      <c r="AD135" s="54"/>
      <c r="AE135" s="54"/>
      <c r="AF135" s="132">
        <v>11</v>
      </c>
    </row>
    <row r="136" s="132" customFormat="1" ht="11.5" customHeight="1">
      <c r="A136" s="706"/>
      <c r="B136" s="57"/>
      <c r="C136" s="57"/>
      <c r="D136" s="132"/>
      <c r="K136" s="53"/>
      <c r="L136" s="57"/>
      <c r="M136" s="57"/>
      <c r="N136" s="53"/>
      <c r="O136" s="53"/>
      <c r="P136" s="53"/>
      <c r="Q136" s="53"/>
      <c r="R136" s="57"/>
      <c r="S136" s="53"/>
      <c r="T136" s="53"/>
      <c r="U136" s="707"/>
      <c r="V136" s="53"/>
      <c r="W136" s="53"/>
      <c r="X136" s="53"/>
      <c r="Y136" s="53"/>
      <c r="Z136" s="53"/>
      <c r="AA136" s="56"/>
      <c r="AB136" s="54"/>
      <c r="AC136" s="54"/>
      <c r="AD136" s="54"/>
      <c r="AE136" s="54"/>
      <c r="AF136" s="132">
        <v>11</v>
      </c>
    </row>
    <row r="137" s="132" customFormat="1" ht="11.5" customHeight="1">
      <c r="A137" s="706"/>
      <c r="B137" s="57"/>
      <c r="C137" s="57"/>
      <c r="D137" s="132"/>
      <c r="K137" s="53"/>
      <c r="L137" s="57"/>
      <c r="M137" s="57"/>
      <c r="N137" s="53"/>
      <c r="O137" s="53"/>
      <c r="P137" s="53"/>
      <c r="Q137" s="53"/>
      <c r="R137" s="57"/>
      <c r="S137" s="53"/>
      <c r="T137" s="53"/>
      <c r="U137" s="707"/>
      <c r="V137" s="53"/>
      <c r="W137" s="53"/>
      <c r="X137" s="53"/>
      <c r="Y137" s="53"/>
      <c r="Z137" s="53"/>
      <c r="AA137" s="56"/>
      <c r="AB137" s="54"/>
      <c r="AC137" s="54"/>
      <c r="AD137" s="54"/>
      <c r="AE137" s="54"/>
      <c r="AF137" s="132">
        <v>11</v>
      </c>
    </row>
    <row r="138" s="132" customFormat="1" ht="11.5" customHeight="1">
      <c r="A138" s="706"/>
      <c r="B138" s="57"/>
      <c r="C138" s="57"/>
      <c r="D138" s="132"/>
      <c r="K138" s="53"/>
      <c r="L138" s="57"/>
      <c r="M138" s="57"/>
      <c r="N138" s="53"/>
      <c r="O138" s="53"/>
      <c r="P138" s="53"/>
      <c r="Q138" s="53"/>
      <c r="R138" s="57"/>
      <c r="S138" s="53"/>
      <c r="T138" s="53"/>
      <c r="U138" s="707"/>
      <c r="V138" s="53"/>
      <c r="W138" s="53"/>
      <c r="X138" s="53"/>
      <c r="Y138" s="53"/>
      <c r="Z138" s="53"/>
      <c r="AA138" s="56"/>
      <c r="AB138" s="54"/>
      <c r="AC138" s="54"/>
      <c r="AD138" s="54"/>
      <c r="AE138" s="54"/>
      <c r="AF138" s="132">
        <v>11</v>
      </c>
    </row>
    <row r="139" s="132" customFormat="1" ht="11.5" customHeight="1">
      <c r="A139" s="706"/>
      <c r="B139" s="57"/>
      <c r="C139" s="57"/>
      <c r="D139" s="132"/>
      <c r="K139" s="53"/>
      <c r="L139" s="57"/>
      <c r="M139" s="57"/>
      <c r="N139" s="53"/>
      <c r="O139" s="53"/>
      <c r="P139" s="53"/>
      <c r="Q139" s="53"/>
      <c r="R139" s="57"/>
      <c r="S139" s="53"/>
      <c r="T139" s="53"/>
      <c r="U139" s="707"/>
      <c r="V139" s="53"/>
      <c r="W139" s="53"/>
      <c r="X139" s="53"/>
      <c r="Y139" s="53"/>
      <c r="Z139" s="53"/>
      <c r="AA139" s="56"/>
      <c r="AB139" s="54"/>
      <c r="AC139" s="54"/>
      <c r="AD139" s="54"/>
      <c r="AE139" s="54"/>
      <c r="AF139" s="132">
        <v>11</v>
      </c>
    </row>
    <row r="140" s="132" customFormat="1" ht="11.5" customHeight="1">
      <c r="A140" s="706"/>
      <c r="B140" s="57"/>
      <c r="C140" s="57"/>
      <c r="D140" s="132"/>
      <c r="K140" s="53"/>
      <c r="L140" s="57"/>
      <c r="M140" s="57"/>
      <c r="N140" s="53"/>
      <c r="O140" s="53"/>
      <c r="P140" s="53"/>
      <c r="Q140" s="53"/>
      <c r="R140" s="57"/>
      <c r="S140" s="53"/>
      <c r="T140" s="53"/>
      <c r="U140" s="707"/>
      <c r="V140" s="53"/>
      <c r="W140" s="53"/>
      <c r="X140" s="53"/>
      <c r="Y140" s="53"/>
      <c r="Z140" s="53"/>
      <c r="AA140" s="56"/>
      <c r="AB140" s="54"/>
      <c r="AC140" s="54"/>
      <c r="AD140" s="54"/>
      <c r="AE140" s="54"/>
      <c r="AF140" s="132">
        <v>11</v>
      </c>
    </row>
    <row r="141" s="132" customFormat="1" ht="11.5" customHeight="1">
      <c r="A141" s="706"/>
      <c r="B141" s="57"/>
      <c r="C141" s="57"/>
      <c r="D141" s="132"/>
      <c r="K141" s="53"/>
      <c r="L141" s="57"/>
      <c r="M141" s="57"/>
      <c r="N141" s="53"/>
      <c r="O141" s="53"/>
      <c r="P141" s="53"/>
      <c r="Q141" s="53"/>
      <c r="R141" s="57"/>
      <c r="S141" s="53"/>
      <c r="T141" s="53"/>
      <c r="U141" s="707"/>
      <c r="V141" s="53"/>
      <c r="W141" s="53"/>
      <c r="X141" s="53"/>
      <c r="Y141" s="53"/>
      <c r="Z141" s="53"/>
      <c r="AA141" s="56"/>
      <c r="AB141" s="54"/>
      <c r="AC141" s="54"/>
      <c r="AD141" s="54"/>
      <c r="AE141" s="54"/>
      <c r="AF141" s="132">
        <v>11</v>
      </c>
    </row>
    <row r="142" s="132" customFormat="1" ht="11.5" customHeight="1">
      <c r="A142" s="706"/>
      <c r="B142" s="57"/>
      <c r="C142" s="57"/>
      <c r="D142" s="132"/>
      <c r="K142" s="53"/>
      <c r="L142" s="57"/>
      <c r="M142" s="57"/>
      <c r="N142" s="53"/>
      <c r="O142" s="53"/>
      <c r="P142" s="53"/>
      <c r="Q142" s="53"/>
      <c r="R142" s="57"/>
      <c r="S142" s="53"/>
      <c r="T142" s="53"/>
      <c r="U142" s="707"/>
      <c r="V142" s="53"/>
      <c r="W142" s="53"/>
      <c r="X142" s="53"/>
      <c r="Y142" s="53"/>
      <c r="Z142" s="53"/>
      <c r="AA142" s="56"/>
      <c r="AB142" s="54"/>
      <c r="AC142" s="54"/>
      <c r="AD142" s="54"/>
      <c r="AE142" s="54"/>
      <c r="AF142" s="132">
        <v>11</v>
      </c>
    </row>
    <row r="143" s="132" customFormat="1" ht="11.5" customHeight="1">
      <c r="A143" s="706"/>
      <c r="B143" s="57"/>
      <c r="C143" s="57"/>
      <c r="D143" s="132"/>
      <c r="K143" s="53"/>
      <c r="L143" s="57"/>
      <c r="M143" s="57"/>
      <c r="N143" s="53"/>
      <c r="O143" s="53"/>
      <c r="P143" s="53"/>
      <c r="Q143" s="53"/>
      <c r="R143" s="57"/>
      <c r="S143" s="53"/>
      <c r="T143" s="53"/>
      <c r="U143" s="707"/>
      <c r="V143" s="53"/>
      <c r="W143" s="53"/>
      <c r="X143" s="53"/>
      <c r="Y143" s="53"/>
      <c r="Z143" s="53"/>
      <c r="AA143" s="56"/>
      <c r="AB143" s="54"/>
      <c r="AC143" s="54"/>
      <c r="AD143" s="54"/>
      <c r="AE143" s="54"/>
      <c r="AF143" s="132">
        <v>11</v>
      </c>
    </row>
    <row r="144" s="132" customFormat="1" ht="11.5" customHeight="1">
      <c r="A144" s="706"/>
      <c r="B144" s="57"/>
      <c r="C144" s="57"/>
      <c r="D144" s="132"/>
      <c r="K144" s="53"/>
      <c r="L144" s="57"/>
      <c r="M144" s="57"/>
      <c r="N144" s="53"/>
      <c r="O144" s="53"/>
      <c r="P144" s="53"/>
      <c r="Q144" s="53"/>
      <c r="R144" s="57"/>
      <c r="S144" s="53"/>
      <c r="T144" s="53"/>
      <c r="U144" s="707"/>
      <c r="V144" s="53"/>
      <c r="W144" s="53"/>
      <c r="X144" s="53"/>
      <c r="Y144" s="53"/>
      <c r="Z144" s="53"/>
      <c r="AA144" s="56"/>
      <c r="AB144" s="54"/>
      <c r="AC144" s="54"/>
      <c r="AD144" s="54"/>
      <c r="AE144" s="54"/>
      <c r="AF144" s="132">
        <v>11</v>
      </c>
    </row>
    <row r="145" s="132" customFormat="1" ht="11.5" customHeight="1">
      <c r="A145" s="706"/>
      <c r="B145" s="57"/>
      <c r="C145" s="57"/>
      <c r="D145" s="132"/>
      <c r="K145" s="53"/>
      <c r="L145" s="57"/>
      <c r="M145" s="57"/>
      <c r="N145" s="53"/>
      <c r="O145" s="53"/>
      <c r="P145" s="53"/>
      <c r="Q145" s="53"/>
      <c r="R145" s="57"/>
      <c r="S145" s="53"/>
      <c r="T145" s="53"/>
      <c r="U145" s="707"/>
      <c r="V145" s="53"/>
      <c r="W145" s="53"/>
      <c r="X145" s="53"/>
      <c r="Y145" s="53"/>
      <c r="Z145" s="53"/>
      <c r="AA145" s="56"/>
      <c r="AB145" s="54"/>
      <c r="AC145" s="54"/>
      <c r="AD145" s="54"/>
      <c r="AE145" s="54"/>
      <c r="AF145" s="132">
        <v>11</v>
      </c>
    </row>
    <row r="146" s="132" customFormat="1" ht="11.5" customHeight="1">
      <c r="A146" s="706"/>
      <c r="B146" s="57"/>
      <c r="C146" s="57"/>
      <c r="D146" s="132"/>
      <c r="K146" s="53"/>
      <c r="L146" s="57"/>
      <c r="M146" s="57"/>
      <c r="N146" s="53"/>
      <c r="O146" s="53"/>
      <c r="P146" s="53"/>
      <c r="Q146" s="53"/>
      <c r="R146" s="57"/>
      <c r="S146" s="53"/>
      <c r="T146" s="53"/>
      <c r="U146" s="707"/>
      <c r="V146" s="53"/>
      <c r="W146" s="53"/>
      <c r="X146" s="53"/>
      <c r="Y146" s="53"/>
      <c r="Z146" s="53"/>
      <c r="AA146" s="56"/>
      <c r="AB146" s="54"/>
      <c r="AC146" s="54"/>
      <c r="AD146" s="54"/>
      <c r="AE146" s="54"/>
      <c r="AF146" s="132">
        <v>11</v>
      </c>
    </row>
    <row r="147" s="132" customFormat="1" ht="11.5" customHeight="1">
      <c r="A147" s="706"/>
      <c r="B147" s="57"/>
      <c r="C147" s="57"/>
      <c r="D147" s="132"/>
      <c r="K147" s="53"/>
      <c r="L147" s="57"/>
      <c r="M147" s="57"/>
      <c r="N147" s="53"/>
      <c r="O147" s="53"/>
      <c r="P147" s="53"/>
      <c r="Q147" s="53"/>
      <c r="R147" s="57"/>
      <c r="S147" s="53"/>
      <c r="T147" s="53"/>
      <c r="U147" s="707"/>
      <c r="V147" s="53"/>
      <c r="W147" s="53"/>
      <c r="X147" s="53"/>
      <c r="Y147" s="53"/>
      <c r="Z147" s="53"/>
      <c r="AA147" s="56"/>
      <c r="AB147" s="54"/>
      <c r="AC147" s="54"/>
      <c r="AD147" s="54"/>
      <c r="AE147" s="54"/>
      <c r="AF147" s="132">
        <v>11</v>
      </c>
    </row>
    <row r="148" s="132" customFormat="1" ht="11.5" customHeight="1">
      <c r="A148" s="706"/>
      <c r="B148" s="57"/>
      <c r="C148" s="57"/>
      <c r="D148" s="132"/>
      <c r="K148" s="53"/>
      <c r="L148" s="57"/>
      <c r="M148" s="57"/>
      <c r="N148" s="53"/>
      <c r="O148" s="53"/>
      <c r="P148" s="53"/>
      <c r="Q148" s="53"/>
      <c r="R148" s="57"/>
      <c r="S148" s="53"/>
      <c r="T148" s="53"/>
      <c r="U148" s="707"/>
      <c r="V148" s="53"/>
      <c r="W148" s="53"/>
      <c r="X148" s="53"/>
      <c r="Y148" s="53"/>
      <c r="Z148" s="53"/>
      <c r="AA148" s="56"/>
      <c r="AB148" s="54"/>
      <c r="AC148" s="54"/>
      <c r="AD148" s="54"/>
      <c r="AE148" s="54"/>
      <c r="AF148" s="132">
        <v>11</v>
      </c>
    </row>
    <row r="149" s="132" customFormat="1" ht="11.5" customHeight="1">
      <c r="A149" s="706"/>
      <c r="B149" s="57"/>
      <c r="C149" s="57"/>
      <c r="D149" s="132"/>
      <c r="K149" s="53"/>
      <c r="L149" s="57"/>
      <c r="M149" s="57"/>
      <c r="N149" s="53"/>
      <c r="O149" s="53"/>
      <c r="P149" s="53"/>
      <c r="Q149" s="53"/>
      <c r="R149" s="57"/>
      <c r="S149" s="53"/>
      <c r="T149" s="53"/>
      <c r="U149" s="707"/>
      <c r="V149" s="53"/>
      <c r="W149" s="53"/>
      <c r="X149" s="53"/>
      <c r="Y149" s="53"/>
      <c r="Z149" s="53"/>
      <c r="AA149" s="56"/>
      <c r="AB149" s="54"/>
      <c r="AC149" s="54"/>
      <c r="AD149" s="54"/>
      <c r="AE149" s="54"/>
      <c r="AF149" s="132">
        <v>11</v>
      </c>
    </row>
    <row r="150" s="132" customFormat="1" ht="11.5" customHeight="1">
      <c r="A150" s="706"/>
      <c r="B150" s="57"/>
      <c r="C150" s="57"/>
      <c r="D150" s="132"/>
      <c r="K150" s="53"/>
      <c r="L150" s="57"/>
      <c r="M150" s="57"/>
      <c r="N150" s="53"/>
      <c r="O150" s="53"/>
      <c r="P150" s="53"/>
      <c r="Q150" s="53"/>
      <c r="R150" s="57"/>
      <c r="S150" s="53"/>
      <c r="T150" s="53"/>
      <c r="U150" s="707"/>
      <c r="V150" s="53"/>
      <c r="W150" s="53"/>
      <c r="X150" s="53"/>
      <c r="Y150" s="53"/>
      <c r="Z150" s="53"/>
      <c r="AA150" s="56"/>
      <c r="AB150" s="54"/>
      <c r="AC150" s="54"/>
      <c r="AD150" s="54"/>
      <c r="AE150" s="54"/>
      <c r="AF150" s="132">
        <v>11</v>
      </c>
    </row>
    <row r="151" s="132" customFormat="1" ht="11.5" customHeight="1">
      <c r="A151" s="706"/>
      <c r="B151" s="57"/>
      <c r="C151" s="57"/>
      <c r="D151" s="132"/>
      <c r="K151" s="53"/>
      <c r="L151" s="57"/>
      <c r="M151" s="57"/>
      <c r="N151" s="53"/>
      <c r="O151" s="53"/>
      <c r="P151" s="53"/>
      <c r="Q151" s="53"/>
      <c r="R151" s="57"/>
      <c r="S151" s="53"/>
      <c r="T151" s="53"/>
      <c r="U151" s="707"/>
      <c r="V151" s="53"/>
      <c r="W151" s="53"/>
      <c r="X151" s="53"/>
      <c r="Y151" s="53"/>
      <c r="Z151" s="53"/>
      <c r="AA151" s="56"/>
      <c r="AB151" s="54"/>
      <c r="AC151" s="54"/>
      <c r="AD151" s="54"/>
      <c r="AE151" s="54"/>
      <c r="AF151" s="132">
        <v>11</v>
      </c>
    </row>
    <row r="152" s="132" customFormat="1" ht="11.5" customHeight="1">
      <c r="A152" s="706"/>
      <c r="B152" s="57"/>
      <c r="C152" s="57"/>
      <c r="D152" s="132"/>
      <c r="K152" s="53"/>
      <c r="L152" s="57"/>
      <c r="M152" s="57"/>
      <c r="N152" s="53"/>
      <c r="O152" s="53"/>
      <c r="P152" s="53"/>
      <c r="Q152" s="53"/>
      <c r="R152" s="57"/>
      <c r="S152" s="53"/>
      <c r="T152" s="53"/>
      <c r="U152" s="707"/>
      <c r="V152" s="53"/>
      <c r="W152" s="53"/>
      <c r="X152" s="53"/>
      <c r="Y152" s="53"/>
      <c r="Z152" s="53"/>
      <c r="AA152" s="56"/>
      <c r="AB152" s="54"/>
      <c r="AC152" s="54"/>
      <c r="AD152" s="54"/>
      <c r="AE152" s="54"/>
      <c r="AF152" s="132">
        <v>11</v>
      </c>
    </row>
    <row r="153" s="132" customFormat="1" ht="11.5" customHeight="1">
      <c r="A153" s="706"/>
      <c r="B153" s="57"/>
      <c r="C153" s="57"/>
      <c r="D153" s="132"/>
      <c r="K153" s="53"/>
      <c r="L153" s="57"/>
      <c r="M153" s="57"/>
      <c r="N153" s="53"/>
      <c r="O153" s="53"/>
      <c r="P153" s="53"/>
      <c r="Q153" s="53"/>
      <c r="R153" s="57"/>
      <c r="S153" s="53"/>
      <c r="T153" s="53"/>
      <c r="U153" s="707"/>
      <c r="V153" s="53"/>
      <c r="W153" s="53"/>
      <c r="X153" s="53"/>
      <c r="Y153" s="53"/>
      <c r="Z153" s="53"/>
      <c r="AA153" s="56"/>
      <c r="AB153" s="54"/>
      <c r="AC153" s="54"/>
      <c r="AD153" s="54"/>
      <c r="AE153" s="54"/>
      <c r="AF153" s="132">
        <v>11</v>
      </c>
    </row>
    <row r="154" s="132" customFormat="1" ht="11.5" customHeight="1">
      <c r="A154" s="706"/>
      <c r="B154" s="57"/>
      <c r="C154" s="57"/>
      <c r="D154" s="132"/>
      <c r="K154" s="53"/>
      <c r="L154" s="57"/>
      <c r="M154" s="57"/>
      <c r="N154" s="53"/>
      <c r="O154" s="53"/>
      <c r="P154" s="53"/>
      <c r="Q154" s="53"/>
      <c r="R154" s="57"/>
      <c r="S154" s="53"/>
      <c r="T154" s="53"/>
      <c r="U154" s="707"/>
      <c r="V154" s="53"/>
      <c r="W154" s="53"/>
      <c r="X154" s="53"/>
      <c r="Y154" s="53"/>
      <c r="Z154" s="53"/>
      <c r="AA154" s="56"/>
      <c r="AB154" s="54"/>
      <c r="AC154" s="54"/>
      <c r="AD154" s="54"/>
      <c r="AE154" s="54"/>
      <c r="AF154" s="132">
        <v>11</v>
      </c>
    </row>
    <row r="155" s="132" customFormat="1" ht="11.5" customHeight="1">
      <c r="A155" s="706"/>
      <c r="B155" s="57"/>
      <c r="C155" s="57"/>
      <c r="D155" s="132"/>
      <c r="K155" s="53"/>
      <c r="L155" s="57"/>
      <c r="M155" s="57"/>
      <c r="N155" s="53"/>
      <c r="O155" s="53"/>
      <c r="P155" s="53"/>
      <c r="Q155" s="53"/>
      <c r="R155" s="57"/>
      <c r="S155" s="53"/>
      <c r="T155" s="53"/>
      <c r="U155" s="707"/>
      <c r="V155" s="53"/>
      <c r="W155" s="53"/>
      <c r="X155" s="53"/>
      <c r="Y155" s="53"/>
      <c r="Z155" s="53"/>
      <c r="AA155" s="56"/>
      <c r="AB155" s="54"/>
      <c r="AC155" s="54"/>
      <c r="AD155" s="54"/>
      <c r="AE155" s="54"/>
      <c r="AF155" s="132">
        <v>11</v>
      </c>
    </row>
    <row r="156" s="132" customFormat="1" ht="11.5" customHeight="1">
      <c r="A156" s="706"/>
      <c r="B156" s="57"/>
      <c r="C156" s="57"/>
      <c r="D156" s="132"/>
      <c r="K156" s="53"/>
      <c r="L156" s="57"/>
      <c r="M156" s="57"/>
      <c r="N156" s="53"/>
      <c r="O156" s="53"/>
      <c r="P156" s="53"/>
      <c r="Q156" s="53"/>
      <c r="R156" s="57"/>
      <c r="S156" s="53"/>
      <c r="T156" s="53"/>
      <c r="U156" s="707"/>
      <c r="V156" s="53"/>
      <c r="W156" s="53"/>
      <c r="X156" s="53"/>
      <c r="Y156" s="53"/>
      <c r="Z156" s="53"/>
      <c r="AA156" s="56"/>
      <c r="AB156" s="54"/>
      <c r="AC156" s="54"/>
      <c r="AD156" s="54"/>
      <c r="AE156" s="54"/>
      <c r="AF156" s="132">
        <v>11</v>
      </c>
    </row>
    <row r="157" s="132" customFormat="1" ht="11.5" customHeight="1">
      <c r="A157" s="706"/>
      <c r="B157" s="57"/>
      <c r="C157" s="57"/>
      <c r="D157" s="132"/>
      <c r="K157" s="53"/>
      <c r="L157" s="57"/>
      <c r="M157" s="57"/>
      <c r="N157" s="53"/>
      <c r="O157" s="53"/>
      <c r="P157" s="53"/>
      <c r="Q157" s="53"/>
      <c r="R157" s="57"/>
      <c r="S157" s="53"/>
      <c r="T157" s="53"/>
      <c r="U157" s="707"/>
      <c r="V157" s="53"/>
      <c r="W157" s="53"/>
      <c r="X157" s="53"/>
      <c r="Y157" s="53"/>
      <c r="Z157" s="53"/>
      <c r="AA157" s="56"/>
      <c r="AB157" s="54"/>
      <c r="AC157" s="54"/>
      <c r="AD157" s="54"/>
      <c r="AE157" s="54"/>
      <c r="AF157" s="132">
        <v>11</v>
      </c>
    </row>
    <row r="158" s="132" customFormat="1" ht="11.5" customHeight="1">
      <c r="A158" s="706"/>
      <c r="B158" s="57"/>
      <c r="C158" s="57"/>
      <c r="D158" s="132"/>
      <c r="K158" s="53"/>
      <c r="L158" s="57"/>
      <c r="M158" s="57"/>
      <c r="N158" s="53"/>
      <c r="O158" s="53"/>
      <c r="P158" s="53"/>
      <c r="Q158" s="53"/>
      <c r="R158" s="57"/>
      <c r="S158" s="53"/>
      <c r="T158" s="53"/>
      <c r="U158" s="707"/>
      <c r="V158" s="53"/>
      <c r="W158" s="53"/>
      <c r="X158" s="53"/>
      <c r="Y158" s="53"/>
      <c r="Z158" s="53"/>
      <c r="AA158" s="56"/>
      <c r="AB158" s="54"/>
      <c r="AC158" s="54"/>
      <c r="AD158" s="54"/>
      <c r="AE158" s="54"/>
      <c r="AF158" s="132">
        <v>11</v>
      </c>
    </row>
    <row r="159" s="132" customFormat="1" ht="11.5" customHeight="1">
      <c r="A159" s="706"/>
      <c r="B159" s="57"/>
      <c r="C159" s="57"/>
      <c r="D159" s="132"/>
      <c r="K159" s="53"/>
      <c r="L159" s="57"/>
      <c r="M159" s="57"/>
      <c r="N159" s="53"/>
      <c r="O159" s="53"/>
      <c r="P159" s="53"/>
      <c r="Q159" s="53"/>
      <c r="R159" s="57"/>
      <c r="S159" s="53"/>
      <c r="T159" s="53"/>
      <c r="U159" s="707"/>
      <c r="V159" s="53"/>
      <c r="W159" s="53"/>
      <c r="X159" s="53"/>
      <c r="Y159" s="53"/>
      <c r="Z159" s="53"/>
      <c r="AA159" s="56"/>
      <c r="AB159" s="54"/>
      <c r="AC159" s="54"/>
      <c r="AD159" s="54"/>
      <c r="AE159" s="54"/>
      <c r="AF159" s="132">
        <v>11</v>
      </c>
    </row>
    <row r="160" s="132" customFormat="1" ht="11.5" customHeight="1">
      <c r="A160" s="706"/>
      <c r="B160" s="57"/>
      <c r="C160" s="57"/>
      <c r="D160" s="132"/>
      <c r="K160" s="53"/>
      <c r="L160" s="57"/>
      <c r="M160" s="57"/>
      <c r="N160" s="53"/>
      <c r="O160" s="53"/>
      <c r="P160" s="53"/>
      <c r="Q160" s="53"/>
      <c r="R160" s="57"/>
      <c r="S160" s="53"/>
      <c r="T160" s="53"/>
      <c r="U160" s="707"/>
      <c r="V160" s="53"/>
      <c r="W160" s="53"/>
      <c r="X160" s="53"/>
      <c r="Y160" s="53"/>
      <c r="Z160" s="53"/>
      <c r="AA160" s="56"/>
      <c r="AB160" s="54"/>
      <c r="AC160" s="54"/>
      <c r="AD160" s="54"/>
      <c r="AE160" s="54"/>
      <c r="AF160" s="132">
        <v>11</v>
      </c>
    </row>
    <row r="161" s="132" customFormat="1" ht="11.5" customHeight="1">
      <c r="A161" s="706"/>
      <c r="B161" s="57"/>
      <c r="C161" s="57"/>
      <c r="D161" s="132"/>
      <c r="K161" s="53"/>
      <c r="L161" s="57"/>
      <c r="M161" s="57"/>
      <c r="N161" s="53"/>
      <c r="O161" s="53"/>
      <c r="P161" s="53"/>
      <c r="Q161" s="53"/>
      <c r="R161" s="57"/>
      <c r="S161" s="53"/>
      <c r="T161" s="53"/>
      <c r="U161" s="707"/>
      <c r="V161" s="53"/>
      <c r="W161" s="53"/>
      <c r="X161" s="53"/>
      <c r="Y161" s="53"/>
      <c r="Z161" s="53"/>
      <c r="AA161" s="56"/>
      <c r="AB161" s="54"/>
      <c r="AC161" s="54"/>
      <c r="AD161" s="54"/>
      <c r="AE161" s="54"/>
      <c r="AF161" s="132">
        <v>11</v>
      </c>
    </row>
    <row r="162" s="132" customFormat="1" ht="11.5" customHeight="1">
      <c r="A162" s="706"/>
      <c r="B162" s="57"/>
      <c r="C162" s="57"/>
      <c r="D162" s="132"/>
      <c r="K162" s="53"/>
      <c r="L162" s="57"/>
      <c r="M162" s="57"/>
      <c r="N162" s="53"/>
      <c r="O162" s="53"/>
      <c r="P162" s="53"/>
      <c r="Q162" s="53"/>
      <c r="R162" s="57"/>
      <c r="S162" s="53"/>
      <c r="T162" s="53"/>
      <c r="U162" s="707"/>
      <c r="V162" s="53"/>
      <c r="W162" s="53"/>
      <c r="X162" s="53"/>
      <c r="Y162" s="53"/>
      <c r="Z162" s="53"/>
      <c r="AA162" s="56"/>
      <c r="AB162" s="54"/>
      <c r="AC162" s="54"/>
      <c r="AD162" s="54"/>
      <c r="AE162" s="54"/>
      <c r="AF162" s="132">
        <v>11</v>
      </c>
    </row>
    <row r="163" s="132" customFormat="1" ht="11.5" customHeight="1">
      <c r="A163" s="706"/>
      <c r="B163" s="57"/>
      <c r="C163" s="57"/>
      <c r="D163" s="132"/>
      <c r="K163" s="53"/>
      <c r="L163" s="57"/>
      <c r="M163" s="57"/>
      <c r="N163" s="53"/>
      <c r="O163" s="53"/>
      <c r="P163" s="53"/>
      <c r="Q163" s="53"/>
      <c r="R163" s="57"/>
      <c r="S163" s="53"/>
      <c r="T163" s="53"/>
      <c r="U163" s="707"/>
      <c r="V163" s="53"/>
      <c r="W163" s="53"/>
      <c r="X163" s="53"/>
      <c r="Y163" s="53"/>
      <c r="Z163" s="53"/>
      <c r="AA163" s="56"/>
      <c r="AB163" s="54"/>
      <c r="AC163" s="54"/>
      <c r="AD163" s="54"/>
      <c r="AE163" s="54"/>
      <c r="AF163" s="132">
        <v>11</v>
      </c>
    </row>
    <row r="164" s="132" customFormat="1" ht="11.5" customHeight="1">
      <c r="A164" s="706"/>
      <c r="B164" s="57"/>
      <c r="C164" s="57"/>
      <c r="D164" s="132"/>
      <c r="K164" s="53"/>
      <c r="L164" s="57"/>
      <c r="M164" s="57"/>
      <c r="N164" s="53"/>
      <c r="O164" s="53"/>
      <c r="P164" s="53"/>
      <c r="Q164" s="53"/>
      <c r="R164" s="57"/>
      <c r="S164" s="53"/>
      <c r="T164" s="53"/>
      <c r="U164" s="707"/>
      <c r="V164" s="53"/>
      <c r="W164" s="53"/>
      <c r="X164" s="53"/>
      <c r="Y164" s="53"/>
      <c r="Z164" s="53"/>
      <c r="AA164" s="56"/>
      <c r="AB164" s="54"/>
      <c r="AC164" s="54"/>
      <c r="AD164" s="54"/>
      <c r="AE164" s="54"/>
      <c r="AF164" s="132">
        <v>11</v>
      </c>
    </row>
    <row r="165" s="132" customFormat="1" ht="11.5" customHeight="1">
      <c r="A165" s="706"/>
      <c r="B165" s="57"/>
      <c r="C165" s="57"/>
      <c r="D165" s="132"/>
      <c r="K165" s="53"/>
      <c r="L165" s="57"/>
      <c r="M165" s="57"/>
      <c r="N165" s="53"/>
      <c r="O165" s="53"/>
      <c r="P165" s="53"/>
      <c r="Q165" s="53"/>
      <c r="R165" s="57"/>
      <c r="S165" s="53"/>
      <c r="T165" s="53"/>
      <c r="U165" s="707"/>
      <c r="V165" s="53"/>
      <c r="W165" s="53"/>
      <c r="X165" s="53"/>
      <c r="Y165" s="53"/>
      <c r="Z165" s="53"/>
      <c r="AA165" s="56"/>
      <c r="AB165" s="54"/>
      <c r="AC165" s="54"/>
      <c r="AD165" s="54"/>
      <c r="AE165" s="54"/>
      <c r="AF165" s="132">
        <v>11</v>
      </c>
    </row>
    <row r="166" s="132" customFormat="1" ht="11.5" customHeight="1">
      <c r="A166" s="706"/>
      <c r="B166" s="57"/>
      <c r="C166" s="57"/>
      <c r="D166" s="132"/>
      <c r="K166" s="53"/>
      <c r="L166" s="57"/>
      <c r="M166" s="57"/>
      <c r="N166" s="53"/>
      <c r="O166" s="53"/>
      <c r="P166" s="53"/>
      <c r="Q166" s="53"/>
      <c r="R166" s="57"/>
      <c r="S166" s="53"/>
      <c r="T166" s="53"/>
      <c r="U166" s="707"/>
      <c r="V166" s="53"/>
      <c r="W166" s="53"/>
      <c r="X166" s="53"/>
      <c r="Y166" s="53"/>
      <c r="Z166" s="53"/>
      <c r="AA166" s="56"/>
      <c r="AB166" s="54"/>
      <c r="AC166" s="54"/>
      <c r="AD166" s="54"/>
      <c r="AE166" s="54"/>
      <c r="AF166" s="132">
        <v>11</v>
      </c>
    </row>
    <row r="167" s="132" customFormat="1" ht="11.5" customHeight="1">
      <c r="A167" s="706"/>
      <c r="B167" s="57"/>
      <c r="C167" s="57"/>
      <c r="D167" s="132"/>
      <c r="K167" s="53"/>
      <c r="L167" s="57"/>
      <c r="M167" s="57"/>
      <c r="N167" s="53"/>
      <c r="O167" s="53"/>
      <c r="P167" s="53"/>
      <c r="Q167" s="53"/>
      <c r="R167" s="57"/>
      <c r="S167" s="53"/>
      <c r="T167" s="53"/>
      <c r="U167" s="707"/>
      <c r="V167" s="53"/>
      <c r="W167" s="53"/>
      <c r="X167" s="53"/>
      <c r="Y167" s="53"/>
      <c r="Z167" s="53"/>
      <c r="AA167" s="56"/>
      <c r="AB167" s="54"/>
      <c r="AC167" s="54"/>
      <c r="AD167" s="54"/>
      <c r="AE167" s="54"/>
      <c r="AF167" s="132">
        <v>11</v>
      </c>
    </row>
    <row r="168" s="132" customFormat="1" ht="11.5" customHeight="1">
      <c r="A168" s="706"/>
      <c r="B168" s="57"/>
      <c r="C168" s="57"/>
      <c r="D168" s="132"/>
      <c r="K168" s="53"/>
      <c r="L168" s="57"/>
      <c r="M168" s="57"/>
      <c r="N168" s="53"/>
      <c r="O168" s="53"/>
      <c r="P168" s="53"/>
      <c r="Q168" s="53"/>
      <c r="R168" s="57"/>
      <c r="S168" s="53"/>
      <c r="T168" s="53"/>
      <c r="U168" s="707"/>
      <c r="V168" s="53"/>
      <c r="W168" s="53"/>
      <c r="X168" s="53"/>
      <c r="Y168" s="53"/>
      <c r="Z168" s="53"/>
      <c r="AA168" s="56"/>
      <c r="AB168" s="54"/>
      <c r="AC168" s="54"/>
      <c r="AD168" s="54"/>
      <c r="AE168" s="54"/>
      <c r="AF168" s="132">
        <v>11</v>
      </c>
    </row>
    <row r="169" s="132" customFormat="1" ht="11.5" customHeight="1">
      <c r="A169" s="706"/>
      <c r="B169" s="57"/>
      <c r="C169" s="57"/>
      <c r="D169" s="132"/>
      <c r="K169" s="53"/>
      <c r="L169" s="57"/>
      <c r="M169" s="57"/>
      <c r="N169" s="53"/>
      <c r="O169" s="53"/>
      <c r="P169" s="53"/>
      <c r="Q169" s="53"/>
      <c r="R169" s="57"/>
      <c r="S169" s="53"/>
      <c r="T169" s="53"/>
      <c r="U169" s="707"/>
      <c r="V169" s="53"/>
      <c r="W169" s="53"/>
      <c r="X169" s="53"/>
      <c r="Y169" s="53"/>
      <c r="Z169" s="53"/>
      <c r="AA169" s="56"/>
      <c r="AB169" s="54"/>
      <c r="AC169" s="54"/>
      <c r="AD169" s="54"/>
      <c r="AE169" s="54"/>
      <c r="AF169" s="132">
        <v>11</v>
      </c>
    </row>
    <row r="170" s="132" customFormat="1" ht="11.5" customHeight="1">
      <c r="A170" s="706"/>
      <c r="B170" s="57"/>
      <c r="C170" s="57"/>
      <c r="D170" s="132"/>
      <c r="K170" s="53"/>
      <c r="L170" s="57"/>
      <c r="M170" s="57"/>
      <c r="N170" s="53"/>
      <c r="O170" s="53"/>
      <c r="P170" s="53"/>
      <c r="Q170" s="53"/>
      <c r="R170" s="57"/>
      <c r="S170" s="53"/>
      <c r="T170" s="53"/>
      <c r="U170" s="707"/>
      <c r="V170" s="53"/>
      <c r="W170" s="53"/>
      <c r="X170" s="53"/>
      <c r="Y170" s="53"/>
      <c r="Z170" s="53"/>
      <c r="AA170" s="56"/>
      <c r="AB170" s="54"/>
      <c r="AC170" s="54"/>
      <c r="AD170" s="54"/>
      <c r="AE170" s="54"/>
      <c r="AF170" s="132">
        <v>11</v>
      </c>
    </row>
    <row r="171" s="132" customFormat="1" ht="11.5" customHeight="1">
      <c r="A171" s="706"/>
      <c r="B171" s="57"/>
      <c r="C171" s="57"/>
      <c r="D171" s="132"/>
      <c r="K171" s="53"/>
      <c r="L171" s="57"/>
      <c r="M171" s="57"/>
      <c r="N171" s="53"/>
      <c r="O171" s="53"/>
      <c r="P171" s="53"/>
      <c r="Q171" s="53"/>
      <c r="R171" s="57"/>
      <c r="S171" s="53"/>
      <c r="T171" s="53"/>
      <c r="U171" s="707"/>
      <c r="V171" s="53"/>
      <c r="W171" s="53"/>
      <c r="X171" s="53"/>
      <c r="Y171" s="53"/>
      <c r="Z171" s="53"/>
      <c r="AA171" s="56"/>
      <c r="AB171" s="54"/>
      <c r="AC171" s="54"/>
      <c r="AD171" s="54"/>
      <c r="AE171" s="54"/>
      <c r="AF171" s="132">
        <v>11</v>
      </c>
    </row>
    <row r="172" s="132" customFormat="1" ht="11.5" customHeight="1">
      <c r="A172" s="706"/>
      <c r="B172" s="57"/>
      <c r="C172" s="57"/>
      <c r="D172" s="132"/>
      <c r="K172" s="53"/>
      <c r="L172" s="57"/>
      <c r="M172" s="57"/>
      <c r="N172" s="53"/>
      <c r="O172" s="53"/>
      <c r="P172" s="53"/>
      <c r="Q172" s="53"/>
      <c r="R172" s="57"/>
      <c r="S172" s="53"/>
      <c r="T172" s="53"/>
      <c r="U172" s="707"/>
      <c r="V172" s="53"/>
      <c r="W172" s="53"/>
      <c r="X172" s="53"/>
      <c r="Y172" s="53"/>
      <c r="Z172" s="53"/>
      <c r="AA172" s="56"/>
      <c r="AB172" s="54"/>
      <c r="AC172" s="54"/>
      <c r="AD172" s="54"/>
      <c r="AE172" s="54"/>
      <c r="AF172" s="132">
        <v>11</v>
      </c>
    </row>
    <row r="173" s="132" customFormat="1" ht="11.5" customHeight="1">
      <c r="A173" s="706"/>
      <c r="B173" s="57"/>
      <c r="C173" s="57"/>
      <c r="D173" s="132"/>
      <c r="K173" s="53"/>
      <c r="L173" s="57"/>
      <c r="M173" s="57"/>
      <c r="N173" s="53"/>
      <c r="O173" s="53"/>
      <c r="P173" s="53"/>
      <c r="Q173" s="53"/>
      <c r="R173" s="57"/>
      <c r="S173" s="53"/>
      <c r="T173" s="53"/>
      <c r="U173" s="707"/>
      <c r="V173" s="53"/>
      <c r="W173" s="53"/>
      <c r="X173" s="53"/>
      <c r="Y173" s="53"/>
      <c r="Z173" s="53"/>
      <c r="AA173" s="56"/>
      <c r="AB173" s="54"/>
      <c r="AC173" s="54"/>
      <c r="AD173" s="54"/>
      <c r="AE173" s="54"/>
      <c r="AF173" s="132">
        <v>11</v>
      </c>
    </row>
    <row r="174" s="132" customFormat="1" ht="11.5" customHeight="1">
      <c r="A174" s="706"/>
      <c r="B174" s="57"/>
      <c r="C174" s="57"/>
      <c r="D174" s="132"/>
      <c r="K174" s="53"/>
      <c r="L174" s="57"/>
      <c r="M174" s="57"/>
      <c r="N174" s="53"/>
      <c r="O174" s="53"/>
      <c r="P174" s="53"/>
      <c r="Q174" s="53"/>
      <c r="R174" s="57"/>
      <c r="S174" s="53"/>
      <c r="T174" s="53"/>
      <c r="U174" s="707"/>
      <c r="V174" s="53"/>
      <c r="W174" s="53"/>
      <c r="X174" s="53"/>
      <c r="Y174" s="53"/>
      <c r="Z174" s="53"/>
      <c r="AA174" s="56"/>
      <c r="AB174" s="54"/>
      <c r="AC174" s="54"/>
      <c r="AD174" s="54"/>
      <c r="AE174" s="54"/>
      <c r="AF174" s="132">
        <v>11</v>
      </c>
    </row>
    <row r="175" s="132" customFormat="1" ht="11.5" customHeight="1">
      <c r="A175" s="706"/>
      <c r="B175" s="57"/>
      <c r="C175" s="57"/>
      <c r="D175" s="132"/>
      <c r="K175" s="53"/>
      <c r="L175" s="57"/>
      <c r="M175" s="57"/>
      <c r="N175" s="53"/>
      <c r="O175" s="53"/>
      <c r="P175" s="53"/>
      <c r="Q175" s="53"/>
      <c r="R175" s="57"/>
      <c r="S175" s="53"/>
      <c r="T175" s="53"/>
      <c r="U175" s="707"/>
      <c r="V175" s="53"/>
      <c r="W175" s="53"/>
      <c r="X175" s="53"/>
      <c r="Y175" s="53"/>
      <c r="Z175" s="53"/>
      <c r="AA175" s="56"/>
      <c r="AB175" s="54"/>
      <c r="AC175" s="54"/>
      <c r="AD175" s="54"/>
      <c r="AE175" s="54"/>
      <c r="AF175" s="132">
        <v>11</v>
      </c>
    </row>
    <row r="176" s="132" customFormat="1" ht="11.5" customHeight="1">
      <c r="A176" s="706"/>
      <c r="B176" s="57"/>
      <c r="C176" s="57"/>
      <c r="D176" s="132"/>
      <c r="K176" s="53"/>
      <c r="L176" s="57"/>
      <c r="M176" s="57"/>
      <c r="N176" s="53"/>
      <c r="O176" s="53"/>
      <c r="P176" s="53"/>
      <c r="Q176" s="53"/>
      <c r="R176" s="57"/>
      <c r="S176" s="53"/>
      <c r="T176" s="53"/>
      <c r="U176" s="707"/>
      <c r="V176" s="53"/>
      <c r="W176" s="53"/>
      <c r="X176" s="53"/>
      <c r="Y176" s="53"/>
      <c r="Z176" s="53"/>
      <c r="AA176" s="56"/>
      <c r="AB176" s="54"/>
      <c r="AC176" s="54"/>
      <c r="AD176" s="54"/>
      <c r="AE176" s="54"/>
      <c r="AF176" s="132">
        <v>11</v>
      </c>
    </row>
    <row r="177" s="132" customFormat="1" ht="11.5" customHeight="1">
      <c r="A177" s="706"/>
      <c r="B177" s="57"/>
      <c r="C177" s="57"/>
      <c r="D177" s="132"/>
      <c r="K177" s="53"/>
      <c r="L177" s="57"/>
      <c r="M177" s="57"/>
      <c r="N177" s="53"/>
      <c r="O177" s="53"/>
      <c r="P177" s="53"/>
      <c r="Q177" s="53"/>
      <c r="R177" s="57"/>
      <c r="S177" s="53"/>
      <c r="T177" s="53"/>
      <c r="U177" s="707"/>
      <c r="V177" s="53"/>
      <c r="W177" s="53"/>
      <c r="X177" s="53"/>
      <c r="Y177" s="53"/>
      <c r="Z177" s="53"/>
      <c r="AA177" s="56"/>
      <c r="AB177" s="54"/>
      <c r="AC177" s="54"/>
      <c r="AD177" s="54"/>
      <c r="AE177" s="54"/>
      <c r="AF177" s="132">
        <v>11</v>
      </c>
    </row>
    <row r="178" s="132" customFormat="1" ht="11.5" customHeight="1">
      <c r="A178" s="706"/>
      <c r="B178" s="57"/>
      <c r="C178" s="57"/>
      <c r="D178" s="132"/>
      <c r="K178" s="53"/>
      <c r="L178" s="57"/>
      <c r="M178" s="57"/>
      <c r="N178" s="53"/>
      <c r="O178" s="53"/>
      <c r="P178" s="53"/>
      <c r="Q178" s="53"/>
      <c r="R178" s="57"/>
      <c r="S178" s="53"/>
      <c r="T178" s="53"/>
      <c r="U178" s="707"/>
      <c r="V178" s="53"/>
      <c r="W178" s="53"/>
      <c r="X178" s="53"/>
      <c r="Y178" s="53"/>
      <c r="Z178" s="53"/>
      <c r="AA178" s="56"/>
      <c r="AB178" s="54"/>
      <c r="AC178" s="54"/>
      <c r="AD178" s="54"/>
      <c r="AE178" s="54"/>
      <c r="AF178" s="132">
        <v>11</v>
      </c>
    </row>
    <row r="179" s="132" customFormat="1" ht="11.5" customHeight="1">
      <c r="A179" s="706"/>
      <c r="B179" s="57"/>
      <c r="C179" s="57"/>
      <c r="D179" s="132"/>
      <c r="K179" s="53"/>
      <c r="L179" s="57"/>
      <c r="M179" s="57"/>
      <c r="N179" s="53"/>
      <c r="O179" s="53"/>
      <c r="P179" s="53"/>
      <c r="Q179" s="53"/>
      <c r="R179" s="57"/>
      <c r="S179" s="53"/>
      <c r="T179" s="53"/>
      <c r="U179" s="707"/>
      <c r="V179" s="53"/>
      <c r="W179" s="53"/>
      <c r="X179" s="53"/>
      <c r="Y179" s="53"/>
      <c r="Z179" s="53"/>
      <c r="AA179" s="56"/>
      <c r="AB179" s="54"/>
      <c r="AC179" s="54"/>
      <c r="AD179" s="54"/>
      <c r="AE179" s="54"/>
      <c r="AF179" s="132">
        <v>11</v>
      </c>
    </row>
    <row r="180" s="132" customFormat="1" ht="11.5" customHeight="1">
      <c r="A180" s="706"/>
      <c r="B180" s="57"/>
      <c r="C180" s="57"/>
      <c r="D180" s="132"/>
      <c r="K180" s="53"/>
      <c r="L180" s="57"/>
      <c r="M180" s="57"/>
      <c r="N180" s="53"/>
      <c r="O180" s="53"/>
      <c r="P180" s="53"/>
      <c r="Q180" s="53"/>
      <c r="R180" s="57"/>
      <c r="S180" s="53"/>
      <c r="T180" s="53"/>
      <c r="U180" s="707"/>
      <c r="V180" s="53"/>
      <c r="W180" s="53"/>
      <c r="X180" s="53"/>
      <c r="Y180" s="53"/>
      <c r="Z180" s="53"/>
      <c r="AA180" s="56"/>
      <c r="AB180" s="54"/>
      <c r="AC180" s="54"/>
      <c r="AD180" s="54"/>
      <c r="AE180" s="54"/>
      <c r="AF180" s="132">
        <v>11</v>
      </c>
    </row>
    <row r="181" s="132" customFormat="1" ht="11.5" customHeight="1">
      <c r="A181" s="706"/>
      <c r="B181" s="57"/>
      <c r="C181" s="57"/>
      <c r="D181" s="132"/>
      <c r="K181" s="53"/>
      <c r="L181" s="57"/>
      <c r="M181" s="57"/>
      <c r="N181" s="53"/>
      <c r="O181" s="53"/>
      <c r="P181" s="53"/>
      <c r="Q181" s="53"/>
      <c r="R181" s="57"/>
      <c r="S181" s="53"/>
      <c r="T181" s="53"/>
      <c r="U181" s="707"/>
      <c r="V181" s="53"/>
      <c r="W181" s="53"/>
      <c r="X181" s="53"/>
      <c r="Y181" s="53"/>
      <c r="Z181" s="53"/>
      <c r="AA181" s="56"/>
      <c r="AB181" s="54"/>
      <c r="AC181" s="54"/>
      <c r="AD181" s="54"/>
      <c r="AE181" s="54"/>
      <c r="AF181" s="132">
        <v>11</v>
      </c>
    </row>
    <row r="182" s="132" customFormat="1" ht="11.5" customHeight="1">
      <c r="A182" s="706"/>
      <c r="B182" s="57"/>
      <c r="C182" s="57"/>
      <c r="D182" s="132"/>
      <c r="K182" s="53"/>
      <c r="L182" s="57"/>
      <c r="M182" s="57"/>
      <c r="N182" s="53"/>
      <c r="O182" s="53"/>
      <c r="P182" s="53"/>
      <c r="Q182" s="53"/>
      <c r="R182" s="57"/>
      <c r="S182" s="53"/>
      <c r="T182" s="53"/>
      <c r="U182" s="707"/>
      <c r="V182" s="53"/>
      <c r="W182" s="53"/>
      <c r="X182" s="53"/>
      <c r="Y182" s="53"/>
      <c r="Z182" s="53"/>
      <c r="AA182" s="56"/>
      <c r="AB182" s="54"/>
      <c r="AC182" s="54"/>
      <c r="AD182" s="54"/>
      <c r="AE182" s="54"/>
      <c r="AF182" s="132">
        <v>11</v>
      </c>
    </row>
    <row r="183" s="132" customFormat="1" ht="11.5" customHeight="1">
      <c r="A183" s="706"/>
      <c r="B183" s="57"/>
      <c r="C183" s="57"/>
      <c r="D183" s="132"/>
      <c r="K183" s="53"/>
      <c r="L183" s="57"/>
      <c r="M183" s="57"/>
      <c r="N183" s="53"/>
      <c r="O183" s="53"/>
      <c r="P183" s="53"/>
      <c r="Q183" s="53"/>
      <c r="R183" s="57"/>
      <c r="S183" s="53"/>
      <c r="T183" s="53"/>
      <c r="U183" s="707"/>
      <c r="V183" s="53"/>
      <c r="W183" s="53"/>
      <c r="X183" s="53"/>
      <c r="Y183" s="53"/>
      <c r="Z183" s="53"/>
      <c r="AA183" s="56"/>
      <c r="AB183" s="54"/>
      <c r="AC183" s="54"/>
      <c r="AD183" s="54"/>
      <c r="AE183" s="54"/>
      <c r="AF183" s="132">
        <v>11</v>
      </c>
    </row>
    <row r="184" s="132" customFormat="1" ht="11.5" customHeight="1">
      <c r="A184" s="706"/>
      <c r="B184" s="57"/>
      <c r="C184" s="57"/>
      <c r="D184" s="132"/>
      <c r="K184" s="53"/>
      <c r="L184" s="57"/>
      <c r="M184" s="57"/>
      <c r="N184" s="53"/>
      <c r="O184" s="53"/>
      <c r="P184" s="53"/>
      <c r="Q184" s="53"/>
      <c r="R184" s="57"/>
      <c r="S184" s="53"/>
      <c r="T184" s="53"/>
      <c r="U184" s="707"/>
      <c r="V184" s="53"/>
      <c r="W184" s="53"/>
      <c r="X184" s="53"/>
      <c r="Y184" s="53"/>
      <c r="Z184" s="53"/>
      <c r="AA184" s="56"/>
      <c r="AB184" s="54"/>
      <c r="AC184" s="54"/>
      <c r="AD184" s="54"/>
      <c r="AE184" s="54"/>
      <c r="AF184" s="132">
        <v>11</v>
      </c>
    </row>
    <row r="185" s="132" customFormat="1" ht="11.5" customHeight="1">
      <c r="A185" s="706"/>
      <c r="B185" s="57"/>
      <c r="C185" s="57"/>
      <c r="D185" s="132"/>
      <c r="K185" s="53"/>
      <c r="L185" s="57"/>
      <c r="M185" s="57"/>
      <c r="N185" s="53"/>
      <c r="O185" s="53"/>
      <c r="P185" s="53"/>
      <c r="Q185" s="53"/>
      <c r="R185" s="57"/>
      <c r="S185" s="53"/>
      <c r="T185" s="53"/>
      <c r="U185" s="707"/>
      <c r="V185" s="53"/>
      <c r="W185" s="53"/>
      <c r="X185" s="53"/>
      <c r="Y185" s="53"/>
      <c r="Z185" s="53"/>
      <c r="AA185" s="56"/>
      <c r="AB185" s="54"/>
      <c r="AC185" s="54"/>
      <c r="AD185" s="54"/>
      <c r="AE185" s="54"/>
      <c r="AF185" s="132">
        <v>11</v>
      </c>
    </row>
    <row r="186" s="132" customFormat="1" ht="11.5" customHeight="1">
      <c r="A186" s="706"/>
      <c r="B186" s="57"/>
      <c r="C186" s="57"/>
      <c r="D186" s="132"/>
      <c r="K186" s="53"/>
      <c r="L186" s="57"/>
      <c r="M186" s="57"/>
      <c r="N186" s="53"/>
      <c r="O186" s="53"/>
      <c r="P186" s="53"/>
      <c r="Q186" s="53"/>
      <c r="R186" s="57"/>
      <c r="S186" s="53"/>
      <c r="T186" s="53"/>
      <c r="U186" s="707"/>
      <c r="V186" s="53"/>
      <c r="W186" s="53"/>
      <c r="X186" s="53"/>
      <c r="Y186" s="53"/>
      <c r="Z186" s="53"/>
      <c r="AA186" s="56"/>
      <c r="AB186" s="54"/>
      <c r="AC186" s="54"/>
      <c r="AD186" s="54"/>
      <c r="AE186" s="54"/>
      <c r="AF186" s="132">
        <v>11</v>
      </c>
    </row>
    <row r="187" s="132" customFormat="1" ht="11.5" customHeight="1">
      <c r="A187" s="706"/>
      <c r="B187" s="57"/>
      <c r="C187" s="57"/>
      <c r="D187" s="132"/>
      <c r="K187" s="53"/>
      <c r="L187" s="57"/>
      <c r="M187" s="57"/>
      <c r="N187" s="53"/>
      <c r="O187" s="53"/>
      <c r="P187" s="53"/>
      <c r="Q187" s="53"/>
      <c r="R187" s="57"/>
      <c r="S187" s="53"/>
      <c r="T187" s="53"/>
      <c r="U187" s="707"/>
      <c r="V187" s="53"/>
      <c r="W187" s="53"/>
      <c r="X187" s="53"/>
      <c r="Y187" s="53"/>
      <c r="Z187" s="53"/>
      <c r="AA187" s="56"/>
      <c r="AB187" s="54"/>
      <c r="AC187" s="54"/>
      <c r="AD187" s="54"/>
      <c r="AE187" s="54"/>
      <c r="AF187" s="132">
        <v>11</v>
      </c>
    </row>
    <row r="188" s="132" customFormat="1" ht="11.5" customHeight="1">
      <c r="A188" s="706"/>
      <c r="B188" s="57"/>
      <c r="C188" s="57"/>
      <c r="D188" s="132"/>
      <c r="K188" s="53"/>
      <c r="L188" s="57"/>
      <c r="M188" s="57"/>
      <c r="N188" s="53"/>
      <c r="O188" s="53"/>
      <c r="P188" s="53"/>
      <c r="Q188" s="53"/>
      <c r="R188" s="57"/>
      <c r="S188" s="53"/>
      <c r="T188" s="53"/>
      <c r="U188" s="707"/>
      <c r="V188" s="53"/>
      <c r="W188" s="53"/>
      <c r="X188" s="53"/>
      <c r="Y188" s="53"/>
      <c r="Z188" s="53"/>
      <c r="AA188" s="56"/>
      <c r="AB188" s="54"/>
      <c r="AC188" s="54"/>
      <c r="AD188" s="54"/>
      <c r="AE188" s="54"/>
      <c r="AF188" s="132">
        <v>11</v>
      </c>
    </row>
    <row r="189" s="132" customFormat="1" ht="11.5" customHeight="1">
      <c r="A189" s="706"/>
      <c r="B189" s="57"/>
      <c r="C189" s="57"/>
      <c r="D189" s="132"/>
      <c r="K189" s="53"/>
      <c r="L189" s="57"/>
      <c r="M189" s="57"/>
      <c r="N189" s="53"/>
      <c r="O189" s="53"/>
      <c r="P189" s="53"/>
      <c r="Q189" s="53"/>
      <c r="R189" s="57"/>
      <c r="S189" s="53"/>
      <c r="T189" s="53"/>
      <c r="U189" s="707"/>
      <c r="V189" s="53"/>
      <c r="W189" s="53"/>
      <c r="X189" s="53"/>
      <c r="Y189" s="53"/>
      <c r="Z189" s="53"/>
      <c r="AA189" s="56"/>
      <c r="AB189" s="54"/>
      <c r="AC189" s="54"/>
      <c r="AD189" s="54"/>
      <c r="AE189" s="54"/>
      <c r="AF189" s="132">
        <v>11</v>
      </c>
    </row>
    <row r="190" s="132" customFormat="1" ht="11.5" customHeight="1">
      <c r="A190" s="706"/>
      <c r="B190" s="57"/>
      <c r="C190" s="57"/>
      <c r="D190" s="132"/>
      <c r="K190" s="53"/>
      <c r="L190" s="57"/>
      <c r="M190" s="57"/>
      <c r="N190" s="53"/>
      <c r="O190" s="53"/>
      <c r="P190" s="53"/>
      <c r="Q190" s="53"/>
      <c r="R190" s="57"/>
      <c r="S190" s="53"/>
      <c r="T190" s="53"/>
      <c r="U190" s="707"/>
      <c r="V190" s="53"/>
      <c r="W190" s="53"/>
      <c r="X190" s="53"/>
      <c r="Y190" s="53"/>
      <c r="Z190" s="53"/>
      <c r="AA190" s="56"/>
      <c r="AB190" s="54"/>
      <c r="AC190" s="54"/>
      <c r="AD190" s="54"/>
      <c r="AE190" s="54"/>
      <c r="AF190" s="132">
        <v>11</v>
      </c>
    </row>
    <row r="191" s="132" customFormat="1" ht="11.5" customHeight="1">
      <c r="A191" s="706"/>
      <c r="B191" s="57"/>
      <c r="C191" s="57"/>
      <c r="D191" s="132"/>
      <c r="K191" s="53"/>
      <c r="L191" s="57"/>
      <c r="M191" s="57"/>
      <c r="N191" s="53"/>
      <c r="O191" s="53"/>
      <c r="P191" s="53"/>
      <c r="Q191" s="53"/>
      <c r="R191" s="57"/>
      <c r="S191" s="53"/>
      <c r="T191" s="53"/>
      <c r="U191" s="707"/>
      <c r="V191" s="53"/>
      <c r="W191" s="53"/>
      <c r="X191" s="53"/>
      <c r="Y191" s="53"/>
      <c r="Z191" s="53"/>
      <c r="AA191" s="56"/>
      <c r="AB191" s="54"/>
      <c r="AC191" s="54"/>
      <c r="AD191" s="54"/>
      <c r="AE191" s="54"/>
      <c r="AF191" s="132">
        <v>11</v>
      </c>
    </row>
    <row r="192" s="132" customFormat="1" ht="11.5" customHeight="1">
      <c r="A192" s="706"/>
      <c r="B192" s="57"/>
      <c r="C192" s="57"/>
      <c r="D192" s="132"/>
      <c r="K192" s="53"/>
      <c r="L192" s="57"/>
      <c r="M192" s="57"/>
      <c r="N192" s="53"/>
      <c r="O192" s="53"/>
      <c r="P192" s="53"/>
      <c r="Q192" s="53"/>
      <c r="R192" s="57"/>
      <c r="S192" s="53"/>
      <c r="T192" s="53"/>
      <c r="U192" s="707"/>
      <c r="V192" s="53"/>
      <c r="W192" s="53"/>
      <c r="X192" s="53"/>
      <c r="Y192" s="53"/>
      <c r="Z192" s="53"/>
      <c r="AA192" s="56"/>
      <c r="AB192" s="54"/>
      <c r="AC192" s="54"/>
      <c r="AD192" s="54"/>
      <c r="AE192" s="54"/>
      <c r="AF192" s="132">
        <v>11</v>
      </c>
    </row>
    <row r="193" s="132" customFormat="1" ht="11.5" customHeight="1">
      <c r="A193" s="706"/>
      <c r="B193" s="57"/>
      <c r="C193" s="57"/>
      <c r="D193" s="132"/>
      <c r="K193" s="53"/>
      <c r="L193" s="57"/>
      <c r="M193" s="57"/>
      <c r="N193" s="53"/>
      <c r="O193" s="53"/>
      <c r="P193" s="53"/>
      <c r="Q193" s="53"/>
      <c r="R193" s="57"/>
      <c r="S193" s="53"/>
      <c r="T193" s="53"/>
      <c r="U193" s="707"/>
      <c r="V193" s="53"/>
      <c r="W193" s="53"/>
      <c r="X193" s="53"/>
      <c r="Y193" s="53"/>
      <c r="Z193" s="53"/>
      <c r="AA193" s="56"/>
      <c r="AB193" s="54"/>
      <c r="AC193" s="54"/>
      <c r="AD193" s="54"/>
      <c r="AE193" s="54"/>
      <c r="AF193" s="132">
        <v>11</v>
      </c>
    </row>
    <row r="194" s="132" customFormat="1" ht="11.5" customHeight="1">
      <c r="A194" s="706"/>
      <c r="B194" s="57"/>
      <c r="C194" s="57"/>
      <c r="D194" s="132"/>
      <c r="K194" s="53"/>
      <c r="L194" s="57"/>
      <c r="M194" s="57"/>
      <c r="N194" s="53"/>
      <c r="O194" s="53"/>
      <c r="P194" s="53"/>
      <c r="Q194" s="53"/>
      <c r="R194" s="57"/>
      <c r="S194" s="53"/>
      <c r="T194" s="53"/>
      <c r="U194" s="707"/>
      <c r="V194" s="53"/>
      <c r="W194" s="53"/>
      <c r="X194" s="53"/>
      <c r="Y194" s="53"/>
      <c r="Z194" s="53"/>
      <c r="AA194" s="56"/>
      <c r="AB194" s="54"/>
      <c r="AC194" s="54"/>
      <c r="AD194" s="54"/>
      <c r="AE194" s="54"/>
      <c r="AF194" s="132">
        <v>11</v>
      </c>
    </row>
    <row r="195" s="132" customFormat="1" ht="11.5" customHeight="1">
      <c r="A195" s="706"/>
      <c r="B195" s="57"/>
      <c r="C195" s="57"/>
      <c r="D195" s="132"/>
      <c r="K195" s="53"/>
      <c r="L195" s="57"/>
      <c r="M195" s="57"/>
      <c r="N195" s="53"/>
      <c r="O195" s="53"/>
      <c r="P195" s="53"/>
      <c r="Q195" s="53"/>
      <c r="R195" s="57"/>
      <c r="S195" s="53"/>
      <c r="T195" s="53"/>
      <c r="U195" s="707"/>
      <c r="V195" s="53"/>
      <c r="W195" s="53"/>
      <c r="X195" s="53"/>
      <c r="Y195" s="53"/>
      <c r="Z195" s="53"/>
      <c r="AA195" s="56"/>
      <c r="AB195" s="54"/>
      <c r="AC195" s="54"/>
      <c r="AD195" s="54"/>
      <c r="AE195" s="54"/>
      <c r="AF195" s="132">
        <v>11</v>
      </c>
    </row>
    <row r="196" ht="11.5" customHeight="1">
      <c r="AF196" s="50">
        <v>11</v>
      </c>
    </row>
    <row r="197" ht="11.5" customHeight="1">
      <c r="AF197" s="50">
        <v>11</v>
      </c>
    </row>
    <row r="198" ht="11.5" customHeight="1">
      <c r="AF198" s="50">
        <v>11</v>
      </c>
    </row>
    <row r="199" ht="11.5" customHeight="1">
      <c r="A199" s="774"/>
      <c r="B199" s="50"/>
      <c r="D199" s="50"/>
      <c r="K199" s="50"/>
      <c r="N199" s="50"/>
      <c r="O199" s="50"/>
      <c r="P199" s="50"/>
      <c r="Q199" s="50"/>
      <c r="S199" s="50"/>
      <c r="T199" s="50"/>
      <c r="U199" s="50"/>
      <c r="V199" s="50"/>
      <c r="W199" s="50"/>
      <c r="X199" s="50"/>
      <c r="Y199" s="50"/>
      <c r="Z199" s="50"/>
      <c r="AA199" s="50"/>
      <c r="AB199" s="50"/>
      <c r="AC199" s="50"/>
      <c r="AD199" s="50"/>
      <c r="AE199" s="50"/>
      <c r="AF199" s="50">
        <v>11</v>
      </c>
    </row>
    <row r="200" ht="11.5" customHeight="1">
      <c r="A200" s="774"/>
      <c r="B200" s="50"/>
      <c r="D200" s="50"/>
      <c r="K200" s="50"/>
      <c r="N200" s="50"/>
      <c r="O200" s="50"/>
      <c r="P200" s="50"/>
      <c r="Q200" s="50"/>
      <c r="S200" s="50"/>
      <c r="T200" s="50"/>
      <c r="U200" s="50"/>
      <c r="V200" s="50"/>
      <c r="W200" s="50"/>
      <c r="X200" s="50"/>
      <c r="Y200" s="50"/>
      <c r="Z200" s="50"/>
      <c r="AA200" s="50"/>
      <c r="AB200" s="50"/>
      <c r="AC200" s="50"/>
      <c r="AD200" s="50"/>
      <c r="AE200" s="50"/>
      <c r="AF200" s="50">
        <v>11</v>
      </c>
    </row>
    <row r="201" ht="11.5" customHeight="1">
      <c r="A201" s="774"/>
      <c r="B201" s="50"/>
      <c r="D201" s="50"/>
      <c r="K201" s="50"/>
      <c r="N201" s="50"/>
      <c r="O201" s="50"/>
      <c r="P201" s="50"/>
      <c r="Q201" s="50"/>
      <c r="S201" s="50"/>
      <c r="T201" s="50"/>
      <c r="U201" s="50"/>
      <c r="V201" s="50"/>
      <c r="W201" s="50"/>
      <c r="X201" s="50"/>
      <c r="Y201" s="50"/>
      <c r="Z201" s="50"/>
      <c r="AA201" s="50"/>
      <c r="AB201" s="50"/>
      <c r="AC201" s="50"/>
      <c r="AD201" s="50"/>
      <c r="AE201" s="50"/>
      <c r="AF201" s="50">
        <v>11</v>
      </c>
    </row>
    <row r="202" ht="11.5" customHeight="1">
      <c r="A202" s="774"/>
      <c r="B202" s="50"/>
      <c r="D202" s="50"/>
      <c r="K202" s="50"/>
      <c r="N202" s="50"/>
      <c r="O202" s="50"/>
      <c r="P202" s="50"/>
      <c r="Q202" s="50"/>
      <c r="S202" s="50"/>
      <c r="T202" s="50"/>
      <c r="U202" s="50"/>
      <c r="V202" s="50"/>
      <c r="W202" s="50"/>
      <c r="X202" s="50"/>
      <c r="Y202" s="50"/>
      <c r="Z202" s="50"/>
      <c r="AA202" s="50"/>
      <c r="AB202" s="50"/>
      <c r="AC202" s="50"/>
      <c r="AD202" s="50"/>
      <c r="AE202" s="50"/>
      <c r="AF202" s="50">
        <v>11</v>
      </c>
    </row>
    <row r="203" ht="11.5" customHeight="1">
      <c r="A203" s="774"/>
      <c r="B203" s="50"/>
      <c r="D203" s="50"/>
      <c r="K203" s="50"/>
      <c r="N203" s="50"/>
      <c r="O203" s="50"/>
      <c r="P203" s="50"/>
      <c r="Q203" s="50"/>
      <c r="S203" s="50"/>
      <c r="T203" s="50"/>
      <c r="U203" s="50"/>
      <c r="V203" s="50"/>
      <c r="W203" s="50"/>
      <c r="X203" s="50"/>
      <c r="Y203" s="50"/>
      <c r="Z203" s="50"/>
      <c r="AA203" s="50"/>
      <c r="AB203" s="50"/>
      <c r="AC203" s="50"/>
      <c r="AD203" s="50"/>
      <c r="AE203" s="50"/>
      <c r="AF203" s="50">
        <v>11</v>
      </c>
    </row>
    <row r="204" ht="11.5" customHeight="1">
      <c r="A204" s="774"/>
      <c r="B204" s="50"/>
      <c r="D204" s="50"/>
      <c r="K204" s="50"/>
      <c r="N204" s="50"/>
      <c r="O204" s="50"/>
      <c r="P204" s="50"/>
      <c r="Q204" s="50"/>
      <c r="S204" s="50"/>
      <c r="T204" s="50"/>
      <c r="U204" s="50"/>
      <c r="V204" s="50"/>
      <c r="W204" s="50"/>
      <c r="X204" s="50"/>
      <c r="Y204" s="50"/>
      <c r="Z204" s="50"/>
      <c r="AA204" s="50"/>
      <c r="AB204" s="50"/>
      <c r="AC204" s="50"/>
      <c r="AD204" s="50"/>
      <c r="AE204" s="50"/>
      <c r="AF204" s="50">
        <v>11</v>
      </c>
    </row>
    <row r="205" ht="11.5" customHeight="1">
      <c r="A205" s="774"/>
      <c r="B205" s="50"/>
      <c r="D205" s="50"/>
      <c r="K205" s="50"/>
      <c r="N205" s="50"/>
      <c r="O205" s="50"/>
      <c r="P205" s="50"/>
      <c r="Q205" s="50"/>
      <c r="S205" s="50"/>
      <c r="T205" s="50"/>
      <c r="U205" s="50"/>
      <c r="V205" s="50"/>
      <c r="W205" s="50"/>
      <c r="X205" s="50"/>
      <c r="Y205" s="50"/>
      <c r="Z205" s="50"/>
      <c r="AA205" s="50"/>
      <c r="AB205" s="50"/>
      <c r="AC205" s="50"/>
      <c r="AD205" s="50"/>
      <c r="AE205" s="50"/>
      <c r="AF205" s="50">
        <v>11</v>
      </c>
    </row>
    <row r="206" ht="11.5" customHeight="1">
      <c r="A206" s="774"/>
      <c r="B206" s="50"/>
      <c r="D206" s="50"/>
      <c r="K206" s="50"/>
      <c r="N206" s="50"/>
      <c r="O206" s="50"/>
      <c r="P206" s="50"/>
      <c r="Q206" s="50"/>
      <c r="S206" s="50"/>
      <c r="T206" s="50"/>
      <c r="U206" s="50"/>
      <c r="V206" s="50"/>
      <c r="W206" s="50"/>
      <c r="X206" s="50"/>
      <c r="Y206" s="50"/>
      <c r="Z206" s="50"/>
      <c r="AA206" s="50"/>
      <c r="AB206" s="50"/>
      <c r="AC206" s="50"/>
      <c r="AD206" s="50"/>
      <c r="AE206" s="50"/>
      <c r="AF206" s="50">
        <v>11</v>
      </c>
    </row>
    <row r="207" ht="11.5" customHeight="1">
      <c r="A207" s="774"/>
      <c r="B207" s="50"/>
      <c r="D207" s="50"/>
      <c r="K207" s="50"/>
      <c r="N207" s="50"/>
      <c r="O207" s="50"/>
      <c r="P207" s="50"/>
      <c r="Q207" s="50"/>
      <c r="S207" s="50"/>
      <c r="T207" s="50"/>
      <c r="U207" s="50"/>
      <c r="V207" s="50"/>
      <c r="W207" s="50"/>
      <c r="X207" s="50"/>
      <c r="Y207" s="50"/>
      <c r="Z207" s="50"/>
      <c r="AA207" s="50"/>
      <c r="AB207" s="50"/>
      <c r="AC207" s="50"/>
      <c r="AD207" s="50"/>
      <c r="AE207" s="50"/>
      <c r="AF207" s="50">
        <v>11</v>
      </c>
    </row>
    <row r="208" ht="11.5" customHeight="1">
      <c r="A208" s="774"/>
      <c r="B208" s="50"/>
      <c r="D208" s="50"/>
      <c r="K208" s="50"/>
      <c r="N208" s="50"/>
      <c r="O208" s="50"/>
      <c r="P208" s="50"/>
      <c r="Q208" s="50"/>
      <c r="S208" s="50"/>
      <c r="T208" s="50"/>
      <c r="U208" s="50"/>
      <c r="V208" s="50"/>
      <c r="W208" s="50"/>
      <c r="X208" s="50"/>
      <c r="Y208" s="50"/>
      <c r="Z208" s="50"/>
      <c r="AA208" s="50"/>
      <c r="AB208" s="50"/>
      <c r="AC208" s="50"/>
      <c r="AD208" s="50"/>
      <c r="AE208" s="50"/>
      <c r="AF208" s="50">
        <v>11</v>
      </c>
    </row>
    <row r="209" ht="11.5" customHeight="1">
      <c r="A209" s="774"/>
      <c r="B209" s="50"/>
      <c r="D209" s="50"/>
      <c r="K209" s="50"/>
      <c r="N209" s="50"/>
      <c r="O209" s="50"/>
      <c r="P209" s="50"/>
      <c r="Q209" s="50"/>
      <c r="S209" s="50"/>
      <c r="T209" s="50"/>
      <c r="U209" s="50"/>
      <c r="V209" s="50"/>
      <c r="W209" s="50"/>
      <c r="X209" s="50"/>
      <c r="Y209" s="50"/>
      <c r="Z209" s="50"/>
      <c r="AA209" s="50"/>
      <c r="AB209" s="50"/>
      <c r="AC209" s="50"/>
      <c r="AD209" s="50"/>
      <c r="AE209" s="50"/>
      <c r="AF209" s="50">
        <v>11</v>
      </c>
    </row>
    <row r="210" ht="11.25" hidden="1" customHeight="1">
      <c r="A210" s="706" t="s">
        <v>81</v>
      </c>
      <c r="B210" s="53">
        <v>0</v>
      </c>
      <c r="C210" s="57">
        <v>0</v>
      </c>
      <c r="D210" s="50">
        <v>3</v>
      </c>
      <c r="E210" s="50">
        <v>7</v>
      </c>
      <c r="F210" s="50">
        <v>54</v>
      </c>
      <c r="G210" s="50">
        <v>10</v>
      </c>
      <c r="H210" s="50">
        <v>0</v>
      </c>
      <c r="I210" s="50">
        <v>40</v>
      </c>
      <c r="J210" s="50">
        <v>102</v>
      </c>
      <c r="K210" s="53">
        <v>9</v>
      </c>
      <c r="L210" s="57">
        <v>5</v>
      </c>
      <c r="M210" s="57">
        <v>3</v>
      </c>
      <c r="N210" s="53">
        <v>3</v>
      </c>
      <c r="O210" s="53">
        <v>3</v>
      </c>
      <c r="P210" s="53">
        <v>3</v>
      </c>
      <c r="Q210" s="53">
        <v>3</v>
      </c>
      <c r="R210" s="57">
        <v>10</v>
      </c>
      <c r="S210" s="53">
        <v>34</v>
      </c>
      <c r="T210" s="53">
        <v>9</v>
      </c>
      <c r="U210" s="707">
        <v>8</v>
      </c>
      <c r="V210" s="53">
        <v>8</v>
      </c>
      <c r="W210" s="53">
        <v>8</v>
      </c>
      <c r="X210" s="53">
        <v>8</v>
      </c>
      <c r="Y210" s="53">
        <v>8</v>
      </c>
      <c r="Z210" s="53">
        <v>8</v>
      </c>
      <c r="AA210" s="56">
        <v>8</v>
      </c>
      <c r="AB210" s="56">
        <v>8</v>
      </c>
      <c r="AC210" s="56">
        <v>8</v>
      </c>
      <c r="AD210" s="56">
        <v>8</v>
      </c>
      <c r="AE210" s="56">
        <v>8</v>
      </c>
      <c r="AF210" s="50">
        <v>11</v>
      </c>
    </row>
  </sheetData>
  <sheetProtection autoFilter="0" deleteColumns="1" deleteRows="1" formatCells="1" formatColumns="0" formatRows="0" insertColumns="1" insertHyperlinks="1" insertRows="1" objects="0" pivotTables="1" scenarios="0" selectLockedCells="0" selectUnlockedCells="0" sheet="1" sort="1"/>
  <mergeCells count="9">
    <mergeCell ref="E6:I6"/>
    <mergeCell ref="E7:I7"/>
    <mergeCell ref="F10:G10"/>
    <mergeCell ref="J10:J14"/>
    <mergeCell ref="F11:G11"/>
    <mergeCell ref="F12:G12"/>
    <mergeCell ref="E13:G13"/>
    <mergeCell ref="F39:G39"/>
    <mergeCell ref="F40:G40"/>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disablePrompts="0">
        <x14:dataValidation xr:uid="{00E7003A-0046-44AA-BC96-008800260061}" type="textLength" allowBlank="1" error="Допускается ввод не более 900 символов!" errorStyle="stop" errorTitle="Ошибка" imeMode="noControl" operator="lessThanOrEqual" prompt="Введите наименование прочих расходов" showDropDown="0" showErrorMessage="1" showInputMessage="1">
          <x14:formula1>
            <xm:f>900</xm:f>
          </x14:formula1>
          <xm:sqref>H28:I28</xm:sqref>
        </x14:dataValidation>
        <x14:dataValidation xr:uid="{006B0098-00F8-4334-BC0D-007F00DE0045}"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H31:I31 H2:I2 H15:I15 H17:I27 H36:I37</xm:sqref>
        </x14:dataValidation>
        <x14:dataValidation xr:uid="{00190085-00CC-4564-86A8-00FD009F0092}"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H35:I35</xm:sqref>
        </x14:dataValidation>
        <x14:dataValidation xr:uid="{004A005B-005D-4DE9-85BE-00830068009C}"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H30:I30</xm:sqref>
        </x14:dataValidation>
        <x14:dataValidation xr:uid="{006F0015-0097-4329-BCAD-005D00E30083}" type="decimal" allowBlank="1" error="Допускается ввод только действительных чисел!" errorStyle="stop" errorTitle="Ошибка" imeMode="noControl" operator="between" showDropDown="0" showErrorMessage="1" showInputMessage="0">
          <x14:formula1>
            <xm:f>-9.99999999999999E+37</xm:f>
          </x14:formula1>
          <x14:formula2>
            <xm:f>9.99999999999999E+37</xm:f>
          </x14:formula2>
          <xm:sqref>H32:I34</xm:sqref>
        </x14:dataValidation>
      </x14:dataValidations>
    </ext>
  </extLst>
</worksheet>
</file>

<file path=xl/worksheets/sheet3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zoomScale="90" workbookViewId="0">
      <pane xSplit="8" ySplit="11" topLeftCell="I12" activePane="bottomRight" state="frozen"/>
      <selection activeCell="A1" activeCellId="0" sqref="A1"/>
    </sheetView>
  </sheetViews>
  <sheetFormatPr defaultColWidth="10.57421875" defaultRowHeight="11.25" customHeight="1"/>
  <cols>
    <col customWidth="1" hidden="1" min="1" max="1" style="125" width="9.140625"/>
    <col customWidth="1" hidden="1" min="2" max="2" style="57" width="3.57421875"/>
    <col customWidth="1" min="3" max="3" style="50" width="3.00390625"/>
    <col customWidth="1" min="4" max="4" style="50" width="7.00390625"/>
    <col customWidth="1" min="5" max="5" style="50" width="69.00390625"/>
    <col customWidth="1" min="6" max="6" style="50" width="10.00390625"/>
    <col customWidth="1" hidden="1" min="7" max="8" style="50" width="44.00390625"/>
    <col customWidth="1" min="9" max="9" style="50" width="44.00390625"/>
    <col customWidth="1" min="10" max="10" style="50" width="43.00390625"/>
    <col customWidth="1" min="11" max="11" style="50" width="73.00390625"/>
    <col customWidth="1" min="12" max="12" style="50" width="3.00390625"/>
    <col customWidth="1" min="13" max="23" style="50" width="10.00390625"/>
    <col hidden="1" min="24" max="24" style="50" width="10.57421875"/>
  </cols>
  <sheetData>
    <row r="1" s="53" customFormat="1" ht="22.5" hidden="1" customHeight="1">
      <c r="A1" s="125"/>
      <c r="B1" s="57"/>
      <c r="G1" s="53">
        <v>4</v>
      </c>
      <c r="I1" s="53">
        <v>4</v>
      </c>
      <c r="K1" s="53">
        <v>5</v>
      </c>
      <c r="X1" s="53" t="s">
        <v>14</v>
      </c>
    </row>
    <row r="2" ht="3" customHeight="1">
      <c r="X2" s="50">
        <v>3</v>
      </c>
    </row>
    <row r="3" ht="78.75" customHeight="1">
      <c r="D3" s="186" t="str">
        <f>KNE_NAME_FORM</f>
        <v xml:space="preserve">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187"/>
      <c r="F3" s="188"/>
      <c r="X3" s="50">
        <v>75</v>
      </c>
    </row>
    <row r="4" s="50" customFormat="1" ht="21" customHeight="1">
      <c r="A4" s="125"/>
      <c r="B4" s="57"/>
      <c r="D4" s="409" t="str">
        <f>IF(org=0,"Не определено",org)</f>
        <v xml:space="preserve">АО "ДГК" СП "Биробиджанская ТЭЦ"</v>
      </c>
      <c r="E4" s="410"/>
      <c r="F4" s="411"/>
      <c r="X4" s="50">
        <v>20</v>
      </c>
    </row>
    <row r="5" ht="11.5" customHeight="1">
      <c r="C5" s="50"/>
      <c r="D5" s="50"/>
      <c r="E5" s="50"/>
      <c r="F5" s="50"/>
      <c r="G5" s="50"/>
      <c r="H5" s="342"/>
      <c r="I5" s="50"/>
      <c r="J5" s="342"/>
      <c r="K5" s="50"/>
      <c r="X5" s="50">
        <v>11</v>
      </c>
    </row>
    <row r="6" ht="1.05" customHeight="1">
      <c r="C6" s="50"/>
      <c r="D6" s="50"/>
      <c r="E6" s="51"/>
      <c r="F6" s="778"/>
      <c r="G6" s="843"/>
      <c r="H6" s="843"/>
      <c r="I6" s="843" t="s">
        <v>113</v>
      </c>
      <c r="J6" s="843"/>
      <c r="X6" s="50">
        <v>1</v>
      </c>
    </row>
    <row r="7" ht="11.5" customHeight="1">
      <c r="D7" s="722"/>
      <c r="E7" s="723" t="s">
        <v>101</v>
      </c>
      <c r="F7" s="724"/>
      <c r="G7" s="725" t="str">
        <f>IF(G6="","",INDEX(DIFFERENTIATION_UNMERGE_VD,MATCH(G6,DIFFERENTIATION_ID_DIFF,0)))</f>
        <v/>
      </c>
      <c r="H7" s="844"/>
      <c r="I7" s="725">
        <f>IF(I6="","",INDEX(DIFFERENTIATION_UNMERGE_VD,MATCH(I6,DIFFERENTIATION_ID_DIFF,0)))</f>
        <v>0</v>
      </c>
      <c r="J7" s="844"/>
      <c r="K7" s="308"/>
      <c r="L7" s="50"/>
      <c r="X7" s="50">
        <v>11</v>
      </c>
    </row>
    <row r="8" ht="11.5" customHeight="1">
      <c r="A8" s="125"/>
      <c r="D8" s="722"/>
      <c r="E8" s="723" t="s">
        <v>558</v>
      </c>
      <c r="F8" s="724"/>
      <c r="G8" s="725" t="str">
        <f>IF(G6="","",INDEX(DIFFERENTIATION_UNMERGE_AREA,MATCH(G6,DIFFERENTIATION_ID_DIFF,0)))</f>
        <v/>
      </c>
      <c r="H8" s="844"/>
      <c r="I8" s="725" t="str">
        <f>IF(I6="","",INDEX(DIFFERENTIATION_UNMERGE_AREA,MATCH(I6,DIFFERENTIATION_ID_DIFF,0)))</f>
        <v/>
      </c>
      <c r="J8" s="844"/>
      <c r="K8" s="307"/>
      <c r="L8" s="50"/>
      <c r="X8" s="50">
        <v>11</v>
      </c>
    </row>
    <row r="9" ht="11.5" customHeight="1">
      <c r="A9" s="125"/>
      <c r="D9" s="722"/>
      <c r="E9" s="723" t="s">
        <v>559</v>
      </c>
      <c r="F9" s="724"/>
      <c r="G9" s="725" t="str">
        <f>IF(G6="","",INDEX(DIFFERENTIATION_UNMERGE_SYSTEM,MATCH(G6,DIFFERENTIATION_ID_DIFF,0)))</f>
        <v/>
      </c>
      <c r="H9" s="844"/>
      <c r="I9" s="725" t="str">
        <f>IF(I6="","",INDEX(DIFFERENTIATION_UNMERGE_SYSTEM,MATCH(I6,DIFFERENTIATION_ID_DIFF,0)))</f>
        <v xml:space="preserve">без дифференциации</v>
      </c>
      <c r="J9" s="844"/>
      <c r="K9" s="307"/>
      <c r="L9" s="50"/>
      <c r="X9" s="50">
        <v>11</v>
      </c>
    </row>
    <row r="10" s="50" customFormat="1" ht="11.5" customHeight="1">
      <c r="A10" s="125"/>
      <c r="B10" s="57"/>
      <c r="D10" s="73" t="s">
        <v>294</v>
      </c>
      <c r="E10" s="146"/>
      <c r="F10" s="146"/>
      <c r="G10" s="146"/>
      <c r="H10" s="146"/>
      <c r="I10" s="146"/>
      <c r="J10" s="72"/>
      <c r="K10" s="307"/>
      <c r="L10" s="50"/>
      <c r="X10" s="50">
        <v>11</v>
      </c>
    </row>
    <row r="11" s="50" customFormat="1" ht="24" customHeight="1">
      <c r="A11" s="575"/>
      <c r="B11" s="575"/>
      <c r="C11" s="396"/>
      <c r="D11" s="158" t="s">
        <v>87</v>
      </c>
      <c r="E11" s="158" t="s">
        <v>801</v>
      </c>
      <c r="F11" s="158" t="s">
        <v>560</v>
      </c>
      <c r="G11" s="158" t="s">
        <v>297</v>
      </c>
      <c r="H11" s="158" t="s">
        <v>384</v>
      </c>
      <c r="I11" s="158" t="s">
        <v>297</v>
      </c>
      <c r="J11" s="73" t="s">
        <v>384</v>
      </c>
      <c r="K11" s="163"/>
      <c r="L11" s="575"/>
      <c r="X11" s="50">
        <v>23</v>
      </c>
    </row>
    <row r="12" s="57" customFormat="1" ht="10.5" customHeight="1">
      <c r="A12" s="532"/>
      <c r="D12" s="532" t="s">
        <v>105</v>
      </c>
      <c r="E12" s="532" t="s">
        <v>106</v>
      </c>
      <c r="F12" s="532" t="s">
        <v>89</v>
      </c>
      <c r="G12" s="133" t="str">
        <f>G1&amp;".1"</f>
        <v>4.1</v>
      </c>
      <c r="H12" s="133" t="str">
        <f>G1&amp;".2"</f>
        <v>4.2</v>
      </c>
      <c r="I12" s="133" t="str">
        <f>I1&amp;".1"</f>
        <v>4.1</v>
      </c>
      <c r="J12" s="133" t="str">
        <f>I1&amp;".2"</f>
        <v>4.2</v>
      </c>
      <c r="K12" s="133"/>
      <c r="X12" s="57">
        <v>10</v>
      </c>
    </row>
    <row r="13" ht="22.5" hidden="1" customHeight="1">
      <c r="A13" s="845" t="s">
        <v>802</v>
      </c>
      <c r="D13" s="219" t="s">
        <v>105</v>
      </c>
      <c r="E13" s="314" t="s">
        <v>803</v>
      </c>
      <c r="F13" s="147" t="s">
        <v>804</v>
      </c>
      <c r="G13" s="728"/>
      <c r="H13" s="811"/>
      <c r="I13" s="728"/>
      <c r="J13" s="811"/>
      <c r="K13" s="486" t="s">
        <v>805</v>
      </c>
      <c r="L13" s="846"/>
      <c r="X13" s="50">
        <v>0</v>
      </c>
    </row>
    <row r="14" ht="22.5" hidden="1" customHeight="1">
      <c r="A14" s="845"/>
      <c r="D14" s="219" t="s">
        <v>106</v>
      </c>
      <c r="E14" s="314" t="s">
        <v>806</v>
      </c>
      <c r="F14" s="147" t="s">
        <v>807</v>
      </c>
      <c r="G14" s="728"/>
      <c r="H14" s="811"/>
      <c r="I14" s="728"/>
      <c r="J14" s="811"/>
      <c r="K14" s="486" t="s">
        <v>808</v>
      </c>
      <c r="L14" s="846"/>
      <c r="X14" s="50">
        <v>0</v>
      </c>
    </row>
    <row r="15" s="50" customFormat="1" ht="78.75" hidden="1" customHeight="1">
      <c r="A15" s="845"/>
      <c r="B15" s="57"/>
      <c r="D15" s="219" t="s">
        <v>89</v>
      </c>
      <c r="E15" s="314" t="s">
        <v>809</v>
      </c>
      <c r="F15" s="158" t="s">
        <v>300</v>
      </c>
      <c r="G15" s="158" t="s">
        <v>300</v>
      </c>
      <c r="H15" s="388"/>
      <c r="I15" s="158" t="s">
        <v>300</v>
      </c>
      <c r="J15" s="388"/>
      <c r="K15" s="486" t="s">
        <v>810</v>
      </c>
      <c r="L15" s="846"/>
      <c r="X15" s="50">
        <v>0</v>
      </c>
    </row>
    <row r="16" s="50" customFormat="1" ht="22.5" hidden="1" customHeight="1">
      <c r="A16" s="845"/>
      <c r="B16" s="57"/>
      <c r="D16" s="219" t="s">
        <v>318</v>
      </c>
      <c r="E16" s="674" t="s">
        <v>811</v>
      </c>
      <c r="F16" s="158" t="s">
        <v>812</v>
      </c>
      <c r="G16" s="847"/>
      <c r="H16" s="388"/>
      <c r="I16" s="847"/>
      <c r="J16" s="388"/>
      <c r="K16" s="486"/>
      <c r="L16" s="846"/>
      <c r="X16" s="50">
        <v>0</v>
      </c>
    </row>
    <row r="17" s="50" customFormat="1" ht="22.5" hidden="1" customHeight="1">
      <c r="A17" s="845"/>
      <c r="B17" s="57"/>
      <c r="D17" s="219" t="s">
        <v>326</v>
      </c>
      <c r="E17" s="674" t="s">
        <v>813</v>
      </c>
      <c r="F17" s="158" t="s">
        <v>814</v>
      </c>
      <c r="G17" s="847"/>
      <c r="H17" s="388"/>
      <c r="I17" s="847"/>
      <c r="J17" s="388"/>
      <c r="K17" s="486"/>
      <c r="L17" s="846"/>
      <c r="X17" s="50">
        <v>0</v>
      </c>
    </row>
    <row r="18" s="50" customFormat="1" ht="33.75" hidden="1" customHeight="1">
      <c r="A18" s="845"/>
      <c r="B18" s="57"/>
      <c r="D18" s="219" t="s">
        <v>328</v>
      </c>
      <c r="E18" s="674" t="s">
        <v>815</v>
      </c>
      <c r="F18" s="158" t="s">
        <v>565</v>
      </c>
      <c r="G18" s="848"/>
      <c r="H18" s="388"/>
      <c r="I18" s="848"/>
      <c r="J18" s="388"/>
      <c r="K18" s="486"/>
      <c r="L18" s="846"/>
      <c r="X18" s="50">
        <v>0</v>
      </c>
    </row>
    <row r="19" ht="101.25" hidden="1" customHeight="1">
      <c r="A19" s="845"/>
      <c r="D19" s="219" t="s">
        <v>90</v>
      </c>
      <c r="E19" s="314" t="s">
        <v>816</v>
      </c>
      <c r="F19" s="147" t="s">
        <v>540</v>
      </c>
      <c r="G19" s="449"/>
      <c r="H19" s="811"/>
      <c r="I19" s="449"/>
      <c r="J19" s="811"/>
      <c r="K19" s="486" t="s">
        <v>817</v>
      </c>
      <c r="L19" s="846"/>
      <c r="X19" s="50">
        <v>0</v>
      </c>
    </row>
    <row r="20" s="50" customFormat="1" ht="18.75" hidden="1" customHeight="1">
      <c r="A20" s="845"/>
      <c r="C20" s="129"/>
      <c r="D20" s="219" t="s">
        <v>748</v>
      </c>
      <c r="E20" s="674" t="s">
        <v>818</v>
      </c>
      <c r="F20" s="158" t="s">
        <v>300</v>
      </c>
      <c r="G20" s="158" t="s">
        <v>300</v>
      </c>
      <c r="H20" s="308" t="s">
        <v>300</v>
      </c>
      <c r="I20" s="158" t="s">
        <v>300</v>
      </c>
      <c r="J20" s="308" t="s">
        <v>300</v>
      </c>
      <c r="K20" s="73"/>
      <c r="L20" s="846"/>
      <c r="W20" s="115"/>
      <c r="X20" s="50">
        <v>0</v>
      </c>
    </row>
    <row r="21" s="50" customFormat="1" ht="33.75" hidden="1" customHeight="1">
      <c r="A21" s="845"/>
      <c r="C21" s="129"/>
      <c r="D21" s="219" t="s">
        <v>751</v>
      </c>
      <c r="E21" s="744" t="s">
        <v>819</v>
      </c>
      <c r="F21" s="158" t="s">
        <v>820</v>
      </c>
      <c r="G21" s="848"/>
      <c r="H21" s="388"/>
      <c r="I21" s="848"/>
      <c r="J21" s="388"/>
      <c r="K21" s="73"/>
      <c r="L21" s="846"/>
      <c r="W21" s="115"/>
      <c r="X21" s="50">
        <v>0</v>
      </c>
    </row>
    <row r="22" s="50" customFormat="1" ht="33.75" hidden="1" customHeight="1">
      <c r="A22" s="845"/>
      <c r="C22" s="129"/>
      <c r="D22" s="219" t="s">
        <v>754</v>
      </c>
      <c r="E22" s="744" t="s">
        <v>821</v>
      </c>
      <c r="F22" s="158" t="s">
        <v>822</v>
      </c>
      <c r="G22" s="848"/>
      <c r="H22" s="388"/>
      <c r="I22" s="848"/>
      <c r="J22" s="388"/>
      <c r="K22" s="73"/>
      <c r="L22" s="846"/>
      <c r="W22" s="115"/>
      <c r="X22" s="50">
        <v>0</v>
      </c>
    </row>
    <row r="23" s="50" customFormat="1" ht="22.5" hidden="1" customHeight="1">
      <c r="A23" s="845"/>
      <c r="C23" s="129"/>
      <c r="D23" s="219" t="s">
        <v>790</v>
      </c>
      <c r="E23" s="674" t="s">
        <v>823</v>
      </c>
      <c r="F23" s="158" t="s">
        <v>300</v>
      </c>
      <c r="G23" s="158" t="s">
        <v>300</v>
      </c>
      <c r="H23" s="308" t="s">
        <v>300</v>
      </c>
      <c r="I23" s="158" t="s">
        <v>300</v>
      </c>
      <c r="J23" s="308" t="s">
        <v>300</v>
      </c>
      <c r="K23" s="73"/>
      <c r="L23" s="846"/>
      <c r="W23" s="115"/>
      <c r="X23" s="50">
        <v>0</v>
      </c>
    </row>
    <row r="24" s="50" customFormat="1" ht="22.5" hidden="1" customHeight="1">
      <c r="A24" s="845"/>
      <c r="C24" s="129"/>
      <c r="D24" s="219" t="s">
        <v>824</v>
      </c>
      <c r="E24" s="744" t="s">
        <v>825</v>
      </c>
      <c r="F24" s="158" t="s">
        <v>826</v>
      </c>
      <c r="G24" s="848"/>
      <c r="H24" s="680"/>
      <c r="I24" s="848"/>
      <c r="J24" s="680"/>
      <c r="K24" s="73"/>
      <c r="L24" s="846"/>
      <c r="W24" s="115"/>
      <c r="X24" s="50">
        <v>0</v>
      </c>
    </row>
    <row r="25" s="50" customFormat="1" ht="22.5" hidden="1" customHeight="1">
      <c r="A25" s="845"/>
      <c r="C25" s="129"/>
      <c r="D25" s="219" t="s">
        <v>827</v>
      </c>
      <c r="E25" s="744" t="s">
        <v>828</v>
      </c>
      <c r="F25" s="158" t="s">
        <v>300</v>
      </c>
      <c r="G25" s="158" t="s">
        <v>300</v>
      </c>
      <c r="H25" s="308" t="s">
        <v>300</v>
      </c>
      <c r="I25" s="158" t="s">
        <v>300</v>
      </c>
      <c r="J25" s="308" t="s">
        <v>300</v>
      </c>
      <c r="K25" s="73"/>
      <c r="L25" s="846"/>
      <c r="W25" s="115"/>
      <c r="X25" s="50">
        <v>0</v>
      </c>
    </row>
    <row r="26" s="50" customFormat="1" ht="18.75" hidden="1" customHeight="1">
      <c r="A26" s="845"/>
      <c r="C26" s="129"/>
      <c r="D26" s="219" t="s">
        <v>829</v>
      </c>
      <c r="E26" s="713" t="s">
        <v>830</v>
      </c>
      <c r="F26" s="158" t="s">
        <v>831</v>
      </c>
      <c r="G26" s="848"/>
      <c r="H26" s="680"/>
      <c r="I26" s="848"/>
      <c r="J26" s="680"/>
      <c r="K26" s="73"/>
      <c r="L26" s="846"/>
      <c r="W26" s="115"/>
      <c r="X26" s="50">
        <v>0</v>
      </c>
    </row>
    <row r="27" s="50" customFormat="1" ht="18.75" hidden="1" customHeight="1">
      <c r="A27" s="845"/>
      <c r="C27" s="129"/>
      <c r="D27" s="219" t="s">
        <v>832</v>
      </c>
      <c r="E27" s="713" t="s">
        <v>833</v>
      </c>
      <c r="F27" s="158" t="s">
        <v>834</v>
      </c>
      <c r="G27" s="848"/>
      <c r="H27" s="680"/>
      <c r="I27" s="848"/>
      <c r="J27" s="680"/>
      <c r="K27" s="73"/>
      <c r="L27" s="846"/>
      <c r="W27" s="115"/>
      <c r="X27" s="50">
        <v>0</v>
      </c>
    </row>
    <row r="28" s="50" customFormat="1" ht="18.75" hidden="1" customHeight="1">
      <c r="A28" s="845"/>
      <c r="C28" s="129"/>
      <c r="D28" s="219" t="s">
        <v>835</v>
      </c>
      <c r="E28" s="744" t="s">
        <v>836</v>
      </c>
      <c r="F28" s="158" t="s">
        <v>300</v>
      </c>
      <c r="G28" s="158" t="s">
        <v>300</v>
      </c>
      <c r="H28" s="308" t="s">
        <v>300</v>
      </c>
      <c r="I28" s="158" t="s">
        <v>300</v>
      </c>
      <c r="J28" s="308" t="s">
        <v>300</v>
      </c>
      <c r="K28" s="73"/>
      <c r="L28" s="846"/>
      <c r="W28" s="115"/>
      <c r="X28" s="50">
        <v>0</v>
      </c>
    </row>
    <row r="29" s="50" customFormat="1" ht="18.75" hidden="1" customHeight="1">
      <c r="A29" s="845"/>
      <c r="C29" s="129"/>
      <c r="D29" s="219" t="s">
        <v>837</v>
      </c>
      <c r="E29" s="713" t="s">
        <v>830</v>
      </c>
      <c r="F29" s="158" t="s">
        <v>838</v>
      </c>
      <c r="G29" s="848"/>
      <c r="H29" s="680"/>
      <c r="I29" s="848"/>
      <c r="J29" s="680"/>
      <c r="K29" s="73"/>
      <c r="L29" s="846"/>
      <c r="W29" s="115"/>
      <c r="X29" s="50">
        <v>0</v>
      </c>
    </row>
    <row r="30" s="50" customFormat="1" ht="18.75" hidden="1" customHeight="1">
      <c r="A30" s="845"/>
      <c r="C30" s="129"/>
      <c r="D30" s="219" t="s">
        <v>839</v>
      </c>
      <c r="E30" s="713" t="s">
        <v>840</v>
      </c>
      <c r="F30" s="158" t="s">
        <v>841</v>
      </c>
      <c r="G30" s="848"/>
      <c r="H30" s="680"/>
      <c r="I30" s="848"/>
      <c r="J30" s="680"/>
      <c r="K30" s="73"/>
      <c r="L30" s="846"/>
      <c r="W30" s="115"/>
      <c r="X30" s="50">
        <v>0</v>
      </c>
    </row>
    <row r="31" ht="126.75" hidden="1" customHeight="1">
      <c r="A31" s="845"/>
      <c r="D31" s="219" t="s">
        <v>107</v>
      </c>
      <c r="E31" s="314" t="s">
        <v>842</v>
      </c>
      <c r="F31" s="147" t="s">
        <v>552</v>
      </c>
      <c r="G31" s="728"/>
      <c r="H31" s="811"/>
      <c r="I31" s="728"/>
      <c r="J31" s="811"/>
      <c r="K31" s="486" t="s">
        <v>843</v>
      </c>
      <c r="L31" s="846"/>
      <c r="X31" s="50">
        <v>0</v>
      </c>
    </row>
    <row r="32" ht="56.25" hidden="1" customHeight="1">
      <c r="A32" s="845"/>
      <c r="D32" s="219" t="s">
        <v>91</v>
      </c>
      <c r="E32" s="314" t="s">
        <v>844</v>
      </c>
      <c r="F32" s="219" t="s">
        <v>814</v>
      </c>
      <c r="G32" s="728"/>
      <c r="H32" s="811"/>
      <c r="I32" s="728"/>
      <c r="J32" s="811"/>
      <c r="K32" s="486" t="s">
        <v>845</v>
      </c>
      <c r="L32" s="846"/>
      <c r="X32" s="50">
        <v>0</v>
      </c>
    </row>
    <row r="33" ht="11.25" hidden="1" customHeight="1">
      <c r="A33" s="845"/>
      <c r="E33" s="478"/>
      <c r="F33" s="181"/>
      <c r="G33" s="181"/>
      <c r="H33" s="181"/>
      <c r="I33" s="181"/>
      <c r="J33" s="181"/>
      <c r="K33" s="181"/>
      <c r="X33" s="50">
        <v>0</v>
      </c>
    </row>
    <row r="34" ht="12.75" hidden="1" customHeight="1">
      <c r="A34" s="845"/>
      <c r="D34" s="396">
        <v>1</v>
      </c>
      <c r="E34" s="849" t="s">
        <v>846</v>
      </c>
      <c r="X34" s="50">
        <v>0</v>
      </c>
    </row>
    <row r="35" ht="11.25" hidden="1" customHeight="1">
      <c r="A35" s="845"/>
      <c r="D35" s="396"/>
      <c r="E35" s="849" t="s">
        <v>847</v>
      </c>
      <c r="X35" s="50">
        <v>0</v>
      </c>
    </row>
    <row r="36" s="50" customFormat="1" ht="11.5" customHeight="1">
      <c r="A36" s="125"/>
      <c r="B36" s="57"/>
      <c r="D36" s="396"/>
      <c r="E36" s="849"/>
      <c r="X36" s="50">
        <v>11</v>
      </c>
    </row>
    <row r="37" s="50" customFormat="1" ht="22.5" hidden="1" customHeight="1">
      <c r="A37" s="845" t="s">
        <v>848</v>
      </c>
      <c r="B37" s="57"/>
      <c r="D37" s="219">
        <v>1</v>
      </c>
      <c r="E37" s="314" t="s">
        <v>849</v>
      </c>
      <c r="F37" s="147" t="s">
        <v>804</v>
      </c>
      <c r="G37" s="728"/>
      <c r="H37" s="850"/>
      <c r="I37" s="728"/>
      <c r="J37" s="850"/>
      <c r="K37" s="486" t="s">
        <v>850</v>
      </c>
      <c r="X37" s="50">
        <v>0</v>
      </c>
    </row>
    <row r="38" s="50" customFormat="1" ht="22.5" hidden="1" customHeight="1">
      <c r="A38" s="845"/>
      <c r="B38" s="57"/>
      <c r="D38" s="851" t="s">
        <v>106</v>
      </c>
      <c r="E38" s="852" t="s">
        <v>851</v>
      </c>
      <c r="F38" s="853" t="s">
        <v>540</v>
      </c>
      <c r="G38" s="853" t="s">
        <v>540</v>
      </c>
      <c r="H38" s="854"/>
      <c r="I38" s="853" t="s">
        <v>540</v>
      </c>
      <c r="J38" s="854"/>
      <c r="K38" s="556"/>
      <c r="X38" s="50">
        <v>0</v>
      </c>
    </row>
    <row r="39" s="50" customFormat="1" ht="33.75" hidden="1" customHeight="1">
      <c r="A39" s="845"/>
      <c r="B39" s="57"/>
      <c r="D39" s="855" t="s">
        <v>706</v>
      </c>
      <c r="E39" s="856" t="s">
        <v>852</v>
      </c>
      <c r="F39" s="147" t="s">
        <v>853</v>
      </c>
      <c r="G39" s="857"/>
      <c r="H39" s="858"/>
      <c r="I39" s="857"/>
      <c r="J39" s="858"/>
      <c r="K39" s="486" t="s">
        <v>854</v>
      </c>
      <c r="X39" s="50">
        <v>0</v>
      </c>
    </row>
    <row r="40" s="50" customFormat="1" ht="33.75" hidden="1" customHeight="1">
      <c r="A40" s="845"/>
      <c r="B40" s="57"/>
      <c r="D40" s="855" t="s">
        <v>709</v>
      </c>
      <c r="E40" s="856" t="s">
        <v>855</v>
      </c>
      <c r="F40" s="859" t="s">
        <v>856</v>
      </c>
      <c r="G40" s="860"/>
      <c r="H40" s="858"/>
      <c r="I40" s="860"/>
      <c r="J40" s="858"/>
      <c r="K40" s="486" t="s">
        <v>857</v>
      </c>
      <c r="X40" s="50">
        <v>0</v>
      </c>
    </row>
    <row r="41" s="50" customFormat="1" ht="22.5" hidden="1" customHeight="1">
      <c r="A41" s="845"/>
      <c r="B41" s="57"/>
      <c r="D41" s="855" t="s">
        <v>89</v>
      </c>
      <c r="E41" s="861" t="s">
        <v>858</v>
      </c>
      <c r="F41" s="147" t="s">
        <v>540</v>
      </c>
      <c r="G41" s="147" t="s">
        <v>540</v>
      </c>
      <c r="H41" s="862"/>
      <c r="I41" s="147" t="s">
        <v>540</v>
      </c>
      <c r="J41" s="862"/>
      <c r="K41" s="560"/>
      <c r="X41" s="50">
        <v>0</v>
      </c>
    </row>
    <row r="42" s="50" customFormat="1" ht="45" hidden="1" customHeight="1">
      <c r="A42" s="845"/>
      <c r="B42" s="57"/>
      <c r="D42" s="855" t="s">
        <v>318</v>
      </c>
      <c r="E42" s="856" t="s">
        <v>859</v>
      </c>
      <c r="F42" s="147" t="s">
        <v>552</v>
      </c>
      <c r="G42" s="728"/>
      <c r="H42" s="862"/>
      <c r="I42" s="728"/>
      <c r="J42" s="862"/>
      <c r="K42" s="560" t="s">
        <v>860</v>
      </c>
      <c r="X42" s="50">
        <v>0</v>
      </c>
    </row>
    <row r="43" s="50" customFormat="1" ht="45" hidden="1" customHeight="1">
      <c r="A43" s="845"/>
      <c r="B43" s="57"/>
      <c r="D43" s="855" t="s">
        <v>326</v>
      </c>
      <c r="E43" s="863" t="s">
        <v>861</v>
      </c>
      <c r="F43" s="864" t="s">
        <v>552</v>
      </c>
      <c r="G43" s="764"/>
      <c r="H43" s="858"/>
      <c r="I43" s="764"/>
      <c r="J43" s="858"/>
      <c r="K43" s="560" t="s">
        <v>862</v>
      </c>
      <c r="X43" s="50">
        <v>0</v>
      </c>
    </row>
    <row r="44" s="50" customFormat="1" ht="11.25" hidden="1" customHeight="1">
      <c r="A44" s="845"/>
      <c r="B44" s="57"/>
      <c r="D44" s="855" t="s">
        <v>90</v>
      </c>
      <c r="E44" s="865" t="s">
        <v>863</v>
      </c>
      <c r="F44" s="147" t="s">
        <v>853</v>
      </c>
      <c r="G44" s="857"/>
      <c r="H44" s="858"/>
      <c r="I44" s="857"/>
      <c r="J44" s="858"/>
      <c r="K44" s="486"/>
      <c r="X44" s="50">
        <v>0</v>
      </c>
    </row>
    <row r="45" s="50" customFormat="1" ht="11.25" hidden="1" customHeight="1">
      <c r="A45" s="845"/>
      <c r="B45" s="57"/>
      <c r="D45" s="855" t="s">
        <v>748</v>
      </c>
      <c r="E45" s="863" t="s">
        <v>864</v>
      </c>
      <c r="F45" s="147" t="s">
        <v>853</v>
      </c>
      <c r="G45" s="857"/>
      <c r="H45" s="858"/>
      <c r="I45" s="857"/>
      <c r="J45" s="858"/>
      <c r="K45" s="486"/>
      <c r="X45" s="50">
        <v>0</v>
      </c>
    </row>
    <row r="46" s="50" customFormat="1" ht="11.25" hidden="1" customHeight="1">
      <c r="A46" s="845"/>
      <c r="B46" s="57"/>
      <c r="D46" s="855" t="s">
        <v>790</v>
      </c>
      <c r="E46" s="863" t="s">
        <v>865</v>
      </c>
      <c r="F46" s="147" t="s">
        <v>853</v>
      </c>
      <c r="G46" s="857"/>
      <c r="H46" s="858"/>
      <c r="I46" s="857"/>
      <c r="J46" s="858"/>
      <c r="K46" s="486"/>
      <c r="X46" s="50">
        <v>0</v>
      </c>
    </row>
    <row r="47" s="50" customFormat="1" ht="11.25" hidden="1" customHeight="1">
      <c r="A47" s="845"/>
      <c r="B47" s="57"/>
      <c r="D47" s="855" t="s">
        <v>793</v>
      </c>
      <c r="E47" s="863" t="s">
        <v>866</v>
      </c>
      <c r="F47" s="147" t="s">
        <v>853</v>
      </c>
      <c r="G47" s="857"/>
      <c r="H47" s="858"/>
      <c r="I47" s="857"/>
      <c r="J47" s="858"/>
      <c r="K47" s="486"/>
      <c r="X47" s="50">
        <v>0</v>
      </c>
    </row>
    <row r="48" s="50" customFormat="1" ht="11.25" hidden="1" customHeight="1">
      <c r="A48" s="845"/>
      <c r="B48" s="57"/>
      <c r="D48" s="855" t="s">
        <v>867</v>
      </c>
      <c r="E48" s="866" t="s">
        <v>868</v>
      </c>
      <c r="F48" s="147" t="s">
        <v>853</v>
      </c>
      <c r="G48" s="857"/>
      <c r="H48" s="858"/>
      <c r="I48" s="857"/>
      <c r="J48" s="858"/>
      <c r="K48" s="486"/>
      <c r="X48" s="50">
        <v>0</v>
      </c>
    </row>
    <row r="49" s="50" customFormat="1" ht="11.25" hidden="1" customHeight="1">
      <c r="A49" s="845"/>
      <c r="B49" s="57"/>
      <c r="D49" s="855" t="s">
        <v>869</v>
      </c>
      <c r="E49" s="866" t="s">
        <v>870</v>
      </c>
      <c r="F49" s="147" t="s">
        <v>853</v>
      </c>
      <c r="G49" s="857"/>
      <c r="H49" s="858"/>
      <c r="I49" s="857"/>
      <c r="J49" s="858"/>
      <c r="K49" s="486"/>
      <c r="X49" s="50">
        <v>0</v>
      </c>
    </row>
    <row r="50" s="50" customFormat="1" ht="11.25" hidden="1" customHeight="1">
      <c r="A50" s="845"/>
      <c r="B50" s="57"/>
      <c r="D50" s="855" t="s">
        <v>871</v>
      </c>
      <c r="E50" s="863" t="s">
        <v>872</v>
      </c>
      <c r="F50" s="147" t="s">
        <v>853</v>
      </c>
      <c r="G50" s="857"/>
      <c r="H50" s="858"/>
      <c r="I50" s="857"/>
      <c r="J50" s="858"/>
      <c r="K50" s="486"/>
      <c r="X50" s="50">
        <v>0</v>
      </c>
    </row>
    <row r="51" s="50" customFormat="1" ht="11.25" hidden="1" customHeight="1">
      <c r="A51" s="845"/>
      <c r="B51" s="57"/>
      <c r="D51" s="855" t="s">
        <v>873</v>
      </c>
      <c r="E51" s="863" t="s">
        <v>874</v>
      </c>
      <c r="F51" s="147" t="s">
        <v>853</v>
      </c>
      <c r="G51" s="857"/>
      <c r="H51" s="858"/>
      <c r="I51" s="857"/>
      <c r="J51" s="858"/>
      <c r="K51" s="486"/>
      <c r="X51" s="50">
        <v>0</v>
      </c>
    </row>
    <row r="52" s="50" customFormat="1" ht="45" hidden="1" customHeight="1">
      <c r="A52" s="845"/>
      <c r="B52" s="57"/>
      <c r="D52" s="855" t="s">
        <v>107</v>
      </c>
      <c r="E52" s="865" t="s">
        <v>875</v>
      </c>
      <c r="F52" s="147" t="s">
        <v>853</v>
      </c>
      <c r="G52" s="857"/>
      <c r="H52" s="858"/>
      <c r="I52" s="857"/>
      <c r="J52" s="858"/>
      <c r="K52" s="486"/>
      <c r="X52" s="50">
        <v>0</v>
      </c>
    </row>
    <row r="53" s="50" customFormat="1" ht="11.25" hidden="1" customHeight="1">
      <c r="A53" s="845"/>
      <c r="B53" s="57"/>
      <c r="D53" s="855" t="s">
        <v>307</v>
      </c>
      <c r="E53" s="863" t="s">
        <v>864</v>
      </c>
      <c r="F53" s="147" t="s">
        <v>853</v>
      </c>
      <c r="G53" s="857"/>
      <c r="H53" s="858"/>
      <c r="I53" s="857"/>
      <c r="J53" s="858"/>
      <c r="K53" s="486"/>
      <c r="X53" s="50">
        <v>0</v>
      </c>
    </row>
    <row r="54" s="50" customFormat="1" ht="11.25" hidden="1" customHeight="1">
      <c r="A54" s="845"/>
      <c r="B54" s="57"/>
      <c r="D54" s="855" t="s">
        <v>876</v>
      </c>
      <c r="E54" s="863" t="s">
        <v>865</v>
      </c>
      <c r="F54" s="147" t="s">
        <v>853</v>
      </c>
      <c r="G54" s="857"/>
      <c r="H54" s="858"/>
      <c r="I54" s="857"/>
      <c r="J54" s="858"/>
      <c r="K54" s="486"/>
      <c r="X54" s="50">
        <v>0</v>
      </c>
    </row>
    <row r="55" s="50" customFormat="1" ht="11.25" hidden="1" customHeight="1">
      <c r="A55" s="845"/>
      <c r="B55" s="57"/>
      <c r="D55" s="855" t="s">
        <v>877</v>
      </c>
      <c r="E55" s="863" t="s">
        <v>866</v>
      </c>
      <c r="F55" s="147" t="s">
        <v>853</v>
      </c>
      <c r="G55" s="857"/>
      <c r="H55" s="858"/>
      <c r="I55" s="857"/>
      <c r="J55" s="858"/>
      <c r="K55" s="486"/>
      <c r="X55" s="50">
        <v>0</v>
      </c>
    </row>
    <row r="56" s="50" customFormat="1" ht="11.25" hidden="1" customHeight="1">
      <c r="A56" s="845"/>
      <c r="B56" s="57"/>
      <c r="D56" s="855" t="s">
        <v>878</v>
      </c>
      <c r="E56" s="866" t="s">
        <v>868</v>
      </c>
      <c r="F56" s="147" t="s">
        <v>853</v>
      </c>
      <c r="G56" s="857"/>
      <c r="H56" s="858"/>
      <c r="I56" s="857"/>
      <c r="J56" s="858"/>
      <c r="K56" s="486"/>
      <c r="X56" s="50">
        <v>0</v>
      </c>
    </row>
    <row r="57" s="50" customFormat="1" ht="11.25" hidden="1" customHeight="1">
      <c r="A57" s="845"/>
      <c r="B57" s="57"/>
      <c r="D57" s="855" t="s">
        <v>879</v>
      </c>
      <c r="E57" s="866" t="s">
        <v>870</v>
      </c>
      <c r="F57" s="147" t="s">
        <v>853</v>
      </c>
      <c r="G57" s="857"/>
      <c r="H57" s="858"/>
      <c r="I57" s="857"/>
      <c r="J57" s="858"/>
      <c r="K57" s="486"/>
      <c r="X57" s="50">
        <v>0</v>
      </c>
    </row>
    <row r="58" s="50" customFormat="1" ht="11.25" hidden="1" customHeight="1">
      <c r="A58" s="845"/>
      <c r="B58" s="57"/>
      <c r="D58" s="855" t="s">
        <v>880</v>
      </c>
      <c r="E58" s="863" t="s">
        <v>872</v>
      </c>
      <c r="F58" s="147" t="s">
        <v>853</v>
      </c>
      <c r="G58" s="857"/>
      <c r="H58" s="858"/>
      <c r="I58" s="857"/>
      <c r="J58" s="858"/>
      <c r="K58" s="486"/>
      <c r="X58" s="50">
        <v>0</v>
      </c>
    </row>
    <row r="59" s="50" customFormat="1" ht="11.25" hidden="1" customHeight="1">
      <c r="A59" s="845"/>
      <c r="B59" s="57"/>
      <c r="D59" s="855" t="s">
        <v>881</v>
      </c>
      <c r="E59" s="863" t="s">
        <v>874</v>
      </c>
      <c r="F59" s="147" t="s">
        <v>853</v>
      </c>
      <c r="G59" s="857"/>
      <c r="H59" s="858"/>
      <c r="I59" s="857"/>
      <c r="J59" s="858"/>
      <c r="K59" s="486"/>
      <c r="X59" s="50">
        <v>0</v>
      </c>
    </row>
    <row r="60" s="50" customFormat="1" ht="33.75" hidden="1" customHeight="1">
      <c r="A60" s="845"/>
      <c r="B60" s="57"/>
      <c r="D60" s="855" t="s">
        <v>91</v>
      </c>
      <c r="E60" s="865" t="s">
        <v>882</v>
      </c>
      <c r="F60" s="867" t="s">
        <v>552</v>
      </c>
      <c r="G60" s="764"/>
      <c r="H60" s="858"/>
      <c r="I60" s="764"/>
      <c r="J60" s="858"/>
      <c r="K60" s="560" t="s">
        <v>883</v>
      </c>
      <c r="X60" s="50">
        <v>0</v>
      </c>
    </row>
    <row r="61" s="50" customFormat="1" ht="33.75" hidden="1" customHeight="1">
      <c r="A61" s="845"/>
      <c r="B61" s="57"/>
      <c r="D61" s="855" t="s">
        <v>92</v>
      </c>
      <c r="E61" s="865" t="s">
        <v>884</v>
      </c>
      <c r="F61" s="868" t="s">
        <v>814</v>
      </c>
      <c r="G61" s="857"/>
      <c r="H61" s="858"/>
      <c r="I61" s="857"/>
      <c r="J61" s="858"/>
      <c r="K61" s="486"/>
      <c r="X61" s="50">
        <v>0</v>
      </c>
    </row>
    <row r="62" s="50" customFormat="1" ht="22.5" hidden="1" customHeight="1">
      <c r="A62" s="845"/>
      <c r="B62" s="57" t="s">
        <v>582</v>
      </c>
      <c r="D62" s="855" t="s">
        <v>108</v>
      </c>
      <c r="E62" s="865" t="s">
        <v>885</v>
      </c>
      <c r="F62" s="868" t="s">
        <v>300</v>
      </c>
      <c r="G62" s="471"/>
      <c r="H62" s="858"/>
      <c r="I62" s="471"/>
      <c r="J62" s="858"/>
      <c r="K62" s="486" t="s">
        <v>625</v>
      </c>
      <c r="X62" s="50">
        <v>0</v>
      </c>
    </row>
    <row r="63" s="50" customFormat="1" ht="45" hidden="1" customHeight="1">
      <c r="A63" s="845"/>
      <c r="B63" s="57" t="s">
        <v>582</v>
      </c>
      <c r="D63" s="855" t="s">
        <v>886</v>
      </c>
      <c r="E63" s="863" t="s">
        <v>887</v>
      </c>
      <c r="F63" s="867" t="s">
        <v>300</v>
      </c>
      <c r="G63" s="471"/>
      <c r="H63" s="858"/>
      <c r="I63" s="471"/>
      <c r="J63" s="858"/>
      <c r="K63" s="486" t="s">
        <v>625</v>
      </c>
      <c r="X63" s="50">
        <v>0</v>
      </c>
    </row>
    <row r="64" s="50" customFormat="1" ht="11.5" customHeight="1">
      <c r="A64" s="125"/>
      <c r="B64" s="57"/>
      <c r="D64" s="396"/>
      <c r="E64" s="849"/>
      <c r="X64" s="50">
        <v>11</v>
      </c>
    </row>
    <row r="65" s="50" customFormat="1" ht="22.5" customHeight="1">
      <c r="A65" s="845" t="s">
        <v>888</v>
      </c>
      <c r="B65" s="57"/>
      <c r="D65" s="855">
        <v>1</v>
      </c>
      <c r="E65" s="869" t="s">
        <v>889</v>
      </c>
      <c r="F65" s="870" t="s">
        <v>804</v>
      </c>
      <c r="G65" s="860"/>
      <c r="H65" s="871"/>
      <c r="I65" s="860"/>
      <c r="J65" s="871"/>
      <c r="K65" s="550" t="s">
        <v>890</v>
      </c>
      <c r="X65" s="50">
        <v>0</v>
      </c>
    </row>
    <row r="66" s="50" customFormat="1" ht="56.25" customHeight="1">
      <c r="A66" s="845"/>
      <c r="B66" s="57"/>
      <c r="D66" s="872" t="s">
        <v>106</v>
      </c>
      <c r="E66" s="314" t="s">
        <v>891</v>
      </c>
      <c r="F66" s="147" t="s">
        <v>540</v>
      </c>
      <c r="G66" s="147" t="s">
        <v>540</v>
      </c>
      <c r="H66" s="850"/>
      <c r="I66" s="147" t="s">
        <v>540</v>
      </c>
      <c r="J66" s="850"/>
      <c r="K66" s="486"/>
      <c r="X66" s="50">
        <v>0</v>
      </c>
    </row>
    <row r="67" s="50" customFormat="1" ht="33.75" customHeight="1">
      <c r="A67" s="845"/>
      <c r="B67" s="57"/>
      <c r="D67" s="872" t="s">
        <v>703</v>
      </c>
      <c r="E67" s="674" t="s">
        <v>892</v>
      </c>
      <c r="F67" s="147" t="s">
        <v>856</v>
      </c>
      <c r="G67" s="817"/>
      <c r="H67" s="850"/>
      <c r="I67" s="817"/>
      <c r="J67" s="850"/>
      <c r="K67" s="486"/>
      <c r="X67" s="50">
        <v>0</v>
      </c>
    </row>
    <row r="68" s="50" customFormat="1" ht="22.5" customHeight="1">
      <c r="A68" s="845"/>
      <c r="B68" s="57"/>
      <c r="D68" s="872" t="s">
        <v>301</v>
      </c>
      <c r="E68" s="674" t="s">
        <v>893</v>
      </c>
      <c r="F68" s="147" t="s">
        <v>856</v>
      </c>
      <c r="G68" s="817"/>
      <c r="H68" s="850"/>
      <c r="I68" s="817"/>
      <c r="J68" s="850"/>
      <c r="K68" s="486"/>
      <c r="X68" s="50">
        <v>0</v>
      </c>
    </row>
    <row r="69" s="50" customFormat="1" ht="22.5" customHeight="1">
      <c r="A69" s="845"/>
      <c r="B69" s="57"/>
      <c r="D69" s="872" t="s">
        <v>304</v>
      </c>
      <c r="E69" s="674" t="s">
        <v>894</v>
      </c>
      <c r="F69" s="867" t="s">
        <v>552</v>
      </c>
      <c r="G69" s="764"/>
      <c r="H69" s="850"/>
      <c r="I69" s="764"/>
      <c r="J69" s="850"/>
      <c r="K69" s="486"/>
      <c r="X69" s="50">
        <v>0</v>
      </c>
    </row>
    <row r="70" s="50" customFormat="1" ht="22.5" customHeight="1">
      <c r="A70" s="845"/>
      <c r="B70" s="57"/>
      <c r="D70" s="872" t="s">
        <v>723</v>
      </c>
      <c r="E70" s="674" t="s">
        <v>895</v>
      </c>
      <c r="F70" s="867" t="s">
        <v>552</v>
      </c>
      <c r="G70" s="764"/>
      <c r="H70" s="850"/>
      <c r="I70" s="764"/>
      <c r="J70" s="850"/>
      <c r="K70" s="486"/>
      <c r="X70" s="50">
        <v>0</v>
      </c>
    </row>
    <row r="71" s="50" customFormat="1" ht="22.5" customHeight="1">
      <c r="A71" s="845"/>
      <c r="B71" s="57"/>
      <c r="D71" s="855" t="s">
        <v>89</v>
      </c>
      <c r="E71" s="865" t="s">
        <v>896</v>
      </c>
      <c r="F71" s="147" t="s">
        <v>856</v>
      </c>
      <c r="G71" s="728"/>
      <c r="H71" s="854"/>
      <c r="I71" s="728"/>
      <c r="J71" s="854"/>
      <c r="K71" s="560"/>
      <c r="X71" s="50">
        <v>0</v>
      </c>
    </row>
    <row r="72" s="50" customFormat="1" ht="56.25" customHeight="1">
      <c r="A72" s="845"/>
      <c r="B72" s="57"/>
      <c r="D72" s="855" t="s">
        <v>90</v>
      </c>
      <c r="E72" s="865" t="s">
        <v>897</v>
      </c>
      <c r="F72" s="867" t="s">
        <v>552</v>
      </c>
      <c r="G72" s="764"/>
      <c r="H72" s="858"/>
      <c r="I72" s="764"/>
      <c r="J72" s="858"/>
      <c r="K72" s="560"/>
      <c r="X72" s="50">
        <v>0</v>
      </c>
    </row>
    <row r="73" s="50" customFormat="1" ht="33.75" customHeight="1">
      <c r="A73" s="845"/>
      <c r="B73" s="57"/>
      <c r="D73" s="855" t="s">
        <v>107</v>
      </c>
      <c r="E73" s="865" t="s">
        <v>898</v>
      </c>
      <c r="F73" s="868" t="s">
        <v>814</v>
      </c>
      <c r="G73" s="857"/>
      <c r="H73" s="858"/>
      <c r="I73" s="857"/>
      <c r="J73" s="858"/>
      <c r="K73" s="486"/>
      <c r="X73" s="50">
        <v>0</v>
      </c>
    </row>
    <row r="74" s="50" customFormat="1" ht="22.5" customHeight="1">
      <c r="A74" s="845"/>
      <c r="B74" s="57" t="s">
        <v>582</v>
      </c>
      <c r="D74" s="855" t="s">
        <v>91</v>
      </c>
      <c r="E74" s="865" t="s">
        <v>899</v>
      </c>
      <c r="F74" s="868" t="s">
        <v>300</v>
      </c>
      <c r="G74" s="471"/>
      <c r="H74" s="858"/>
      <c r="I74" s="471"/>
      <c r="J74" s="858"/>
      <c r="K74" s="486" t="s">
        <v>625</v>
      </c>
      <c r="X74" s="50">
        <v>0</v>
      </c>
    </row>
    <row r="75" s="50" customFormat="1" ht="45" customHeight="1">
      <c r="A75" s="845"/>
      <c r="B75" s="57" t="s">
        <v>582</v>
      </c>
      <c r="D75" s="855" t="s">
        <v>646</v>
      </c>
      <c r="E75" s="863" t="s">
        <v>900</v>
      </c>
      <c r="F75" s="867" t="s">
        <v>300</v>
      </c>
      <c r="G75" s="471"/>
      <c r="H75" s="858"/>
      <c r="I75" s="471"/>
      <c r="J75" s="858"/>
      <c r="K75" s="486" t="s">
        <v>625</v>
      </c>
      <c r="X75" s="50">
        <v>0</v>
      </c>
    </row>
    <row r="76" s="50" customFormat="1" ht="11.5" customHeight="1">
      <c r="A76" s="125"/>
      <c r="B76" s="57"/>
      <c r="D76" s="396"/>
      <c r="E76" s="849"/>
      <c r="X76" s="50">
        <v>11</v>
      </c>
    </row>
    <row r="77" s="50" customFormat="1" ht="11.25" hidden="1" customHeight="1">
      <c r="A77" s="845" t="s">
        <v>901</v>
      </c>
      <c r="B77" s="57"/>
      <c r="D77" s="855">
        <v>1</v>
      </c>
      <c r="E77" s="865" t="s">
        <v>902</v>
      </c>
      <c r="F77" s="867" t="s">
        <v>804</v>
      </c>
      <c r="G77" s="873"/>
      <c r="H77" s="858"/>
      <c r="I77" s="873"/>
      <c r="J77" s="858"/>
      <c r="K77" s="486" t="s">
        <v>903</v>
      </c>
      <c r="X77" s="50">
        <v>0</v>
      </c>
    </row>
    <row r="78" s="50" customFormat="1" ht="11.25" hidden="1" customHeight="1">
      <c r="A78" s="845"/>
      <c r="B78" s="57"/>
      <c r="D78" s="855" t="s">
        <v>106</v>
      </c>
      <c r="E78" s="865" t="s">
        <v>904</v>
      </c>
      <c r="F78" s="867" t="s">
        <v>804</v>
      </c>
      <c r="G78" s="873"/>
      <c r="H78" s="858"/>
      <c r="I78" s="873"/>
      <c r="J78" s="858"/>
      <c r="K78" s="486" t="s">
        <v>905</v>
      </c>
      <c r="X78" s="50">
        <v>0</v>
      </c>
    </row>
    <row r="79" s="50" customFormat="1" ht="22.5" hidden="1" customHeight="1">
      <c r="A79" s="845"/>
      <c r="B79" s="57"/>
      <c r="D79" s="855" t="s">
        <v>89</v>
      </c>
      <c r="E79" s="861" t="s">
        <v>906</v>
      </c>
      <c r="F79" s="147" t="s">
        <v>853</v>
      </c>
      <c r="G79" s="873"/>
      <c r="H79" s="858"/>
      <c r="I79" s="873"/>
      <c r="J79" s="858"/>
      <c r="K79" s="486" t="s">
        <v>907</v>
      </c>
      <c r="X79" s="50">
        <v>0</v>
      </c>
    </row>
    <row r="80" s="50" customFormat="1" ht="11.25" hidden="1" customHeight="1">
      <c r="A80" s="845"/>
      <c r="B80" s="57"/>
      <c r="D80" s="855" t="s">
        <v>318</v>
      </c>
      <c r="E80" s="856" t="s">
        <v>908</v>
      </c>
      <c r="F80" s="147" t="s">
        <v>853</v>
      </c>
      <c r="G80" s="873"/>
      <c r="H80" s="858"/>
      <c r="I80" s="873"/>
      <c r="J80" s="858"/>
      <c r="K80" s="486"/>
      <c r="X80" s="50">
        <v>0</v>
      </c>
    </row>
    <row r="81" s="50" customFormat="1" ht="11.25" hidden="1" customHeight="1">
      <c r="A81" s="845"/>
      <c r="B81" s="57"/>
      <c r="D81" s="855" t="s">
        <v>326</v>
      </c>
      <c r="E81" s="856" t="s">
        <v>909</v>
      </c>
      <c r="F81" s="147" t="s">
        <v>853</v>
      </c>
      <c r="G81" s="873"/>
      <c r="H81" s="858"/>
      <c r="I81" s="873"/>
      <c r="J81" s="858"/>
      <c r="K81" s="486"/>
      <c r="X81" s="50">
        <v>0</v>
      </c>
    </row>
    <row r="82" s="50" customFormat="1" ht="11.25" hidden="1" customHeight="1">
      <c r="A82" s="845"/>
      <c r="B82" s="57"/>
      <c r="D82" s="855" t="s">
        <v>328</v>
      </c>
      <c r="E82" s="856" t="s">
        <v>910</v>
      </c>
      <c r="F82" s="147" t="s">
        <v>853</v>
      </c>
      <c r="G82" s="873"/>
      <c r="H82" s="858"/>
      <c r="I82" s="873"/>
      <c r="J82" s="858"/>
      <c r="K82" s="486"/>
      <c r="X82" s="50">
        <v>0</v>
      </c>
    </row>
    <row r="83" s="50" customFormat="1" ht="11.25" hidden="1" customHeight="1">
      <c r="A83" s="845"/>
      <c r="B83" s="57"/>
      <c r="D83" s="855" t="s">
        <v>330</v>
      </c>
      <c r="E83" s="856" t="s">
        <v>911</v>
      </c>
      <c r="F83" s="147" t="s">
        <v>853</v>
      </c>
      <c r="G83" s="873"/>
      <c r="H83" s="858"/>
      <c r="I83" s="873"/>
      <c r="J83" s="858"/>
      <c r="K83" s="486"/>
      <c r="X83" s="50">
        <v>0</v>
      </c>
    </row>
    <row r="84" s="50" customFormat="1" ht="11.25" hidden="1" customHeight="1">
      <c r="A84" s="845"/>
      <c r="B84" s="57"/>
      <c r="D84" s="855" t="s">
        <v>912</v>
      </c>
      <c r="E84" s="856" t="s">
        <v>913</v>
      </c>
      <c r="F84" s="147" t="s">
        <v>853</v>
      </c>
      <c r="G84" s="873"/>
      <c r="H84" s="858"/>
      <c r="I84" s="873"/>
      <c r="J84" s="858"/>
      <c r="K84" s="486"/>
      <c r="X84" s="50">
        <v>0</v>
      </c>
    </row>
    <row r="85" s="50" customFormat="1" ht="11.25" hidden="1" customHeight="1">
      <c r="A85" s="845"/>
      <c r="B85" s="57"/>
      <c r="D85" s="855" t="s">
        <v>914</v>
      </c>
      <c r="E85" s="856" t="s">
        <v>915</v>
      </c>
      <c r="F85" s="147" t="s">
        <v>853</v>
      </c>
      <c r="G85" s="873"/>
      <c r="H85" s="858"/>
      <c r="I85" s="873"/>
      <c r="J85" s="858"/>
      <c r="K85" s="486"/>
      <c r="X85" s="50">
        <v>0</v>
      </c>
    </row>
    <row r="86" s="50" customFormat="1" ht="11.25" hidden="1" customHeight="1">
      <c r="A86" s="845"/>
      <c r="B86" s="57"/>
      <c r="D86" s="855" t="s">
        <v>916</v>
      </c>
      <c r="E86" s="856" t="s">
        <v>917</v>
      </c>
      <c r="F86" s="147" t="s">
        <v>853</v>
      </c>
      <c r="G86" s="873"/>
      <c r="H86" s="858"/>
      <c r="I86" s="873"/>
      <c r="J86" s="858"/>
      <c r="K86" s="486"/>
      <c r="X86" s="50">
        <v>0</v>
      </c>
    </row>
    <row r="87" s="50" customFormat="1" ht="45" hidden="1" customHeight="1">
      <c r="A87" s="845"/>
      <c r="B87" s="57"/>
      <c r="D87" s="855" t="s">
        <v>90</v>
      </c>
      <c r="E87" s="865" t="s">
        <v>918</v>
      </c>
      <c r="F87" s="147" t="s">
        <v>853</v>
      </c>
      <c r="G87" s="873"/>
      <c r="H87" s="858"/>
      <c r="I87" s="873"/>
      <c r="J87" s="858"/>
      <c r="K87" s="486" t="s">
        <v>919</v>
      </c>
      <c r="X87" s="50">
        <v>0</v>
      </c>
    </row>
    <row r="88" s="50" customFormat="1" ht="11.25" hidden="1" customHeight="1">
      <c r="A88" s="845"/>
      <c r="B88" s="57"/>
      <c r="D88" s="855" t="s">
        <v>748</v>
      </c>
      <c r="E88" s="856" t="s">
        <v>908</v>
      </c>
      <c r="F88" s="147" t="s">
        <v>853</v>
      </c>
      <c r="G88" s="873"/>
      <c r="H88" s="858"/>
      <c r="I88" s="873"/>
      <c r="J88" s="858"/>
      <c r="K88" s="486"/>
      <c r="X88" s="50">
        <v>0</v>
      </c>
    </row>
    <row r="89" s="50" customFormat="1" ht="11.25" hidden="1" customHeight="1">
      <c r="A89" s="845"/>
      <c r="B89" s="57"/>
      <c r="D89" s="855" t="s">
        <v>790</v>
      </c>
      <c r="E89" s="856" t="s">
        <v>909</v>
      </c>
      <c r="F89" s="147" t="s">
        <v>853</v>
      </c>
      <c r="G89" s="873"/>
      <c r="H89" s="858"/>
      <c r="I89" s="873"/>
      <c r="J89" s="858"/>
      <c r="K89" s="486"/>
      <c r="X89" s="50">
        <v>0</v>
      </c>
    </row>
    <row r="90" s="50" customFormat="1" ht="11.25" hidden="1" customHeight="1">
      <c r="A90" s="845"/>
      <c r="B90" s="57"/>
      <c r="D90" s="855" t="s">
        <v>793</v>
      </c>
      <c r="E90" s="856" t="s">
        <v>910</v>
      </c>
      <c r="F90" s="147" t="s">
        <v>853</v>
      </c>
      <c r="G90" s="873"/>
      <c r="H90" s="858"/>
      <c r="I90" s="873"/>
      <c r="J90" s="858"/>
      <c r="K90" s="486"/>
      <c r="X90" s="50">
        <v>0</v>
      </c>
    </row>
    <row r="91" s="50" customFormat="1" ht="11.25" hidden="1" customHeight="1">
      <c r="A91" s="845"/>
      <c r="B91" s="57"/>
      <c r="D91" s="855" t="s">
        <v>871</v>
      </c>
      <c r="E91" s="856" t="s">
        <v>911</v>
      </c>
      <c r="F91" s="147" t="s">
        <v>853</v>
      </c>
      <c r="G91" s="873"/>
      <c r="H91" s="858"/>
      <c r="I91" s="873"/>
      <c r="J91" s="858"/>
      <c r="K91" s="486"/>
      <c r="X91" s="50">
        <v>0</v>
      </c>
    </row>
    <row r="92" s="50" customFormat="1" ht="11.25" hidden="1" customHeight="1">
      <c r="A92" s="845"/>
      <c r="B92" s="57"/>
      <c r="D92" s="855" t="s">
        <v>873</v>
      </c>
      <c r="E92" s="856" t="s">
        <v>913</v>
      </c>
      <c r="F92" s="147" t="s">
        <v>853</v>
      </c>
      <c r="G92" s="873"/>
      <c r="H92" s="858"/>
      <c r="I92" s="873"/>
      <c r="J92" s="858"/>
      <c r="K92" s="486"/>
      <c r="X92" s="50">
        <v>0</v>
      </c>
    </row>
    <row r="93" s="50" customFormat="1" ht="11.25" hidden="1" customHeight="1">
      <c r="A93" s="845"/>
      <c r="B93" s="57"/>
      <c r="D93" s="855" t="s">
        <v>920</v>
      </c>
      <c r="E93" s="856" t="s">
        <v>915</v>
      </c>
      <c r="F93" s="147" t="s">
        <v>853</v>
      </c>
      <c r="G93" s="873"/>
      <c r="H93" s="858"/>
      <c r="I93" s="873"/>
      <c r="J93" s="858"/>
      <c r="K93" s="486"/>
      <c r="X93" s="50">
        <v>0</v>
      </c>
    </row>
    <row r="94" s="50" customFormat="1" ht="11.25" hidden="1" customHeight="1">
      <c r="A94" s="845"/>
      <c r="B94" s="57"/>
      <c r="D94" s="855" t="s">
        <v>921</v>
      </c>
      <c r="E94" s="856" t="s">
        <v>917</v>
      </c>
      <c r="F94" s="147" t="s">
        <v>853</v>
      </c>
      <c r="G94" s="873"/>
      <c r="H94" s="858"/>
      <c r="I94" s="873"/>
      <c r="J94" s="858"/>
      <c r="K94" s="486"/>
      <c r="X94" s="50">
        <v>0</v>
      </c>
    </row>
    <row r="95" s="50" customFormat="1" ht="24.75" hidden="1" customHeight="1">
      <c r="A95" s="845"/>
      <c r="B95" s="57"/>
      <c r="D95" s="855" t="s">
        <v>107</v>
      </c>
      <c r="E95" s="865" t="s">
        <v>922</v>
      </c>
      <c r="F95" s="874" t="s">
        <v>552</v>
      </c>
      <c r="G95" s="817"/>
      <c r="H95" s="858"/>
      <c r="I95" s="817"/>
      <c r="J95" s="858"/>
      <c r="K95" s="486" t="s">
        <v>923</v>
      </c>
      <c r="X95" s="50">
        <v>0</v>
      </c>
    </row>
    <row r="96" s="50" customFormat="1" ht="33.75" hidden="1" customHeight="1">
      <c r="A96" s="845"/>
      <c r="B96" s="57"/>
      <c r="D96" s="855" t="s">
        <v>91</v>
      </c>
      <c r="E96" s="865" t="s">
        <v>924</v>
      </c>
      <c r="F96" s="868" t="s">
        <v>814</v>
      </c>
      <c r="G96" s="875"/>
      <c r="H96" s="858"/>
      <c r="I96" s="875"/>
      <c r="J96" s="858"/>
      <c r="K96" s="486"/>
      <c r="X96" s="50">
        <v>0</v>
      </c>
    </row>
    <row r="97" s="50" customFormat="1" ht="22.5" hidden="1" customHeight="1">
      <c r="A97" s="845"/>
      <c r="B97" s="57" t="s">
        <v>582</v>
      </c>
      <c r="D97" s="855" t="s">
        <v>92</v>
      </c>
      <c r="E97" s="865" t="s">
        <v>925</v>
      </c>
      <c r="F97" s="868" t="s">
        <v>300</v>
      </c>
      <c r="G97" s="820"/>
      <c r="H97" s="858"/>
      <c r="I97" s="820"/>
      <c r="J97" s="858"/>
      <c r="K97" s="486" t="s">
        <v>625</v>
      </c>
      <c r="X97" s="50">
        <v>0</v>
      </c>
    </row>
    <row r="98" s="50" customFormat="1" ht="45" hidden="1" customHeight="1">
      <c r="A98" s="845"/>
      <c r="B98" s="57" t="s">
        <v>582</v>
      </c>
      <c r="D98" s="855" t="s">
        <v>926</v>
      </c>
      <c r="E98" s="863" t="s">
        <v>927</v>
      </c>
      <c r="F98" s="867" t="s">
        <v>300</v>
      </c>
      <c r="G98" s="820"/>
      <c r="H98" s="858"/>
      <c r="I98" s="820"/>
      <c r="J98" s="858"/>
      <c r="K98" s="486" t="s">
        <v>625</v>
      </c>
      <c r="X98" s="50">
        <v>0</v>
      </c>
    </row>
    <row r="99" s="50" customFormat="1" ht="95.25" hidden="1" customHeight="1">
      <c r="A99" s="845"/>
      <c r="B99" s="57" t="s">
        <v>582</v>
      </c>
      <c r="D99" s="855" t="s">
        <v>108</v>
      </c>
      <c r="E99" s="865" t="s">
        <v>928</v>
      </c>
      <c r="F99" s="867" t="s">
        <v>300</v>
      </c>
      <c r="G99" s="820"/>
      <c r="H99" s="858"/>
      <c r="I99" s="820"/>
      <c r="J99" s="858"/>
      <c r="K99" s="486" t="s">
        <v>625</v>
      </c>
      <c r="X99" s="50">
        <v>0</v>
      </c>
    </row>
    <row r="100" s="50" customFormat="1" ht="22.5" hidden="1" customHeight="1">
      <c r="A100" s="845"/>
      <c r="B100" s="57" t="s">
        <v>582</v>
      </c>
      <c r="D100" s="855" t="s">
        <v>144</v>
      </c>
      <c r="E100" s="865" t="s">
        <v>929</v>
      </c>
      <c r="F100" s="867" t="s">
        <v>300</v>
      </c>
      <c r="G100" s="820"/>
      <c r="H100" s="858"/>
      <c r="I100" s="820"/>
      <c r="J100" s="858"/>
      <c r="K100" s="486" t="s">
        <v>625</v>
      </c>
      <c r="X100" s="50">
        <v>0</v>
      </c>
    </row>
    <row r="101" s="50" customFormat="1" ht="11.5" customHeight="1">
      <c r="A101" s="125"/>
      <c r="B101" s="57"/>
      <c r="D101" s="396"/>
      <c r="E101" s="849"/>
      <c r="X101" s="50">
        <v>11</v>
      </c>
    </row>
    <row r="102" ht="22.5" hidden="1" customHeight="1">
      <c r="A102" s="125" t="s">
        <v>81</v>
      </c>
      <c r="B102" s="57">
        <v>0</v>
      </c>
      <c r="C102" s="50">
        <v>3</v>
      </c>
      <c r="D102" s="50">
        <v>7</v>
      </c>
      <c r="E102" s="50">
        <v>69</v>
      </c>
      <c r="F102" s="50">
        <v>10</v>
      </c>
      <c r="G102" s="50">
        <v>0</v>
      </c>
      <c r="H102" s="50">
        <v>0</v>
      </c>
      <c r="I102" s="50">
        <v>43</v>
      </c>
      <c r="J102" s="50">
        <v>43</v>
      </c>
      <c r="K102" s="50">
        <v>73</v>
      </c>
      <c r="L102" s="50">
        <v>3</v>
      </c>
      <c r="M102" s="50">
        <v>10</v>
      </c>
      <c r="N102" s="50">
        <v>10</v>
      </c>
      <c r="O102" s="50">
        <v>10</v>
      </c>
      <c r="P102" s="50">
        <v>10</v>
      </c>
      <c r="Q102" s="50">
        <v>10</v>
      </c>
      <c r="R102" s="50">
        <v>10</v>
      </c>
      <c r="S102" s="50">
        <v>10</v>
      </c>
      <c r="T102" s="50">
        <v>10</v>
      </c>
      <c r="U102" s="50">
        <v>10</v>
      </c>
      <c r="V102" s="50">
        <v>10</v>
      </c>
      <c r="W102" s="50">
        <v>10</v>
      </c>
      <c r="X102" s="50">
        <v>23</v>
      </c>
    </row>
  </sheetData>
  <sheetProtection autoFilter="0" deleteColumns="1" deleteRows="1" formatCells="1" formatColumns="0" formatRows="0" insertColumns="1" insertHyperlinks="1" insertRows="1" objects="0" pivotTables="1" scenarios="0" selectLockedCells="0" selectUnlockedCells="0" sheet="1" sort="1"/>
  <mergeCells count="18">
    <mergeCell ref="D3:F3"/>
    <mergeCell ref="D4:F4"/>
    <mergeCell ref="E7:F7"/>
    <mergeCell ref="G7:H7"/>
    <mergeCell ref="I7:J7"/>
    <mergeCell ref="K7:K11"/>
    <mergeCell ref="E8:F8"/>
    <mergeCell ref="G8:H8"/>
    <mergeCell ref="I8:J8"/>
    <mergeCell ref="E9:F9"/>
    <mergeCell ref="G9:H9"/>
    <mergeCell ref="I9:J9"/>
    <mergeCell ref="D10:J10"/>
    <mergeCell ref="A11:B11"/>
    <mergeCell ref="A13:A35"/>
    <mergeCell ref="A37:A63"/>
    <mergeCell ref="A65:A75"/>
    <mergeCell ref="A77:A100"/>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6" disablePrompts="0">
        <x14:dataValidation xr:uid="{001F0015-00B3-428D-BE86-001B00940075}" type="list" allowBlank="1" error="Укажите значение вручную или выберите из списка!" errorStyle="stop" errorTitle="Ошибка" imeMode="noControl" operator="between" prompt="Укажите значение вручную или выберите из списка" showDropDown="0" showErrorMessage="0" showInputMessage="1">
          <x14:formula1>
            <xm:f>"Не утверждены"</xm:f>
          </x14:formula1>
          <xm:sqref>G19 I19</xm:sqref>
        </x14:dataValidation>
        <x14:dataValidation xr:uid="{007B00D0-0079-41DF-BD6C-00F300120052}" type="decimal" allowBlank="1" error="Введите значение от 0 до 100%" errorStyle="stop" errorTitle="Ошибка" imeMode="noControl" operator="between" showDropDown="0" showErrorMessage="1" showInputMessage="0">
          <x14:formula1>
            <xm:f>0</xm:f>
          </x14:formula1>
          <x14:formula2>
            <xm:f>100</xm:f>
          </x14:formula2>
          <xm:sqref>G31 G95 G60 G72 G42:G43 G69:G70 I31 I95 I60 I72 I42:I43 I69:I70</xm:sqref>
        </x14:dataValidation>
        <x14:dataValidation xr:uid="{00340015-0019-48B1-B156-00BE005400E1}"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H31:H32 J31:J32 G62:G63 G74:G75 G97:G100 I62:I63 I74:I75 I97:I100 H13:H14 H19 J19 J13:J14</xm:sqref>
        </x14:dataValidation>
        <x14:dataValidation xr:uid="{00800095-0078-460A-98EF-0062007300FD}"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G32 G67:G68 G39:G40 G37 G44:G59 G61 G77:G94 G73 G71 G96 G65 G18 G13:G14 G29:G30 G26:G27 I32 I67:I68 I39:I40 I37 I44:I59 I61 I77:I94 I73 I71 I96 I65 I18 I13:I14 I29:I30 I26:I27 I21:I22 G24 G21:G22 I24</xm:sqref>
        </x14:dataValidation>
        <x14:dataValidation xr:uid="{00B600B8-003F-4164-BDC9-002A00B0000C}"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G16:G17 I16:I17</xm:sqref>
        </x14:dataValidation>
        <x14:dataValidation xr:uid="{000600AC-003E-4D25-852B-006D00AC0052}" type="textLength" allowBlank="1" error="Допускается ввод не более 900 символов!" errorStyle="stop" errorTitle="Ошибка" imeMode="noControl" operator="lessThanOrEqual" showDropDown="0" showErrorMessage="1" showInputMessage="1">
          <x14:formula1>
            <xm:f>900</xm:f>
          </x14:formula1>
          <xm:sqref>H21:H22 H29:H30 H24 H26:H27 H15:H18 J26:J27 J15:J18 J21:J22 J29:J30 J24</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outlinePr applyStyles="0" summaryBelow="1" summaryRight="1" showOutlineSymbols="1"/>
    <pageSetUpPr autoPageBreaks="1" fitToPage="0"/>
  </sheetPr>
  <sheetViews>
    <sheetView showGridLines="0" zoomScale="90" workbookViewId="0">
      <pane xSplit="4" ySplit="12" topLeftCell="E13" activePane="bottomRight" state="frozen"/>
      <selection activeCell="A1" activeCellId="0" sqref="A1"/>
    </sheetView>
  </sheetViews>
  <sheetFormatPr defaultColWidth="9.140625" defaultRowHeight="11.25" customHeight="1"/>
  <cols>
    <col customWidth="1" hidden="1" min="1" max="1" style="185" width="6.421875"/>
    <col customWidth="1" hidden="1" min="2" max="2" style="185" width="2.00390625"/>
    <col customWidth="1" min="3" max="3" style="185" width="3.00390625"/>
    <col customWidth="1" min="4" max="4" style="185" width="4.00390625"/>
    <col customWidth="1" min="5" max="5" style="185" width="44.00390625"/>
    <col customWidth="1" min="6" max="6" style="185" width="6.421875"/>
    <col customWidth="1" min="7" max="7" style="185" width="4.00390625"/>
    <col customWidth="1" min="8" max="8" style="185" width="5.00390625"/>
    <col customWidth="1" min="9" max="9" style="185" width="52.00390625"/>
    <col customWidth="1" min="10" max="10" style="185" width="7.00390625"/>
    <col customWidth="1" min="11" max="11" style="185" width="3.00390625"/>
    <col customWidth="1" min="12" max="12" style="185" width="6.00390625"/>
    <col customWidth="1" min="13" max="13" style="185" width="56.00390625"/>
    <col customWidth="1" min="14" max="14" style="152" width="8.00390625"/>
    <col hidden="1" min="15" max="20" style="130" width="9.140625"/>
    <col hidden="1" min="21" max="24" style="107" width="9.140625"/>
    <col hidden="1" min="25" max="37" style="152" width="9.140625"/>
    <col customWidth="1" min="38" max="38" style="152" width="8.00390625"/>
    <col hidden="1" min="39" max="39" style="185" width="9.140625"/>
  </cols>
  <sheetData>
    <row r="1" ht="11.25" hidden="1" customHeight="1">
      <c r="AM1" s="185" t="s">
        <v>14</v>
      </c>
    </row>
    <row r="2" ht="11.25" hidden="1" customHeight="1">
      <c r="AM2" s="185">
        <v>0</v>
      </c>
    </row>
    <row r="3" ht="11.5" customHeight="1">
      <c r="AM3" s="185">
        <v>11</v>
      </c>
    </row>
    <row r="4" ht="35.649999999999999" customHeight="1">
      <c r="A4" s="107"/>
      <c r="B4" s="107"/>
      <c r="D4" s="186" t="str">
        <f>Титульный!E5</f>
        <v xml:space="preserve">Информация об инвестиционных программах регулируемой организации в области горячего водоснабжения</v>
      </c>
      <c r="E4" s="187"/>
      <c r="F4" s="187"/>
      <c r="G4" s="187"/>
      <c r="H4" s="187"/>
      <c r="I4" s="188"/>
      <c r="J4" s="152"/>
      <c r="K4" s="152"/>
      <c r="L4" s="152"/>
      <c r="M4" s="152"/>
      <c r="AM4" s="185">
        <v>34</v>
      </c>
    </row>
    <row r="5" s="189" customFormat="1" ht="14.65" customHeight="1">
      <c r="A5" s="107"/>
      <c r="B5" s="107"/>
      <c r="C5" s="107"/>
      <c r="D5" s="190" t="str">
        <f>IF(org=0,"Не определено",org)</f>
        <v xml:space="preserve">АО "ДГК" СП "Биробиджанская ТЭЦ"</v>
      </c>
      <c r="E5" s="191"/>
      <c r="F5" s="191"/>
      <c r="G5" s="191"/>
      <c r="H5" s="191"/>
      <c r="I5" s="192"/>
      <c r="J5" s="193"/>
      <c r="K5" s="193"/>
      <c r="L5" s="193"/>
      <c r="M5" s="193"/>
      <c r="N5" s="193"/>
      <c r="O5" s="194"/>
      <c r="P5" s="194"/>
      <c r="Q5" s="194"/>
      <c r="R5" s="194"/>
      <c r="S5" s="194"/>
      <c r="T5" s="194"/>
      <c r="U5" s="195"/>
      <c r="V5" s="195"/>
      <c r="W5" s="195"/>
      <c r="X5" s="195"/>
      <c r="Y5" s="193"/>
      <c r="Z5" s="193"/>
      <c r="AA5" s="193"/>
      <c r="AB5" s="193"/>
      <c r="AC5" s="193"/>
      <c r="AD5" s="193"/>
      <c r="AE5" s="193"/>
      <c r="AF5" s="193"/>
      <c r="AG5" s="193"/>
      <c r="AH5" s="193"/>
      <c r="AI5" s="193"/>
      <c r="AJ5" s="193"/>
      <c r="AK5" s="193"/>
      <c r="AL5" s="193"/>
      <c r="AM5" s="189">
        <v>14</v>
      </c>
    </row>
    <row r="6" s="189" customFormat="1" ht="6.2999999999999998" customHeight="1">
      <c r="A6" s="51"/>
      <c r="B6" s="51"/>
      <c r="C6" s="51"/>
      <c r="D6" s="51"/>
      <c r="E6" s="51"/>
      <c r="F6" s="51"/>
      <c r="G6" s="50"/>
      <c r="H6" s="50"/>
      <c r="I6" s="50"/>
      <c r="J6" s="50"/>
      <c r="K6" s="50"/>
      <c r="N6" s="193"/>
      <c r="O6" s="194"/>
      <c r="P6" s="194"/>
      <c r="Q6" s="194"/>
      <c r="R6" s="194"/>
      <c r="S6" s="194"/>
      <c r="T6" s="194"/>
      <c r="U6" s="195"/>
      <c r="V6" s="195"/>
      <c r="W6" s="195"/>
      <c r="X6" s="195"/>
      <c r="Y6" s="193"/>
      <c r="Z6" s="193"/>
      <c r="AA6" s="193"/>
      <c r="AB6" s="193"/>
      <c r="AC6" s="193"/>
      <c r="AD6" s="193"/>
      <c r="AE6" s="193"/>
      <c r="AF6" s="193"/>
      <c r="AG6" s="193"/>
      <c r="AH6" s="193"/>
      <c r="AI6" s="193"/>
      <c r="AJ6" s="193"/>
      <c r="AK6" s="193"/>
      <c r="AL6" s="193"/>
      <c r="AM6" s="189">
        <v>6</v>
      </c>
    </row>
    <row r="7" ht="45.75" hidden="1" customHeight="1">
      <c r="E7" s="19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 xml:space="preserve">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97"/>
      <c r="G7" s="197"/>
      <c r="H7" s="197"/>
      <c r="I7" s="197"/>
      <c r="J7" s="197"/>
      <c r="K7" s="197"/>
      <c r="L7" s="197"/>
      <c r="M7" s="197"/>
      <c r="AM7" s="185">
        <v>0</v>
      </c>
    </row>
    <row r="8" s="189" customFormat="1" ht="6.2999999999999998" customHeight="1">
      <c r="A8" s="198"/>
      <c r="B8" s="198"/>
      <c r="C8" s="198"/>
      <c r="D8" s="198"/>
      <c r="E8" s="198"/>
      <c r="F8" s="198"/>
      <c r="G8" s="198"/>
      <c r="H8" s="198"/>
      <c r="I8" s="198"/>
      <c r="J8" s="198"/>
      <c r="K8" s="198"/>
      <c r="L8" s="198"/>
      <c r="M8" s="189"/>
      <c r="N8" s="193"/>
      <c r="O8" s="194"/>
      <c r="P8" s="194"/>
      <c r="Q8" s="194"/>
      <c r="R8" s="194"/>
      <c r="S8" s="194"/>
      <c r="T8" s="194"/>
      <c r="U8" s="195"/>
      <c r="V8" s="195"/>
      <c r="W8" s="195"/>
      <c r="X8" s="195"/>
      <c r="Y8" s="193"/>
      <c r="Z8" s="193"/>
      <c r="AA8" s="193"/>
      <c r="AB8" s="193"/>
      <c r="AC8" s="193"/>
      <c r="AD8" s="193"/>
      <c r="AE8" s="193"/>
      <c r="AF8" s="193"/>
      <c r="AG8" s="193"/>
      <c r="AH8" s="193"/>
      <c r="AI8" s="193"/>
      <c r="AJ8" s="193"/>
      <c r="AK8" s="193"/>
      <c r="AL8" s="193"/>
      <c r="AM8" s="189">
        <v>6</v>
      </c>
    </row>
    <row r="9" ht="18.75" customHeight="1">
      <c r="A9" s="199"/>
      <c r="B9" s="50"/>
      <c r="C9" s="50"/>
      <c r="D9" s="158" t="s">
        <v>101</v>
      </c>
      <c r="E9" s="158"/>
      <c r="F9" s="200" t="s">
        <v>102</v>
      </c>
      <c r="G9" s="201"/>
      <c r="H9" s="201"/>
      <c r="I9" s="201"/>
      <c r="J9" s="202" t="s">
        <v>103</v>
      </c>
      <c r="K9" s="202"/>
      <c r="L9" s="202"/>
      <c r="M9" s="202"/>
      <c r="AM9" s="185">
        <v>18</v>
      </c>
    </row>
    <row r="10" ht="24" customHeight="1">
      <c r="A10" s="199"/>
      <c r="B10" s="51"/>
      <c r="C10" s="203"/>
      <c r="D10" s="158" t="s">
        <v>87</v>
      </c>
      <c r="E10" s="158" t="s">
        <v>88</v>
      </c>
      <c r="F10" s="158" t="s">
        <v>104</v>
      </c>
      <c r="G10" s="204" t="s">
        <v>87</v>
      </c>
      <c r="H10" s="205"/>
      <c r="I10" s="158" t="s">
        <v>88</v>
      </c>
      <c r="J10" s="158" t="s">
        <v>104</v>
      </c>
      <c r="K10" s="204" t="s">
        <v>87</v>
      </c>
      <c r="L10" s="205"/>
      <c r="M10" s="158" t="s">
        <v>88</v>
      </c>
      <c r="N10" s="206"/>
      <c r="AM10" s="185">
        <v>23</v>
      </c>
    </row>
    <row r="11" s="185" customFormat="1" ht="11.25" hidden="1" customHeight="1">
      <c r="A11" s="207"/>
      <c r="B11" s="207"/>
      <c r="C11" s="207"/>
      <c r="D11" s="208" t="s">
        <v>105</v>
      </c>
      <c r="E11" s="208" t="s">
        <v>106</v>
      </c>
      <c r="F11" s="208" t="s">
        <v>89</v>
      </c>
      <c r="G11" s="209" t="s">
        <v>90</v>
      </c>
      <c r="H11" s="210"/>
      <c r="I11" s="208" t="s">
        <v>107</v>
      </c>
      <c r="J11" s="208" t="s">
        <v>91</v>
      </c>
      <c r="K11" s="211" t="s">
        <v>92</v>
      </c>
      <c r="L11" s="212"/>
      <c r="M11" s="208" t="s">
        <v>108</v>
      </c>
      <c r="N11" s="206"/>
      <c r="O11" s="130"/>
      <c r="P11" s="130"/>
      <c r="Q11" s="130"/>
      <c r="R11" s="130"/>
      <c r="S11" s="130"/>
      <c r="T11" s="130"/>
      <c r="U11" s="107"/>
      <c r="V11" s="107"/>
      <c r="W11" s="107"/>
      <c r="X11" s="107"/>
      <c r="Y11" s="152"/>
      <c r="Z11" s="152"/>
      <c r="AA11" s="152"/>
      <c r="AB11" s="152"/>
      <c r="AC11" s="152"/>
      <c r="AD11" s="152"/>
      <c r="AE11" s="152"/>
      <c r="AF11" s="152"/>
      <c r="AG11" s="152"/>
      <c r="AH11" s="152"/>
      <c r="AI11" s="152"/>
      <c r="AJ11" s="152"/>
      <c r="AK11" s="152"/>
      <c r="AL11" s="152"/>
      <c r="AM11" s="185">
        <v>0</v>
      </c>
    </row>
    <row r="12" ht="1.05" customHeight="1">
      <c r="A12" s="213"/>
      <c r="B12" s="51"/>
      <c r="C12" s="51"/>
      <c r="D12" s="214"/>
      <c r="E12" s="215"/>
      <c r="F12" s="215"/>
      <c r="G12" s="216"/>
      <c r="H12" s="216"/>
      <c r="I12" s="215"/>
      <c r="J12" s="215"/>
      <c r="K12" s="217"/>
      <c r="L12" s="215"/>
      <c r="M12" s="218"/>
      <c r="N12" s="206"/>
      <c r="O12" s="130" t="s">
        <v>109</v>
      </c>
      <c r="P12" s="130" t="s">
        <v>110</v>
      </c>
      <c r="Q12" s="130" t="s">
        <v>111</v>
      </c>
      <c r="R12" s="130" t="s">
        <v>112</v>
      </c>
      <c r="AM12" s="185">
        <v>1</v>
      </c>
    </row>
    <row r="13" s="185" customFormat="1" ht="15.75" customHeight="1">
      <c r="A13" s="63"/>
      <c r="B13" s="63"/>
      <c r="C13" s="129"/>
      <c r="D13" s="219" t="s">
        <v>105</v>
      </c>
      <c r="E13" s="220"/>
      <c r="F13" s="221" t="s">
        <v>64</v>
      </c>
      <c r="G13" s="222"/>
      <c r="H13" s="223">
        <v>1</v>
      </c>
      <c r="I13" s="224" t="str">
        <f>IF(U13="","",INDEX(TERRITORY_MR_LIST,MATCH(U13,TERRITORY_LIST_ID,0)))</f>
        <v/>
      </c>
      <c r="J13" s="225" t="s">
        <v>19</v>
      </c>
      <c r="K13" s="226"/>
      <c r="L13" s="219" t="s">
        <v>105</v>
      </c>
      <c r="M13" s="227" t="s">
        <v>22</v>
      </c>
      <c r="N13" s="206"/>
      <c r="O13" s="130" t="s">
        <v>113</v>
      </c>
      <c r="P13" s="130">
        <f>$E$13</f>
        <v>0</v>
      </c>
      <c r="Q13" s="130" t="str">
        <f>IF($F$13="нет","без дифференциации",$I$13)</f>
        <v/>
      </c>
      <c r="R13" s="130" t="str">
        <f>IF($J$13="нет","без дифференциации",M13)</f>
        <v xml:space="preserve">без дифференциации</v>
      </c>
      <c r="S13" s="130"/>
      <c r="T13" s="130"/>
      <c r="U13" s="107"/>
      <c r="V13" s="107"/>
      <c r="W13" s="107"/>
      <c r="X13" s="107"/>
      <c r="Y13" s="152" t="s">
        <v>114</v>
      </c>
      <c r="Z13" s="152">
        <v>1705000</v>
      </c>
      <c r="AA13" s="152"/>
      <c r="AB13" s="152"/>
      <c r="AC13" s="152"/>
      <c r="AD13" s="152"/>
      <c r="AE13" s="152"/>
      <c r="AF13" s="152"/>
      <c r="AG13" s="152"/>
      <c r="AH13" s="152"/>
      <c r="AI13" s="152"/>
      <c r="AJ13" s="152"/>
      <c r="AK13" s="152"/>
      <c r="AL13" s="152"/>
      <c r="AM13" s="185">
        <v>15</v>
      </c>
    </row>
    <row r="14" s="185" customFormat="1" ht="15.75" customHeight="1">
      <c r="A14" s="63"/>
      <c r="B14" s="63"/>
      <c r="C14" s="150"/>
      <c r="D14" s="219"/>
      <c r="E14" s="228"/>
      <c r="F14" s="225"/>
      <c r="G14" s="222"/>
      <c r="H14" s="223"/>
      <c r="I14" s="229"/>
      <c r="J14" s="225"/>
      <c r="K14" s="171"/>
      <c r="L14" s="172"/>
      <c r="M14" s="230" t="s">
        <v>115</v>
      </c>
      <c r="N14" s="206"/>
      <c r="O14" s="130"/>
      <c r="P14" s="130"/>
      <c r="Q14" s="130"/>
      <c r="R14" s="130"/>
      <c r="S14" s="130"/>
      <c r="T14" s="130"/>
      <c r="U14" s="107"/>
      <c r="V14" s="107"/>
      <c r="W14" s="107"/>
      <c r="X14" s="107"/>
      <c r="Y14" s="152"/>
      <c r="Z14" s="152"/>
      <c r="AA14" s="152"/>
      <c r="AB14" s="152"/>
      <c r="AC14" s="152"/>
      <c r="AD14" s="152"/>
      <c r="AE14" s="152"/>
      <c r="AF14" s="152"/>
      <c r="AG14" s="152"/>
      <c r="AH14" s="152"/>
      <c r="AI14" s="152"/>
      <c r="AJ14" s="152"/>
      <c r="AK14" s="152"/>
      <c r="AL14" s="152"/>
      <c r="AM14" s="185">
        <v>15</v>
      </c>
    </row>
    <row r="15" s="185" customFormat="1" ht="15.75" customHeight="1">
      <c r="A15" s="63"/>
      <c r="B15" s="63"/>
      <c r="C15" s="150"/>
      <c r="D15" s="219"/>
      <c r="E15" s="231"/>
      <c r="F15" s="225"/>
      <c r="G15" s="232"/>
      <c r="H15" s="233"/>
      <c r="I15" s="173" t="s">
        <v>116</v>
      </c>
      <c r="J15" s="172"/>
      <c r="K15" s="172"/>
      <c r="L15" s="172"/>
      <c r="M15" s="234"/>
      <c r="N15" s="206"/>
      <c r="O15" s="130"/>
      <c r="P15" s="130"/>
      <c r="Q15" s="130"/>
      <c r="R15" s="130"/>
      <c r="S15" s="130"/>
      <c r="T15" s="130"/>
      <c r="U15" s="107"/>
      <c r="V15" s="107"/>
      <c r="W15" s="107"/>
      <c r="X15" s="107"/>
      <c r="Y15" s="152"/>
      <c r="Z15" s="152"/>
      <c r="AA15" s="152"/>
      <c r="AB15" s="152"/>
      <c r="AC15" s="152"/>
      <c r="AD15" s="152"/>
      <c r="AE15" s="152"/>
      <c r="AF15" s="152"/>
      <c r="AG15" s="152"/>
      <c r="AH15" s="152"/>
      <c r="AI15" s="152"/>
      <c r="AJ15" s="152"/>
      <c r="AK15" s="152"/>
      <c r="AL15" s="152"/>
      <c r="AM15" s="185">
        <v>15</v>
      </c>
    </row>
    <row r="16" ht="15.75" customHeight="1">
      <c r="A16" s="235"/>
      <c r="B16" s="60"/>
      <c r="C16" s="126"/>
      <c r="D16" s="171"/>
      <c r="E16" s="236" t="s">
        <v>117</v>
      </c>
      <c r="F16" s="172"/>
      <c r="G16" s="172"/>
      <c r="H16" s="172"/>
      <c r="I16" s="172"/>
      <c r="J16" s="172"/>
      <c r="K16" s="172" t="s">
        <v>22</v>
      </c>
      <c r="L16" s="172"/>
      <c r="M16" s="234"/>
      <c r="N16" s="206"/>
      <c r="AM16" s="185">
        <v>15</v>
      </c>
    </row>
    <row r="17" ht="11.25" hidden="1" customHeight="1">
      <c r="A17" s="185" t="s">
        <v>81</v>
      </c>
      <c r="B17" s="185">
        <v>0</v>
      </c>
      <c r="C17" s="185">
        <v>3</v>
      </c>
      <c r="D17" s="185">
        <v>4</v>
      </c>
      <c r="E17" s="185">
        <v>44</v>
      </c>
      <c r="F17" s="185">
        <v>6</v>
      </c>
      <c r="G17" s="185">
        <v>4</v>
      </c>
      <c r="H17" s="185">
        <v>5</v>
      </c>
      <c r="I17" s="185">
        <v>52</v>
      </c>
      <c r="J17" s="185">
        <v>6</v>
      </c>
      <c r="K17" s="185">
        <v>3</v>
      </c>
      <c r="L17" s="185">
        <v>6</v>
      </c>
      <c r="M17" s="185">
        <v>56</v>
      </c>
      <c r="N17" s="152">
        <v>8</v>
      </c>
      <c r="O17" s="130">
        <v>0</v>
      </c>
      <c r="P17" s="130">
        <v>0</v>
      </c>
      <c r="Q17" s="130">
        <v>0</v>
      </c>
      <c r="R17" s="130">
        <v>0</v>
      </c>
      <c r="S17" s="130">
        <v>0</v>
      </c>
      <c r="T17" s="130">
        <v>0</v>
      </c>
      <c r="U17" s="107">
        <v>0</v>
      </c>
      <c r="V17" s="107">
        <v>0</v>
      </c>
      <c r="W17" s="107">
        <v>0</v>
      </c>
      <c r="X17" s="107">
        <v>0</v>
      </c>
      <c r="Y17" s="152">
        <v>0</v>
      </c>
      <c r="Z17" s="152">
        <v>0</v>
      </c>
      <c r="AA17" s="152">
        <v>0</v>
      </c>
      <c r="AB17" s="152">
        <v>0</v>
      </c>
      <c r="AC17" s="152">
        <v>0</v>
      </c>
      <c r="AD17" s="152">
        <v>0</v>
      </c>
      <c r="AE17" s="152">
        <v>0</v>
      </c>
      <c r="AF17" s="152">
        <v>0</v>
      </c>
      <c r="AG17" s="152">
        <v>0</v>
      </c>
      <c r="AH17" s="152">
        <v>0</v>
      </c>
      <c r="AI17" s="152">
        <v>0</v>
      </c>
      <c r="AJ17" s="152">
        <v>0</v>
      </c>
      <c r="AK17" s="152">
        <v>0</v>
      </c>
      <c r="AL17" s="152">
        <v>8</v>
      </c>
      <c r="AM17" s="185">
        <v>11</v>
      </c>
    </row>
  </sheetData>
  <sheetProtection autoFilter="0" deleteColumns="1" deleteRows="1" formatCells="1" formatColumns="0" formatRows="0" insertColumns="1" insertHyperlinks="1" insertRows="1" objects="0" pivotTables="1" scenarios="0" selectLockedCells="0" selectUnlockedCells="0" sheet="1" sort="1"/>
  <mergeCells count="19">
    <mergeCell ref="D4:I4"/>
    <mergeCell ref="D5:I5"/>
    <mergeCell ref="A6:F6"/>
    <mergeCell ref="E7:M7"/>
    <mergeCell ref="A9:A10"/>
    <mergeCell ref="D9:E9"/>
    <mergeCell ref="F9:I9"/>
    <mergeCell ref="J9:M9"/>
    <mergeCell ref="G10:H10"/>
    <mergeCell ref="K10:L10"/>
    <mergeCell ref="G11:H11"/>
    <mergeCell ref="K11:L11"/>
    <mergeCell ref="D13:D15"/>
    <mergeCell ref="E13:E15"/>
    <mergeCell ref="F13:F15"/>
    <mergeCell ref="G13:G14"/>
    <mergeCell ref="H13:H14"/>
    <mergeCell ref="I13:I14"/>
    <mergeCell ref="J13:J14"/>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 disablePrompts="0">
        <x14:dataValidation xr:uid="{00D900C0-00F0-4690-AE97-0085006E006F}" type="textLength" allowBlank="1" error="Допускается ввод не более 900 символов!" errorStyle="stop" imeMode="noControl" operator="lessThan" showDropDown="0" showErrorMessage="1" showInputMessage="1">
          <x14:formula1>
            <xm:f>900</xm:f>
          </x14:formula1>
          <xm:sqref>M13</xm:sqref>
        </x14:dataValidation>
      </x14:dataValidations>
    </ext>
  </extLst>
</worksheet>
</file>

<file path=xl/worksheets/sheet4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E26B0A"/>
    <outlinePr applyStyles="0" summaryBelow="1" summaryRight="1" showOutlineSymbols="1"/>
    <pageSetUpPr autoPageBreaks="1" fitToPage="0"/>
  </sheetPr>
  <sheetViews>
    <sheetView showGridLines="0" zoomScale="90" workbookViewId="0">
      <pane xSplit="8" ySplit="31" topLeftCell="I32" activePane="bottomRight" state="frozen"/>
      <selection activeCell="A1" activeCellId="0" sqref="A1"/>
    </sheetView>
  </sheetViews>
  <sheetFormatPr defaultColWidth="10.57421875" defaultRowHeight="15" customHeight="1"/>
  <cols>
    <col customWidth="1" hidden="1" min="1" max="1" style="56" width="9.140625"/>
    <col customWidth="1" hidden="1" min="2" max="2" style="50" width="9.140625"/>
    <col customWidth="1" min="3" max="3" style="150" width="4.00390625"/>
    <col customWidth="1" min="4" max="4" style="50" width="6.00390625"/>
    <col customWidth="1" min="5" max="5" style="50" width="36.00390625"/>
    <col customWidth="1" min="6" max="6" style="50" width="9.00390625"/>
    <col customWidth="1" hidden="1" min="7" max="7" style="50" width="25.7109375"/>
    <col customWidth="1" hidden="1" min="8" max="8" style="50" width="33.7109375"/>
    <col customWidth="1" min="9" max="9" style="50" width="25.7109375"/>
    <col customWidth="1" min="10" max="10" style="50" width="33.00390625"/>
    <col customWidth="1" min="11" max="11" style="53" width="93.00390625"/>
    <col customWidth="1" min="12" max="20" style="50" width="10.00390625"/>
    <col customWidth="1" min="21" max="21" style="115" width="10.00390625"/>
    <col hidden="1" min="22" max="22" style="50" width="10.57421875"/>
  </cols>
  <sheetData>
    <row r="1" s="53" customFormat="1" ht="22.5" hidden="1" customHeight="1">
      <c r="C1" s="114"/>
      <c r="G1" s="53">
        <v>4</v>
      </c>
      <c r="I1" s="53">
        <v>4</v>
      </c>
      <c r="U1" s="167"/>
      <c r="V1" s="53" t="s">
        <v>14</v>
      </c>
    </row>
    <row r="2" s="53" customFormat="1" ht="15" hidden="1" customHeight="1">
      <c r="C2" s="114"/>
      <c r="U2" s="167"/>
      <c r="V2" s="53">
        <v>0</v>
      </c>
    </row>
    <row r="3" ht="22.5" hidden="1" customHeight="1">
      <c r="A3" s="50"/>
      <c r="B3" s="60"/>
      <c r="C3" s="876" t="s">
        <v>683</v>
      </c>
      <c r="D3" s="877" t="str">
        <f>B3&amp;".1"</f>
        <v>.1</v>
      </c>
      <c r="E3" s="380" t="s">
        <v>930</v>
      </c>
      <c r="F3" s="72" t="s">
        <v>300</v>
      </c>
      <c r="G3" s="680"/>
      <c r="H3" s="759"/>
      <c r="I3" s="680"/>
      <c r="J3" s="759"/>
      <c r="K3" s="486" t="s">
        <v>931</v>
      </c>
      <c r="V3" s="50">
        <v>0</v>
      </c>
    </row>
    <row r="4" ht="15" hidden="1" customHeight="1">
      <c r="A4" s="50"/>
      <c r="B4" s="60"/>
      <c r="C4" s="876"/>
      <c r="D4" s="877" t="str">
        <f>B3&amp;".2"</f>
        <v>.2</v>
      </c>
      <c r="E4" s="380" t="s">
        <v>932</v>
      </c>
      <c r="F4" s="72" t="s">
        <v>300</v>
      </c>
      <c r="G4" s="878" t="s">
        <v>22</v>
      </c>
      <c r="H4" s="759"/>
      <c r="I4" s="878" t="s">
        <v>22</v>
      </c>
      <c r="J4" s="759"/>
      <c r="K4" s="486" t="s">
        <v>933</v>
      </c>
      <c r="V4" s="50">
        <v>0</v>
      </c>
    </row>
    <row r="5" s="53" customFormat="1" ht="15" hidden="1" customHeight="1">
      <c r="C5" s="114"/>
      <c r="U5" s="167"/>
      <c r="V5" s="53">
        <v>0</v>
      </c>
    </row>
    <row r="6" ht="22.5" hidden="1" customHeight="1">
      <c r="A6" s="50"/>
      <c r="B6" s="60"/>
      <c r="C6" s="876" t="s">
        <v>683</v>
      </c>
      <c r="D6" s="877" t="str">
        <f>B6&amp;".1"</f>
        <v>.1</v>
      </c>
      <c r="E6" s="380" t="s">
        <v>934</v>
      </c>
      <c r="F6" s="72" t="s">
        <v>300</v>
      </c>
      <c r="G6" s="680"/>
      <c r="H6" s="759"/>
      <c r="I6" s="680"/>
      <c r="J6" s="759"/>
      <c r="K6" s="486" t="s">
        <v>935</v>
      </c>
      <c r="V6" s="50">
        <v>0</v>
      </c>
    </row>
    <row r="7" ht="15" hidden="1" customHeight="1">
      <c r="A7" s="50"/>
      <c r="B7" s="60"/>
      <c r="C7" s="876"/>
      <c r="D7" s="877" t="str">
        <f>B6&amp;".2"</f>
        <v>.2</v>
      </c>
      <c r="E7" s="380" t="s">
        <v>932</v>
      </c>
      <c r="F7" s="72" t="s">
        <v>300</v>
      </c>
      <c r="G7" s="878" t="s">
        <v>22</v>
      </c>
      <c r="H7" s="759"/>
      <c r="I7" s="878" t="s">
        <v>22</v>
      </c>
      <c r="J7" s="759"/>
      <c r="K7" s="486" t="s">
        <v>933</v>
      </c>
      <c r="V7" s="50">
        <v>0</v>
      </c>
    </row>
    <row r="8" s="53" customFormat="1" ht="15" hidden="1" customHeight="1">
      <c r="C8" s="114"/>
      <c r="U8" s="167"/>
      <c r="V8" s="53">
        <v>0</v>
      </c>
    </row>
    <row r="9" ht="22.5" hidden="1" customHeight="1">
      <c r="A9" s="50"/>
      <c r="B9" s="60"/>
      <c r="C9" s="876" t="s">
        <v>683</v>
      </c>
      <c r="D9" s="877" t="str">
        <f>B9&amp;".1"</f>
        <v>.1</v>
      </c>
      <c r="E9" s="380" t="s">
        <v>936</v>
      </c>
      <c r="F9" s="72" t="s">
        <v>300</v>
      </c>
      <c r="G9" s="384" t="s">
        <v>22</v>
      </c>
      <c r="H9" s="759" t="s">
        <v>22</v>
      </c>
      <c r="I9" s="384" t="s">
        <v>22</v>
      </c>
      <c r="J9" s="759" t="s">
        <v>22</v>
      </c>
      <c r="K9" s="486"/>
      <c r="V9" s="50">
        <v>0</v>
      </c>
    </row>
    <row r="10" ht="15" hidden="1" customHeight="1">
      <c r="A10" s="50"/>
      <c r="B10" s="60"/>
      <c r="C10" s="876"/>
      <c r="D10" s="877" t="str">
        <f>B9&amp;".2"</f>
        <v>.2</v>
      </c>
      <c r="E10" s="380" t="s">
        <v>937</v>
      </c>
      <c r="F10" s="72" t="s">
        <v>300</v>
      </c>
      <c r="G10" s="89" t="s">
        <v>22</v>
      </c>
      <c r="H10" s="759" t="s">
        <v>22</v>
      </c>
      <c r="I10" s="89" t="s">
        <v>22</v>
      </c>
      <c r="J10" s="759" t="s">
        <v>22</v>
      </c>
      <c r="K10" s="486" t="s">
        <v>938</v>
      </c>
      <c r="V10" s="50">
        <v>0</v>
      </c>
    </row>
    <row r="11" ht="15" hidden="1" customHeight="1">
      <c r="A11" s="50"/>
      <c r="B11" s="60"/>
      <c r="C11" s="876"/>
      <c r="D11" s="877" t="str">
        <f>B9&amp;".3"</f>
        <v>.3</v>
      </c>
      <c r="E11" s="380" t="s">
        <v>939</v>
      </c>
      <c r="F11" s="72" t="s">
        <v>300</v>
      </c>
      <c r="G11" s="89" t="s">
        <v>22</v>
      </c>
      <c r="H11" s="759" t="s">
        <v>22</v>
      </c>
      <c r="I11" s="89" t="s">
        <v>22</v>
      </c>
      <c r="J11" s="759" t="s">
        <v>22</v>
      </c>
      <c r="K11" s="486" t="s">
        <v>940</v>
      </c>
      <c r="V11" s="50">
        <v>0</v>
      </c>
    </row>
    <row r="12" s="53" customFormat="1" ht="15" hidden="1" customHeight="1">
      <c r="C12" s="114"/>
      <c r="U12" s="167"/>
      <c r="V12" s="53">
        <v>0</v>
      </c>
    </row>
    <row r="13" ht="33.75" hidden="1" customHeight="1">
      <c r="A13" s="50"/>
      <c r="B13" s="60"/>
      <c r="C13" s="876" t="s">
        <v>683</v>
      </c>
      <c r="D13" s="877" t="str">
        <f>B13&amp;".1"</f>
        <v>.1</v>
      </c>
      <c r="E13" s="380" t="s">
        <v>941</v>
      </c>
      <c r="F13" s="72" t="s">
        <v>300</v>
      </c>
      <c r="G13" s="384" t="s">
        <v>22</v>
      </c>
      <c r="H13" s="759" t="s">
        <v>22</v>
      </c>
      <c r="I13" s="384" t="s">
        <v>22</v>
      </c>
      <c r="J13" s="759" t="s">
        <v>22</v>
      </c>
      <c r="K13" s="486" t="s">
        <v>942</v>
      </c>
      <c r="V13" s="50">
        <v>0</v>
      </c>
    </row>
    <row r="14" ht="15" hidden="1" customHeight="1">
      <c r="B14" s="60"/>
      <c r="C14" s="876"/>
      <c r="D14" s="877" t="str">
        <f>B13&amp;".2"</f>
        <v>.2</v>
      </c>
      <c r="E14" s="380" t="s">
        <v>943</v>
      </c>
      <c r="F14" s="72" t="s">
        <v>300</v>
      </c>
      <c r="G14" s="89" t="s">
        <v>22</v>
      </c>
      <c r="H14" s="759" t="s">
        <v>22</v>
      </c>
      <c r="I14" s="89" t="s">
        <v>22</v>
      </c>
      <c r="J14" s="759" t="s">
        <v>22</v>
      </c>
      <c r="K14" s="486" t="s">
        <v>944</v>
      </c>
      <c r="V14" s="50">
        <v>0</v>
      </c>
    </row>
    <row r="15" s="53" customFormat="1" ht="15" hidden="1" customHeight="1">
      <c r="C15" s="114"/>
      <c r="U15" s="167"/>
      <c r="V15" s="53">
        <v>0</v>
      </c>
    </row>
    <row r="16" s="53" customFormat="1" ht="15" hidden="1" customHeight="1">
      <c r="C16" s="114"/>
      <c r="U16" s="167"/>
      <c r="V16" s="53">
        <v>0</v>
      </c>
    </row>
    <row r="17" s="53" customFormat="1" ht="15" hidden="1" customHeight="1">
      <c r="C17" s="114"/>
      <c r="U17" s="167"/>
      <c r="V17" s="53">
        <v>0</v>
      </c>
    </row>
    <row r="18" s="53" customFormat="1" ht="15" hidden="1" customHeight="1">
      <c r="C18" s="114"/>
      <c r="U18" s="167"/>
      <c r="V18" s="53">
        <v>0</v>
      </c>
    </row>
    <row r="19" s="53" customFormat="1" ht="15" hidden="1" customHeight="1">
      <c r="C19" s="114"/>
      <c r="U19" s="167"/>
      <c r="V19" s="53">
        <v>0</v>
      </c>
    </row>
    <row r="20" s="53" customFormat="1" ht="15" hidden="1" customHeight="1">
      <c r="C20" s="114"/>
      <c r="U20" s="167"/>
      <c r="V20" s="53">
        <v>0</v>
      </c>
    </row>
    <row r="21" ht="15.75" customHeight="1">
      <c r="C21" s="150"/>
      <c r="D21" s="50"/>
      <c r="E21" s="50"/>
      <c r="F21" s="50"/>
      <c r="G21" s="50"/>
      <c r="H21" s="50"/>
      <c r="I21" s="50"/>
      <c r="J21" s="50"/>
      <c r="V21" s="50">
        <v>15</v>
      </c>
    </row>
    <row r="22" ht="23.25" customHeight="1">
      <c r="C22" s="150"/>
      <c r="D22" s="453" t="str">
        <f>KNE_NAME_FORM</f>
        <v xml:space="preserve">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453"/>
      <c r="F22" s="453"/>
      <c r="G22" s="453"/>
      <c r="H22" s="453"/>
      <c r="I22" s="453"/>
      <c r="J22" s="86"/>
      <c r="K22" s="53"/>
      <c r="V22" s="50">
        <v>22</v>
      </c>
    </row>
    <row r="23" ht="15.75" customHeight="1">
      <c r="C23" s="150"/>
      <c r="D23" s="304" t="str">
        <f>IF(org=0,"Не определено",org)</f>
        <v xml:space="preserve">АО "ДГК" СП "Биробиджанская ТЭЦ"</v>
      </c>
      <c r="E23" s="304"/>
      <c r="F23" s="304"/>
      <c r="G23" s="304"/>
      <c r="H23" s="304"/>
      <c r="I23" s="304"/>
      <c r="J23" s="86"/>
      <c r="K23" s="53"/>
      <c r="V23" s="50">
        <v>15</v>
      </c>
    </row>
    <row r="24" ht="15.75" customHeight="1">
      <c r="C24" s="150"/>
      <c r="D24" s="50"/>
      <c r="E24" s="50"/>
      <c r="F24" s="50"/>
      <c r="G24" s="53">
        <v>22</v>
      </c>
      <c r="H24" s="342"/>
      <c r="I24" s="53">
        <v>22</v>
      </c>
      <c r="J24" s="342"/>
      <c r="V24" s="50">
        <v>15</v>
      </c>
    </row>
    <row r="25" s="50" customFormat="1" ht="1.05" customHeight="1">
      <c r="A25" s="56"/>
      <c r="C25" s="150"/>
      <c r="D25" s="50"/>
      <c r="E25" s="50"/>
      <c r="F25" s="50"/>
      <c r="G25" s="53"/>
      <c r="H25" s="342"/>
      <c r="I25" s="53" t="s">
        <v>113</v>
      </c>
      <c r="J25" s="342"/>
      <c r="K25" s="53"/>
      <c r="U25" s="115"/>
      <c r="V25" s="50">
        <v>1</v>
      </c>
    </row>
    <row r="26" ht="15.75" customHeight="1">
      <c r="C26" s="150"/>
      <c r="D26" s="722"/>
      <c r="E26" s="723" t="s">
        <v>101</v>
      </c>
      <c r="F26" s="724"/>
      <c r="G26" s="879" t="str">
        <f>IF(G25="","",INDEX(DIFFERENTIATION_UNMERGE_VD,MATCH(G25,DIFFERENTIATION_ID_DIFF,0)))</f>
        <v/>
      </c>
      <c r="H26" s="880"/>
      <c r="I26" s="879">
        <f>IF(I25="","",INDEX(DIFFERENTIATION_UNMERGE_VD,MATCH(I25,DIFFERENTIATION_ID_DIFF,0)))</f>
        <v>0</v>
      </c>
      <c r="J26" s="880"/>
      <c r="K26" s="308" t="s">
        <v>295</v>
      </c>
      <c r="V26" s="50">
        <v>15</v>
      </c>
    </row>
    <row r="27" s="50" customFormat="1" ht="15.75" customHeight="1">
      <c r="A27" s="56"/>
      <c r="C27" s="150"/>
      <c r="D27" s="722"/>
      <c r="E27" s="723" t="s">
        <v>558</v>
      </c>
      <c r="F27" s="724"/>
      <c r="G27" s="879" t="str">
        <f>IF(G25="","",INDEX(DIFFERENTIATION_UNMERGE_AREA,MATCH(G25,DIFFERENTIATION_ID_DIFF,0)))</f>
        <v/>
      </c>
      <c r="H27" s="880"/>
      <c r="I27" s="879" t="str">
        <f>IF(I25="","",INDEX(DIFFERENTIATION_UNMERGE_AREA,MATCH(I25,DIFFERENTIATION_ID_DIFF,0)))</f>
        <v/>
      </c>
      <c r="J27" s="880"/>
      <c r="K27" s="310"/>
      <c r="U27" s="115"/>
      <c r="V27" s="50">
        <v>15</v>
      </c>
    </row>
    <row r="28" s="50" customFormat="1" ht="15.75" customHeight="1">
      <c r="A28" s="56"/>
      <c r="C28" s="150"/>
      <c r="D28" s="722"/>
      <c r="E28" s="723" t="s">
        <v>559</v>
      </c>
      <c r="F28" s="724"/>
      <c r="G28" s="879" t="str">
        <f>IF(G25="","",INDEX(DIFFERENTIATION_UNMERGE_SYSTEM,MATCH(G25,DIFFERENTIATION_ID_DIFF,0)))</f>
        <v/>
      </c>
      <c r="H28" s="880"/>
      <c r="I28" s="879" t="str">
        <f>IF(I25="","",INDEX(DIFFERENTIATION_UNMERGE_SYSTEM,MATCH(I25,DIFFERENTIATION_ID_DIFF,0)))</f>
        <v xml:space="preserve">без дифференциации</v>
      </c>
      <c r="J28" s="880"/>
      <c r="K28" s="310"/>
      <c r="U28" s="115"/>
      <c r="V28" s="50">
        <v>15</v>
      </c>
    </row>
    <row r="29" s="50" customFormat="1" ht="15.75" customHeight="1">
      <c r="A29" s="56"/>
      <c r="C29" s="150"/>
      <c r="D29" s="726" t="s">
        <v>294</v>
      </c>
      <c r="E29" s="727"/>
      <c r="F29" s="727"/>
      <c r="G29" s="723"/>
      <c r="H29" s="723"/>
      <c r="I29" s="723"/>
      <c r="J29" s="724"/>
      <c r="K29" s="310"/>
      <c r="U29" s="115"/>
      <c r="V29" s="50">
        <v>15</v>
      </c>
    </row>
    <row r="30" ht="35.649999999999999" customHeight="1">
      <c r="C30" s="150"/>
      <c r="D30" s="158" t="s">
        <v>87</v>
      </c>
      <c r="E30" s="158" t="s">
        <v>296</v>
      </c>
      <c r="F30" s="158" t="s">
        <v>560</v>
      </c>
      <c r="G30" s="73" t="s">
        <v>297</v>
      </c>
      <c r="H30" s="158" t="s">
        <v>384</v>
      </c>
      <c r="I30" s="73" t="s">
        <v>297</v>
      </c>
      <c r="J30" s="158" t="s">
        <v>384</v>
      </c>
      <c r="K30" s="312"/>
      <c r="V30" s="50">
        <v>34</v>
      </c>
    </row>
    <row r="31" ht="15" hidden="1" customHeight="1">
      <c r="C31" s="150"/>
      <c r="D31" s="207"/>
      <c r="E31" s="207"/>
      <c r="F31" s="207"/>
      <c r="G31" s="150"/>
      <c r="H31" s="150"/>
      <c r="I31" s="150"/>
      <c r="J31" s="150"/>
      <c r="K31" s="486"/>
      <c r="V31" s="50">
        <v>0</v>
      </c>
    </row>
    <row r="32" ht="24" customHeight="1">
      <c r="A32" s="50"/>
      <c r="B32" s="50" t="s">
        <v>945</v>
      </c>
      <c r="C32" s="129"/>
      <c r="D32" s="881">
        <v>1</v>
      </c>
      <c r="E32" s="842" t="s">
        <v>946</v>
      </c>
      <c r="F32" s="72" t="s">
        <v>300</v>
      </c>
      <c r="G32" s="72" t="s">
        <v>300</v>
      </c>
      <c r="H32" s="72" t="s">
        <v>300</v>
      </c>
      <c r="I32" s="72" t="s">
        <v>300</v>
      </c>
      <c r="J32" s="72" t="s">
        <v>300</v>
      </c>
      <c r="K32" s="486"/>
      <c r="V32" s="50">
        <v>23</v>
      </c>
    </row>
    <row r="33" ht="11.5" customHeight="1">
      <c r="A33" s="50"/>
      <c r="C33" s="50"/>
      <c r="D33" s="832"/>
      <c r="E33" s="173" t="s">
        <v>580</v>
      </c>
      <c r="F33" s="742"/>
      <c r="G33" s="742"/>
      <c r="H33" s="742"/>
      <c r="I33" s="742"/>
      <c r="J33" s="742"/>
      <c r="K33" s="743"/>
      <c r="U33" s="50"/>
      <c r="V33" s="50">
        <v>11</v>
      </c>
    </row>
    <row r="34" ht="24" customHeight="1">
      <c r="A34" s="50"/>
      <c r="B34" s="86" t="s">
        <v>630</v>
      </c>
      <c r="C34" s="129"/>
      <c r="D34" s="881">
        <v>2</v>
      </c>
      <c r="E34" s="842" t="s">
        <v>947</v>
      </c>
      <c r="F34" s="72" t="s">
        <v>300</v>
      </c>
      <c r="G34" s="72" t="s">
        <v>300</v>
      </c>
      <c r="H34" s="72" t="s">
        <v>300</v>
      </c>
      <c r="I34" s="72"/>
      <c r="J34" s="72"/>
      <c r="K34" s="486"/>
      <c r="V34" s="50">
        <v>23</v>
      </c>
    </row>
    <row r="35" ht="11.5" customHeight="1">
      <c r="A35" s="50"/>
      <c r="C35" s="50"/>
      <c r="D35" s="832"/>
      <c r="E35" s="173" t="s">
        <v>948</v>
      </c>
      <c r="F35" s="742"/>
      <c r="G35" s="882"/>
      <c r="H35" s="742"/>
      <c r="I35" s="882"/>
      <c r="J35" s="742"/>
      <c r="K35" s="743"/>
      <c r="U35" s="50"/>
      <c r="V35" s="50">
        <v>11</v>
      </c>
    </row>
    <row r="36" ht="71.25" customHeight="1">
      <c r="A36" s="50"/>
      <c r="B36" s="50" t="s">
        <v>949</v>
      </c>
      <c r="C36" s="129"/>
      <c r="D36" s="881">
        <v>3</v>
      </c>
      <c r="E36" s="842" t="s">
        <v>950</v>
      </c>
      <c r="F36" s="146" t="s">
        <v>300</v>
      </c>
      <c r="G36" s="225" t="s">
        <v>951</v>
      </c>
      <c r="H36" s="72" t="s">
        <v>300</v>
      </c>
      <c r="I36" s="225" t="s">
        <v>951</v>
      </c>
      <c r="J36" s="72" t="s">
        <v>300</v>
      </c>
      <c r="K36" s="486" t="s">
        <v>952</v>
      </c>
      <c r="V36" s="50">
        <v>68</v>
      </c>
    </row>
    <row r="37" ht="11.5" customHeight="1">
      <c r="A37" s="50"/>
      <c r="C37" s="50"/>
      <c r="D37" s="832"/>
      <c r="E37" s="173" t="s">
        <v>953</v>
      </c>
      <c r="F37" s="742"/>
      <c r="G37" s="882"/>
      <c r="H37" s="882"/>
      <c r="I37" s="882"/>
      <c r="J37" s="882"/>
      <c r="K37" s="743"/>
      <c r="U37" s="50"/>
      <c r="V37" s="50">
        <v>11</v>
      </c>
    </row>
    <row r="38" ht="71.25" customHeight="1">
      <c r="A38" s="50"/>
      <c r="B38" s="50" t="s">
        <v>954</v>
      </c>
      <c r="C38" s="129"/>
      <c r="D38" s="881">
        <v>4</v>
      </c>
      <c r="E38" s="842" t="s">
        <v>955</v>
      </c>
      <c r="F38" s="146" t="s">
        <v>300</v>
      </c>
      <c r="G38" s="225" t="s">
        <v>951</v>
      </c>
      <c r="H38" s="158" t="s">
        <v>300</v>
      </c>
      <c r="I38" s="225" t="s">
        <v>951</v>
      </c>
      <c r="J38" s="158" t="s">
        <v>300</v>
      </c>
      <c r="K38" s="883" t="s">
        <v>956</v>
      </c>
      <c r="V38" s="50">
        <v>68</v>
      </c>
    </row>
    <row r="39" ht="11.5" customHeight="1">
      <c r="A39" s="50"/>
      <c r="C39" s="50"/>
      <c r="D39" s="832"/>
      <c r="E39" s="173" t="s">
        <v>957</v>
      </c>
      <c r="F39" s="742"/>
      <c r="G39" s="742"/>
      <c r="H39" s="884"/>
      <c r="I39" s="742"/>
      <c r="J39" s="884"/>
      <c r="K39" s="743"/>
      <c r="U39" s="50"/>
      <c r="V39" s="50">
        <v>11</v>
      </c>
    </row>
    <row r="40" ht="22.5" hidden="1" customHeight="1">
      <c r="A40" s="56" t="s">
        <v>81</v>
      </c>
      <c r="B40" s="50">
        <v>0</v>
      </c>
      <c r="C40" s="150">
        <v>4</v>
      </c>
      <c r="D40" s="50">
        <v>6</v>
      </c>
      <c r="E40" s="50">
        <v>36</v>
      </c>
      <c r="F40" s="50">
        <v>9</v>
      </c>
      <c r="G40" s="50">
        <v>0</v>
      </c>
      <c r="H40" s="50">
        <v>0</v>
      </c>
      <c r="I40" s="50">
        <v>25</v>
      </c>
      <c r="J40" s="50">
        <v>33</v>
      </c>
      <c r="K40" s="53">
        <v>93</v>
      </c>
      <c r="L40" s="50">
        <v>10</v>
      </c>
      <c r="M40" s="50">
        <v>10</v>
      </c>
      <c r="N40" s="50">
        <v>10</v>
      </c>
      <c r="O40" s="50">
        <v>10</v>
      </c>
      <c r="P40" s="50">
        <v>10</v>
      </c>
      <c r="Q40" s="50">
        <v>10</v>
      </c>
      <c r="R40" s="50">
        <v>10</v>
      </c>
      <c r="S40" s="50">
        <v>10</v>
      </c>
      <c r="T40" s="50">
        <v>10</v>
      </c>
      <c r="U40" s="115">
        <v>10</v>
      </c>
      <c r="V40" s="50">
        <v>23</v>
      </c>
    </row>
  </sheetData>
  <sheetProtection autoFilter="0" deleteColumns="1" deleteRows="1" formatCells="1" formatColumns="0" formatRows="0" insertColumns="1" insertHyperlinks="1" insertRows="1" objects="0" pivotTables="1" scenarios="0" selectLockedCells="0" selectUnlockedCells="0" sheet="1" sort="1"/>
  <mergeCells count="21">
    <mergeCell ref="B3:B4"/>
    <mergeCell ref="C3:C4"/>
    <mergeCell ref="B6:B7"/>
    <mergeCell ref="C6:C7"/>
    <mergeCell ref="B9:B11"/>
    <mergeCell ref="C9:C11"/>
    <mergeCell ref="B13:B14"/>
    <mergeCell ref="C13:C14"/>
    <mergeCell ref="D22:I22"/>
    <mergeCell ref="D23:I23"/>
    <mergeCell ref="E26:F26"/>
    <mergeCell ref="G26:H26"/>
    <mergeCell ref="I26:J26"/>
    <mergeCell ref="K26:K30"/>
    <mergeCell ref="E27:F27"/>
    <mergeCell ref="G27:H27"/>
    <mergeCell ref="I27:J27"/>
    <mergeCell ref="E28:F28"/>
    <mergeCell ref="G28:H28"/>
    <mergeCell ref="I28:J28"/>
    <mergeCell ref="D29:F29"/>
  </mergeCells>
  <dataValidations count="3" disablePrompts="0">
    <dataValidation sqref="I36 G38 I38 G36" type="none" allowBlank="1" errorStyle="stop" imeMode="noControl" operator="between" prompt="Для выбора выполните двойной щелчок левой клавиши мыши по ячейке." showDropDown="0" showErrorMessage="1" showInputMessage="1"/>
    <dataValidation sqref="I14 I4 I10:I11 G7 G14 I7 G10:G11 G4"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E30" type="none" allowBlank="1" errorStyle="stop" imeMode="noControl" operator="between" prompt="Количество поданных заявок на подключение (технологическое присоединение) к системе теплоснабжения в течение квартала, шт."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810077-00E7-4C84-BBFB-00D1006A0092}"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H3:H4 J3:J4 H6:H7 J6:J7 J9:J11 H9:H11 J13:J14 H13:H14</xm:sqref>
        </x14:dataValidation>
        <x14:dataValidation xr:uid="{005E00E4-003D-4752-B855-00A700DA005A}" type="textLength" allowBlank="1" error="Допускается ввод не более 900 символов!" errorStyle="stop" errorTitle="Ошибка" imeMode="noControl" operator="lessThanOrEqual" showDropDown="0" showErrorMessage="1" showInputMessage="1">
          <x14:formula1>
            <xm:f>900</xm:f>
          </x14:formula1>
          <xm:sqref>I3 I6 I9 I13 G6 G13 G9 G3</xm:sqref>
        </x14:dataValidation>
      </x14:dataValidations>
    </ext>
  </extLst>
</worksheet>
</file>

<file path=xl/worksheets/sheet4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zoomScale="85" workbookViewId="0">
      <pane xSplit="7" ySplit="10" topLeftCell="H11" activePane="bottomRight" state="frozen"/>
      <selection activeCell="Q13" activeCellId="0" sqref="Q13:Q14"/>
    </sheetView>
  </sheetViews>
  <sheetFormatPr defaultColWidth="9.140625" defaultRowHeight="10.5" customHeight="1"/>
  <cols>
    <col customWidth="1" hidden="1" min="1" max="3" style="125" width="6.7109375"/>
    <col customWidth="1" hidden="1" min="4" max="4" style="53" width="6.7109375"/>
    <col customWidth="1" min="5" max="5" style="50" width="3.00390625"/>
    <col customWidth="1" min="6" max="6" style="50" width="6.00390625"/>
    <col customWidth="1" min="7" max="7" style="50" width="37.00390625"/>
    <col customWidth="1" min="8" max="8" style="50" width="16.00390625"/>
    <col customWidth="1" min="9" max="10" style="50" width="19.00390625"/>
    <col customWidth="1" min="11" max="11" style="50" width="24.00390625"/>
    <col customWidth="1" min="12" max="13" style="50" width="25.00390625"/>
    <col customWidth="1" min="14" max="16" style="50" width="17.00390625"/>
    <col customWidth="1" min="17" max="24" style="50" width="19.00390625"/>
    <col customWidth="1" min="25" max="25" style="50" width="7.00390625"/>
    <col customWidth="1" min="26" max="26" style="50" width="3.00390625"/>
    <col customWidth="1" min="27" max="27" style="50" width="6.00390625"/>
    <col customWidth="1" min="28" max="28" style="50" width="34.00390625"/>
    <col customWidth="1" min="29" max="30" style="50" width="8.00390625"/>
    <col hidden="1" min="31" max="31" style="50" width="9.140625"/>
  </cols>
  <sheetData>
    <row r="1" s="53" customFormat="1" ht="10.5" hidden="1" customHeight="1">
      <c r="A1" s="125"/>
      <c r="B1" s="125"/>
      <c r="C1" s="125"/>
      <c r="E1" s="53"/>
      <c r="H1" s="53"/>
      <c r="AE1" s="53" t="s">
        <v>14</v>
      </c>
    </row>
    <row r="2" ht="10.5" hidden="1" customHeight="1">
      <c r="AE2" s="50">
        <v>0</v>
      </c>
    </row>
    <row r="3" s="56" customFormat="1" ht="10.5" hidden="1" customHeight="1">
      <c r="A3" s="125"/>
      <c r="B3" s="125"/>
      <c r="C3" s="125"/>
      <c r="D3" s="53"/>
      <c r="E3" s="56"/>
      <c r="G3" s="56" t="s">
        <v>958</v>
      </c>
      <c r="H3" s="56"/>
      <c r="AE3" s="56">
        <v>0</v>
      </c>
    </row>
    <row r="4" ht="3" customHeight="1">
      <c r="AE4" s="50">
        <v>3</v>
      </c>
    </row>
    <row r="5" ht="27.300000000000001" customHeight="1">
      <c r="F5" s="453" t="str">
        <f>IP_NAME_FORM</f>
        <v xml:space="preserve">Форма 7. Информация об инвестиционных программах организации горячего водоснабжения и отчетах об их исполнении</v>
      </c>
      <c r="G5" s="453"/>
      <c r="H5" s="453"/>
      <c r="I5" s="453"/>
      <c r="J5" s="453"/>
      <c r="K5" s="453"/>
      <c r="M5" s="107"/>
      <c r="AB5" s="50"/>
      <c r="AE5" s="50">
        <v>26</v>
      </c>
    </row>
    <row r="6" s="50" customFormat="1" ht="16.800000000000001" customHeight="1">
      <c r="A6" s="125"/>
      <c r="B6" s="125"/>
      <c r="C6" s="125"/>
      <c r="D6" s="53"/>
      <c r="E6" s="50"/>
      <c r="F6" s="304" t="str">
        <f>IF(org=0,"Не определено",org)</f>
        <v xml:space="preserve">АО "ДГК" СП "Биробиджанская ТЭЦ"</v>
      </c>
      <c r="G6" s="304"/>
      <c r="H6" s="304"/>
      <c r="I6" s="304"/>
      <c r="J6" s="304"/>
      <c r="K6" s="304"/>
      <c r="M6" s="107"/>
      <c r="AB6" s="50"/>
      <c r="AE6" s="50">
        <v>16</v>
      </c>
    </row>
    <row r="7" ht="10.5" customHeight="1">
      <c r="AE7" s="50">
        <v>10</v>
      </c>
    </row>
    <row r="8" ht="10.5" customHeight="1">
      <c r="A8" s="125"/>
      <c r="B8" s="125"/>
      <c r="C8" s="125"/>
      <c r="F8" s="73" t="s">
        <v>294</v>
      </c>
      <c r="G8" s="146"/>
      <c r="H8" s="146"/>
      <c r="I8" s="146"/>
      <c r="J8" s="146"/>
      <c r="K8" s="146"/>
      <c r="L8" s="146"/>
      <c r="M8" s="146"/>
      <c r="N8" s="146"/>
      <c r="O8" s="146"/>
      <c r="P8" s="146"/>
      <c r="Q8" s="146"/>
      <c r="R8" s="146"/>
      <c r="S8" s="146"/>
      <c r="T8" s="146"/>
      <c r="U8" s="146"/>
      <c r="V8" s="146"/>
      <c r="W8" s="146"/>
      <c r="X8" s="146"/>
      <c r="Y8" s="146"/>
      <c r="Z8" s="146"/>
      <c r="AA8" s="146"/>
      <c r="AB8" s="72"/>
      <c r="AE8" s="50">
        <v>10</v>
      </c>
    </row>
    <row r="9" ht="43.049999999999997" customHeight="1">
      <c r="A9" s="885"/>
      <c r="B9" s="885"/>
      <c r="C9" s="885"/>
      <c r="F9" s="158" t="s">
        <v>87</v>
      </c>
      <c r="G9" s="158" t="s">
        <v>958</v>
      </c>
      <c r="H9" s="308" t="s">
        <v>959</v>
      </c>
      <c r="I9" s="158" t="s">
        <v>960</v>
      </c>
      <c r="J9" s="158" t="s">
        <v>961</v>
      </c>
      <c r="K9" s="158" t="s">
        <v>962</v>
      </c>
      <c r="L9" s="158" t="s">
        <v>963</v>
      </c>
      <c r="M9" s="158" t="s">
        <v>964</v>
      </c>
      <c r="N9" s="348" t="s">
        <v>965</v>
      </c>
      <c r="O9" s="348"/>
      <c r="P9" s="348"/>
      <c r="Q9" s="551" t="s">
        <v>966</v>
      </c>
      <c r="R9" s="552"/>
      <c r="S9" s="552"/>
      <c r="T9" s="553"/>
      <c r="U9" s="551" t="s">
        <v>967</v>
      </c>
      <c r="V9" s="552"/>
      <c r="W9" s="552"/>
      <c r="X9" s="553"/>
      <c r="Y9" s="73" t="s">
        <v>968</v>
      </c>
      <c r="Z9" s="146"/>
      <c r="AA9" s="146"/>
      <c r="AB9" s="72"/>
      <c r="AE9" s="50">
        <v>41</v>
      </c>
    </row>
    <row r="10" ht="43.049999999999997" customHeight="1">
      <c r="A10" s="885"/>
      <c r="B10" s="885"/>
      <c r="C10" s="885"/>
      <c r="F10" s="308"/>
      <c r="G10" s="308"/>
      <c r="H10" s="163"/>
      <c r="I10" s="308"/>
      <c r="J10" s="308"/>
      <c r="K10" s="308"/>
      <c r="L10" s="308"/>
      <c r="M10" s="308"/>
      <c r="N10" s="886" t="s">
        <v>969</v>
      </c>
      <c r="O10" s="886" t="s">
        <v>970</v>
      </c>
      <c r="P10" s="554" t="s">
        <v>971</v>
      </c>
      <c r="Q10" s="886" t="s">
        <v>88</v>
      </c>
      <c r="R10" s="886" t="s">
        <v>972</v>
      </c>
      <c r="S10" s="886" t="s">
        <v>973</v>
      </c>
      <c r="T10" s="662" t="s">
        <v>974</v>
      </c>
      <c r="U10" s="886" t="s">
        <v>88</v>
      </c>
      <c r="V10" s="886" t="s">
        <v>975</v>
      </c>
      <c r="W10" s="886" t="s">
        <v>973</v>
      </c>
      <c r="X10" s="662" t="s">
        <v>974</v>
      </c>
      <c r="Y10" s="550" t="s">
        <v>976</v>
      </c>
      <c r="Z10" s="73" t="s">
        <v>87</v>
      </c>
      <c r="AA10" s="72"/>
      <c r="AB10" s="158" t="s">
        <v>977</v>
      </c>
      <c r="AE10" s="50">
        <v>41</v>
      </c>
    </row>
    <row r="11" s="57" customFormat="1" ht="5.25" hidden="1" customHeight="1">
      <c r="A11" s="532"/>
      <c r="B11" s="532"/>
      <c r="C11" s="532"/>
      <c r="E11" s="133"/>
      <c r="F11" s="655" t="s">
        <v>370</v>
      </c>
      <c r="G11" s="887"/>
      <c r="H11" s="431"/>
      <c r="I11" s="431"/>
      <c r="J11" s="431"/>
      <c r="K11" s="459"/>
      <c r="L11" s="459"/>
      <c r="M11" s="459"/>
      <c r="N11" s="431"/>
      <c r="O11" s="431"/>
      <c r="P11" s="158"/>
      <c r="Q11" s="314"/>
      <c r="R11" s="314"/>
      <c r="S11" s="314"/>
      <c r="T11" s="431"/>
      <c r="U11" s="314"/>
      <c r="V11" s="314"/>
      <c r="W11" s="314"/>
      <c r="X11" s="431"/>
      <c r="Y11" s="219"/>
      <c r="Z11" s="219"/>
      <c r="AA11" s="219"/>
      <c r="AB11" s="219"/>
      <c r="AD11" s="57" t="s">
        <v>978</v>
      </c>
      <c r="AE11" s="57">
        <v>0</v>
      </c>
    </row>
    <row r="12" s="57" customFormat="1" ht="5.25" hidden="1" customHeight="1">
      <c r="A12" s="532"/>
      <c r="B12" s="532"/>
      <c r="C12" s="532"/>
      <c r="E12" s="57"/>
      <c r="F12" s="655"/>
      <c r="G12" s="887"/>
      <c r="H12" s="431"/>
      <c r="I12" s="431"/>
      <c r="J12" s="431"/>
      <c r="K12" s="459"/>
      <c r="L12" s="459"/>
      <c r="M12" s="459"/>
      <c r="N12" s="431"/>
      <c r="O12" s="431"/>
      <c r="P12" s="158"/>
      <c r="Q12" s="314"/>
      <c r="R12" s="314"/>
      <c r="S12" s="314"/>
      <c r="T12" s="431"/>
      <c r="U12" s="314"/>
      <c r="V12" s="314"/>
      <c r="W12" s="314"/>
      <c r="X12" s="431"/>
      <c r="Y12" s="888"/>
      <c r="Z12" s="888"/>
      <c r="AA12" s="888"/>
      <c r="AB12" s="888"/>
      <c r="AE12" s="57">
        <v>0</v>
      </c>
    </row>
    <row r="13" ht="27" customHeight="1">
      <c r="A13" s="125"/>
      <c r="B13" s="125"/>
      <c r="C13" s="125"/>
      <c r="D13" s="53"/>
      <c r="E13" s="150" t="s">
        <v>683</v>
      </c>
      <c r="F13" s="889" t="s">
        <v>105</v>
      </c>
      <c r="G13" s="890" t="s">
        <v>979</v>
      </c>
      <c r="H13" s="891" t="s">
        <v>64</v>
      </c>
      <c r="I13" s="892">
        <v>45845.6562962963</v>
      </c>
      <c r="J13" s="893"/>
      <c r="K13" s="894" t="s">
        <v>980</v>
      </c>
      <c r="L13" s="895" t="s">
        <v>981</v>
      </c>
      <c r="M13" s="895" t="s">
        <v>982</v>
      </c>
      <c r="N13" s="896" t="s">
        <v>983</v>
      </c>
      <c r="O13" s="896" t="s">
        <v>984</v>
      </c>
      <c r="P13" s="897" t="e">
        <f>DATEDIF(DATEVALUE(N13),DATEVALUE(O13),"y")&amp;"г. "&amp;DATEDIF(DATEVALUE(N13),DATEVALUE(O13),"ym")&amp;"мес. "&amp;DATEVALUE(O13)-DATE(YEAR(DATEVALUE(O13)),MONTH(DATEVALUE(O13)),1)&amp;"дн. "</f>
        <v>#VALUE!</v>
      </c>
      <c r="Q13" s="898" t="s">
        <v>985</v>
      </c>
      <c r="R13" s="898" t="s">
        <v>986</v>
      </c>
      <c r="S13" s="898" t="s">
        <v>987</v>
      </c>
      <c r="T13" s="893" t="s">
        <v>983</v>
      </c>
      <c r="U13" s="898"/>
      <c r="V13" s="898"/>
      <c r="W13" s="898"/>
      <c r="X13" s="893"/>
      <c r="Y13" s="899" t="s">
        <v>19</v>
      </c>
      <c r="Z13" s="307"/>
      <c r="AA13" s="158">
        <v>1</v>
      </c>
      <c r="AB13" s="900" t="s">
        <v>22</v>
      </c>
      <c r="AC13" s="50"/>
      <c r="AD13" s="57" t="s">
        <v>988</v>
      </c>
      <c r="AE13" s="50"/>
    </row>
    <row r="14" ht="10.5" customHeight="1">
      <c r="A14" s="125"/>
      <c r="B14" s="125"/>
      <c r="C14" s="125"/>
      <c r="D14" s="53"/>
      <c r="E14" s="901"/>
      <c r="F14" s="889" t="s">
        <v>370</v>
      </c>
      <c r="G14" s="890"/>
      <c r="H14" s="902"/>
      <c r="I14" s="903"/>
      <c r="J14" s="904"/>
      <c r="K14" s="894"/>
      <c r="L14" s="895"/>
      <c r="M14" s="895"/>
      <c r="N14" s="896"/>
      <c r="O14" s="896"/>
      <c r="P14" s="897"/>
      <c r="Q14" s="898"/>
      <c r="R14" s="898"/>
      <c r="S14" s="898"/>
      <c r="T14" s="904"/>
      <c r="U14" s="898"/>
      <c r="V14" s="898"/>
      <c r="W14" s="898"/>
      <c r="X14" s="904"/>
      <c r="Y14" s="905"/>
      <c r="Z14" s="832"/>
      <c r="AA14" s="742"/>
      <c r="AB14" s="230" t="s">
        <v>989</v>
      </c>
      <c r="AC14" s="50"/>
      <c r="AD14" s="50"/>
      <c r="AE14" s="50"/>
    </row>
    <row r="15" ht="10.5" customHeight="1">
      <c r="F15" s="642"/>
      <c r="G15" s="173" t="s">
        <v>990</v>
      </c>
      <c r="H15" s="173"/>
      <c r="I15" s="742"/>
      <c r="J15" s="742"/>
      <c r="K15" s="742"/>
      <c r="L15" s="742"/>
      <c r="M15" s="742"/>
      <c r="N15" s="742"/>
      <c r="O15" s="742"/>
      <c r="P15" s="742"/>
      <c r="Q15" s="742"/>
      <c r="R15" s="742"/>
      <c r="S15" s="742"/>
      <c r="T15" s="742"/>
      <c r="U15" s="742"/>
      <c r="V15" s="742"/>
      <c r="W15" s="742"/>
      <c r="X15" s="742"/>
      <c r="Y15" s="742"/>
      <c r="Z15" s="884"/>
      <c r="AA15" s="884"/>
      <c r="AB15" s="906"/>
      <c r="AE15" s="50">
        <v>10</v>
      </c>
    </row>
    <row r="16" ht="10.5" customHeight="1">
      <c r="AE16" s="50">
        <v>10</v>
      </c>
    </row>
    <row r="17" s="57" customFormat="1" ht="10.5" customHeight="1">
      <c r="A17" s="532"/>
      <c r="B17" s="532"/>
      <c r="C17" s="532"/>
      <c r="E17" s="57"/>
      <c r="H17" s="57">
        <f>_xlfn.IFERROR(MATCH("нет",IP_MAIN_DIFFERENTIATION_EVENTS_FLAG,0),0)</f>
        <v>0</v>
      </c>
      <c r="AE17" s="57">
        <v>10</v>
      </c>
    </row>
    <row r="18" ht="10.5" hidden="1" customHeight="1">
      <c r="A18" s="125" t="s">
        <v>81</v>
      </c>
      <c r="B18" s="125">
        <v>0</v>
      </c>
      <c r="C18" s="125">
        <v>0</v>
      </c>
      <c r="D18" s="53">
        <v>0</v>
      </c>
      <c r="E18" s="50">
        <v>3</v>
      </c>
      <c r="F18" s="50">
        <v>6</v>
      </c>
      <c r="G18" s="50">
        <v>37</v>
      </c>
      <c r="H18" s="50">
        <v>16</v>
      </c>
      <c r="I18" s="50">
        <v>19</v>
      </c>
      <c r="J18" s="50">
        <v>19</v>
      </c>
      <c r="K18" s="50">
        <v>24</v>
      </c>
      <c r="L18" s="50">
        <v>25</v>
      </c>
      <c r="M18" s="50">
        <v>25</v>
      </c>
      <c r="N18" s="50">
        <v>17</v>
      </c>
      <c r="O18" s="50">
        <v>17</v>
      </c>
      <c r="P18" s="50">
        <v>17</v>
      </c>
      <c r="Q18" s="50">
        <v>19</v>
      </c>
      <c r="R18" s="50">
        <v>19</v>
      </c>
      <c r="S18" s="50">
        <v>19</v>
      </c>
      <c r="T18" s="50">
        <v>19</v>
      </c>
      <c r="U18" s="50">
        <v>19</v>
      </c>
      <c r="V18" s="50">
        <v>19</v>
      </c>
      <c r="W18" s="50">
        <v>19</v>
      </c>
      <c r="X18" s="50">
        <v>19</v>
      </c>
      <c r="Y18" s="50">
        <v>7</v>
      </c>
      <c r="Z18" s="50">
        <v>3</v>
      </c>
      <c r="AA18" s="50">
        <v>6</v>
      </c>
      <c r="AB18" s="50">
        <v>34</v>
      </c>
      <c r="AC18" s="50">
        <v>8</v>
      </c>
      <c r="AD18" s="50">
        <v>8</v>
      </c>
      <c r="AE18" s="50">
        <v>10</v>
      </c>
    </row>
  </sheetData>
  <sheetProtection autoFilter="0" deleteColumns="1" deleteRows="1" formatCells="1" formatColumns="0" formatRows="0" insertColumns="1" insertHyperlinks="1" insertRows="1" objects="0" pivotTables="1" scenarios="0" selectLockedCells="0" selectUnlockedCells="0" sheet="1" sort="1"/>
  <mergeCells count="60">
    <mergeCell ref="F5:K5"/>
    <mergeCell ref="F6:K6"/>
    <mergeCell ref="F8:AB8"/>
    <mergeCell ref="F9:F10"/>
    <mergeCell ref="G9:G10"/>
    <mergeCell ref="H9:H10"/>
    <mergeCell ref="I9:I10"/>
    <mergeCell ref="J9:J10"/>
    <mergeCell ref="K9:K10"/>
    <mergeCell ref="L9:L10"/>
    <mergeCell ref="M9:M10"/>
    <mergeCell ref="N9:P9"/>
    <mergeCell ref="Q9:T9"/>
    <mergeCell ref="U9:X9"/>
    <mergeCell ref="Y9:AB9"/>
    <mergeCell ref="Z10:AA10"/>
    <mergeCell ref="F11:F12"/>
    <mergeCell ref="G11:G12"/>
    <mergeCell ref="H11:H12"/>
    <mergeCell ref="I11:I12"/>
    <mergeCell ref="J11:J12"/>
    <mergeCell ref="K11:K12"/>
    <mergeCell ref="L11:L12"/>
    <mergeCell ref="M11:M12"/>
    <mergeCell ref="N11:N12"/>
    <mergeCell ref="O11:O12"/>
    <mergeCell ref="P11:P12"/>
    <mergeCell ref="Q11:Q12"/>
    <mergeCell ref="R11:R12"/>
    <mergeCell ref="S11:S12"/>
    <mergeCell ref="T11:T12"/>
    <mergeCell ref="U11:U12"/>
    <mergeCell ref="V11:V12"/>
    <mergeCell ref="W11:W12"/>
    <mergeCell ref="X11:X12"/>
    <mergeCell ref="Y11:Y12"/>
    <mergeCell ref="Z11:Z12"/>
    <mergeCell ref="AA11:AA12"/>
    <mergeCell ref="AB11:AB12"/>
    <mergeCell ref="E13:E14"/>
    <mergeCell ref="F13:F14"/>
    <mergeCell ref="G13:G14"/>
    <mergeCell ref="H13:H14"/>
    <mergeCell ref="I13:I14"/>
    <mergeCell ref="J13:J14"/>
    <mergeCell ref="K13:K14"/>
    <mergeCell ref="L13:L14"/>
    <mergeCell ref="M13:M14"/>
    <mergeCell ref="N13:N14"/>
    <mergeCell ref="O13:O14"/>
    <mergeCell ref="P13:P14"/>
    <mergeCell ref="Q13:Q14"/>
    <mergeCell ref="R13:R14"/>
    <mergeCell ref="S13:S14"/>
    <mergeCell ref="T13:T14"/>
    <mergeCell ref="U13:U14"/>
    <mergeCell ref="V13:V14"/>
    <mergeCell ref="W13:W14"/>
    <mergeCell ref="X13:X14"/>
    <mergeCell ref="Y13:Y14"/>
  </mergeCells>
  <dataValidations count="5" disablePrompts="0">
    <dataValidation sqref="G13" type="none" allowBlank="1" errorStyle="stop" imeMode="noControl" operator="between" prompt="Для выбора ИП необходимо два раза нажать левую кнопку мыши!" promptTitle="Ввод" showDropDown="0" showErrorMessage="1" showInputMessage="1"/>
    <dataValidation sqref="I13"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J13"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T13"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X13"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0" disablePrompts="0">
        <x14:dataValidation xr:uid="{00A00008-00B0-414E-A787-00F8000E00ED}"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K13</xm:sqref>
        </x14:dataValidation>
        <x14:dataValidation xr:uid="{00450088-007D-40B3-B298-00D10075005C}" type="textLength" allowBlank="1" error="Допускается ввод не более 900 символов!" errorStyle="stop" errorTitle="Ошибка" imeMode="noControl" operator="lessThanOrEqual" showDropDown="0" showErrorMessage="1" showInputMessage="1">
          <x14:formula1>
            <xm:f>900</xm:f>
          </x14:formula1>
          <xm:sqref>L13</xm:sqref>
        </x14:dataValidation>
        <x14:dataValidation xr:uid="{009A00EC-0000-4540-81EA-0088005900E7}" type="textLength" allowBlank="1" error="Допускается ввод не более 900 символов!" errorStyle="stop" errorTitle="Ошибка" imeMode="noControl" operator="lessThanOrEqual" showDropDown="0" showErrorMessage="1" showInputMessage="1">
          <x14:formula1>
            <xm:f>900</xm:f>
          </x14:formula1>
          <xm:sqref>M13</xm:sqref>
        </x14:dataValidation>
        <x14:dataValidation xr:uid="{00BE008A-00E3-48D1-BAFE-00FF009400DA}" type="textLength" allowBlank="1" error="Допускается ввод не более 900 символов!" errorStyle="stop" errorTitle="Ошибка" imeMode="noControl" operator="lessThanOrEqual" showDropDown="0" showErrorMessage="1" showInputMessage="1">
          <x14:formula1>
            <xm:f>900</xm:f>
          </x14:formula1>
          <xm:sqref>Q13</xm:sqref>
        </x14:dataValidation>
        <x14:dataValidation xr:uid="{008F00E0-0018-4333-88CF-0010008200F2}" type="textLength" allowBlank="1" error="Допускается ввод не более 900 символов!" errorStyle="stop" errorTitle="Ошибка" imeMode="noControl" operator="lessThanOrEqual" showDropDown="0" showErrorMessage="1" showInputMessage="1">
          <x14:formula1>
            <xm:f>900</xm:f>
          </x14:formula1>
          <xm:sqref>R13</xm:sqref>
        </x14:dataValidation>
        <x14:dataValidation xr:uid="{00150086-0099-432E-A9B2-001100B1008D}" type="textLength" allowBlank="1" error="Допускается ввод не более 900 символов!" errorStyle="stop" errorTitle="Ошибка" imeMode="noControl" operator="lessThanOrEqual" showDropDown="0" showErrorMessage="1" showInputMessage="1">
          <x14:formula1>
            <xm:f>900</xm:f>
          </x14:formula1>
          <xm:sqref>S13</xm:sqref>
        </x14:dataValidation>
        <x14:dataValidation xr:uid="{00E900CD-006D-4A0F-80E1-0081000F00F2}" type="textLength" allowBlank="1" error="Допускается ввод не более 900 символов!" errorStyle="stop" errorTitle="Ошибка" imeMode="noControl" operator="lessThanOrEqual" showDropDown="0" showErrorMessage="1" showInputMessage="1">
          <x14:formula1>
            <xm:f>900</xm:f>
          </x14:formula1>
          <xm:sqref>U13</xm:sqref>
        </x14:dataValidation>
        <x14:dataValidation xr:uid="{00A20091-009F-40B0-BC55-001500CC0001}" type="textLength" allowBlank="1" error="Допускается ввод не более 900 символов!" errorStyle="stop" errorTitle="Ошибка" imeMode="noControl" operator="lessThanOrEqual" showDropDown="0" showErrorMessage="1" showInputMessage="1">
          <x14:formula1>
            <xm:f>900</xm:f>
          </x14:formula1>
          <xm:sqref>V13</xm:sqref>
        </x14:dataValidation>
        <x14:dataValidation xr:uid="{004600E4-00C2-4DB9-8110-00E200A10022}" type="textLength" allowBlank="1" error="Допускается ввод не более 900 символов!" errorStyle="stop" errorTitle="Ошибка" imeMode="noControl" operator="lessThanOrEqual" showDropDown="0" showErrorMessage="1" showInputMessage="1">
          <x14:formula1>
            <xm:f>900</xm:f>
          </x14:formula1>
          <xm:sqref>W13</xm:sqref>
        </x14:dataValidation>
        <x14:dataValidation xr:uid="{008100B6-000E-478E-B776-008700F50073}" type="textLength" allowBlank="1" error="Допускается ввод не более 900 символов!" errorStyle="stop" errorTitle="Ошибка" imeMode="noControl" operator="lessThanOrEqual" showDropDown="0" showErrorMessage="1" showInputMessage="1">
          <x14:formula1>
            <xm:f>900</xm:f>
          </x14:formula1>
          <xm:sqref>AB13</xm:sqref>
        </x14:dataValidation>
      </x14:dataValidations>
    </ext>
  </extLst>
</worksheet>
</file>

<file path=xl/worksheets/sheet4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zoomScale="90" workbookViewId="0">
      <pane xSplit="8" ySplit="12" topLeftCell="I13" activePane="bottomRight" state="frozen"/>
      <selection activeCell="V200" activeCellId="0" sqref="V200"/>
    </sheetView>
  </sheetViews>
  <sheetFormatPr defaultColWidth="9.140625" defaultRowHeight="10.5" customHeight="1"/>
  <cols>
    <col customWidth="1" hidden="1" min="1" max="3" style="125" width="4.140625"/>
    <col customWidth="1" hidden="1" min="4" max="4" style="53" width="4.140625"/>
    <col customWidth="1" min="5" max="5" style="50" width="3.00390625"/>
    <col customWidth="1" min="6" max="6" style="50" width="14.00390625"/>
    <col customWidth="1" min="7" max="7" style="50" width="3.00390625"/>
    <col customWidth="1" min="8" max="8" style="50" width="7.00390625"/>
    <col customWidth="1" min="9" max="10" style="50" width="16.00390625"/>
    <col customWidth="1" min="11" max="11" style="50" width="25.00390625"/>
    <col customWidth="1" min="12" max="12" style="50" width="7.00390625"/>
    <col customWidth="1" min="13" max="13" style="50" width="15.00390625"/>
    <col customWidth="1" min="14" max="14" style="50" width="3.00390625"/>
    <col customWidth="1" min="15" max="15" style="50" width="4.00390625"/>
    <col customWidth="1" min="16" max="16" style="50" width="8.00390625"/>
    <col customWidth="1" min="17" max="17" style="50" width="21.00390625"/>
    <col customWidth="1" min="18" max="18" style="50" width="14.00390625"/>
    <col customWidth="1" min="19" max="20" style="50" width="17.00390625"/>
    <col customWidth="1" min="21" max="21" style="50" width="9.00390625"/>
    <col customWidth="1" min="22" max="22" style="50" width="12.00390625"/>
    <col customWidth="1" min="23" max="23" style="50" width="9.00390625"/>
    <col customWidth="1" min="24" max="24" style="50" width="21.00390625"/>
    <col customWidth="1" min="25" max="25" style="50" width="12.00390625"/>
    <col customWidth="1" min="26" max="26" style="50" width="3.00390625"/>
    <col customWidth="1" min="27" max="27" style="50" width="6.00390625"/>
    <col customWidth="1" min="28" max="28" style="50" width="38.00390625"/>
    <col customWidth="1" min="29" max="29" style="50" width="15.00390625"/>
    <col customWidth="1" hidden="1" min="30" max="30" style="50" width="37.57421875"/>
    <col customWidth="1" hidden="1" min="31" max="31" style="50" width="15.7109375"/>
    <col customWidth="1" min="32" max="34" style="50" width="16.00390625"/>
    <col customWidth="1" hidden="1" min="35" max="37" style="50" width="16.7109375"/>
    <col customWidth="1" min="38" max="58" style="50" width="8.00390625"/>
    <col hidden="1" min="59" max="59" style="50" width="9.140625"/>
  </cols>
  <sheetData>
    <row r="1" s="53" customFormat="1" ht="10.5" hidden="1" customHeight="1">
      <c r="A1" s="125"/>
      <c r="B1" s="125"/>
      <c r="C1" s="125"/>
      <c r="E1" s="53"/>
      <c r="H1" s="53"/>
      <c r="L1" s="53"/>
      <c r="M1" s="53"/>
      <c r="AD1" s="53"/>
      <c r="AH1" s="53"/>
      <c r="AI1" s="53"/>
      <c r="BG1" s="53" t="s">
        <v>14</v>
      </c>
    </row>
    <row r="2" ht="10.5" hidden="1" customHeight="1">
      <c r="BG2" s="50">
        <v>0</v>
      </c>
    </row>
    <row r="3" s="56" customFormat="1" ht="10.5" hidden="1" customHeight="1">
      <c r="A3" s="125"/>
      <c r="B3" s="125"/>
      <c r="C3" s="125"/>
      <c r="D3" s="53"/>
      <c r="E3" s="56"/>
      <c r="H3" s="56"/>
      <c r="L3" s="56"/>
      <c r="M3" s="56"/>
      <c r="AD3" s="56"/>
      <c r="AH3" s="56"/>
      <c r="AI3" s="56"/>
      <c r="BG3" s="56">
        <v>0</v>
      </c>
    </row>
    <row r="4" ht="3" customHeight="1">
      <c r="BG4" s="50">
        <v>3</v>
      </c>
    </row>
    <row r="5" ht="27.300000000000001" customHeight="1">
      <c r="F5" s="453" t="str">
        <f>IP_NAME_FORM</f>
        <v xml:space="preserve">Форма 7. Информация об инвестиционных программах организации горячего водоснабжения и отчетах об их исполнении</v>
      </c>
      <c r="G5" s="453"/>
      <c r="H5" s="453"/>
      <c r="I5" s="453"/>
      <c r="J5" s="453"/>
      <c r="K5" s="453"/>
      <c r="L5" s="720"/>
      <c r="M5" s="720"/>
      <c r="AG5" s="50"/>
      <c r="AH5" s="50"/>
      <c r="BG5" s="50">
        <v>26</v>
      </c>
    </row>
    <row r="6" ht="10.5" customHeight="1">
      <c r="F6" s="304" t="str">
        <f>IF(org=0,"Не определено",org)</f>
        <v xml:space="preserve">АО "ДГК" СП "Биробиджанская ТЭЦ"</v>
      </c>
      <c r="G6" s="304"/>
      <c r="H6" s="304"/>
      <c r="I6" s="304"/>
      <c r="J6" s="304"/>
      <c r="K6" s="304"/>
      <c r="L6" s="720"/>
      <c r="M6" s="720"/>
      <c r="BG6" s="50">
        <v>10</v>
      </c>
    </row>
    <row r="7" ht="11.5" customHeight="1">
      <c r="E7" s="91"/>
      <c r="F7" s="907"/>
      <c r="G7" s="907"/>
      <c r="H7" s="907"/>
      <c r="I7" s="907"/>
      <c r="J7" s="907"/>
      <c r="K7" s="908"/>
      <c r="L7" s="908"/>
      <c r="M7" s="908"/>
      <c r="N7" s="907"/>
      <c r="O7" s="907"/>
      <c r="P7" s="907"/>
      <c r="Q7" s="908"/>
      <c r="R7" s="907"/>
      <c r="S7" s="907"/>
      <c r="T7" s="907"/>
      <c r="U7" s="907"/>
      <c r="V7" s="907"/>
      <c r="W7" s="907"/>
      <c r="X7" s="907"/>
      <c r="Y7" s="907"/>
      <c r="Z7" s="907"/>
      <c r="AA7" s="907"/>
      <c r="AB7" s="907"/>
      <c r="AC7" s="909"/>
      <c r="AD7" s="909"/>
      <c r="AE7" s="909"/>
      <c r="AF7" s="907"/>
      <c r="AG7" s="907"/>
      <c r="AH7" s="907"/>
      <c r="AI7" s="907"/>
      <c r="AJ7" s="907"/>
      <c r="AK7" s="907"/>
      <c r="AL7" s="53"/>
      <c r="AM7" s="53"/>
      <c r="AN7" s="53"/>
      <c r="AO7" s="144"/>
      <c r="AP7" s="144"/>
      <c r="AQ7" s="144"/>
      <c r="AR7" s="144"/>
      <c r="AS7" s="144"/>
      <c r="AT7" s="144"/>
      <c r="AU7" s="144"/>
      <c r="AV7" s="144"/>
      <c r="AW7" s="144"/>
      <c r="AX7" s="144"/>
      <c r="AY7" s="144"/>
      <c r="AZ7" s="144"/>
      <c r="BA7" s="144"/>
      <c r="BB7" s="144"/>
      <c r="BC7" s="144"/>
      <c r="BD7" s="144"/>
      <c r="BE7" s="144"/>
      <c r="BF7" s="144"/>
      <c r="BG7" s="50">
        <v>11</v>
      </c>
    </row>
    <row r="8" ht="10.5" customHeight="1">
      <c r="E8" s="91"/>
      <c r="F8" s="910" t="s">
        <v>294</v>
      </c>
      <c r="G8" s="911"/>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2"/>
      <c r="AL8" s="913"/>
      <c r="AM8" s="144"/>
      <c r="AN8" s="144"/>
      <c r="AO8" s="144"/>
      <c r="AP8" s="144"/>
      <c r="AQ8" s="144"/>
      <c r="AR8" s="144"/>
      <c r="AS8" s="144"/>
      <c r="AT8" s="144"/>
      <c r="AU8" s="144"/>
      <c r="AV8" s="144"/>
      <c r="AW8" s="144"/>
      <c r="AX8" s="144"/>
      <c r="AY8" s="144"/>
      <c r="AZ8" s="144"/>
      <c r="BA8" s="144"/>
      <c r="BB8" s="144"/>
      <c r="BC8" s="144"/>
      <c r="BD8" s="144"/>
      <c r="BE8" s="144"/>
      <c r="BF8" s="144"/>
      <c r="BG8" s="50">
        <v>10</v>
      </c>
    </row>
    <row r="9" ht="24" customHeight="1">
      <c r="A9" s="885"/>
      <c r="B9" s="885"/>
      <c r="C9" s="885"/>
      <c r="E9" s="91"/>
      <c r="F9" s="348" t="s">
        <v>991</v>
      </c>
      <c r="G9" s="661" t="s">
        <v>992</v>
      </c>
      <c r="H9" s="828"/>
      <c r="I9" s="158" t="s">
        <v>993</v>
      </c>
      <c r="J9" s="158"/>
      <c r="K9" s="158" t="s">
        <v>994</v>
      </c>
      <c r="L9" s="158"/>
      <c r="M9" s="158"/>
      <c r="N9" s="158"/>
      <c r="O9" s="158"/>
      <c r="P9" s="158"/>
      <c r="Q9" s="158"/>
      <c r="R9" s="158"/>
      <c r="S9" s="158"/>
      <c r="T9" s="158"/>
      <c r="U9" s="158"/>
      <c r="V9" s="158"/>
      <c r="W9" s="158"/>
      <c r="X9" s="158"/>
      <c r="Y9" s="158"/>
      <c r="Z9" s="305" t="s">
        <v>995</v>
      </c>
      <c r="AA9" s="306"/>
      <c r="AB9" s="158" t="s">
        <v>996</v>
      </c>
      <c r="AC9" s="158"/>
      <c r="AD9" s="158"/>
      <c r="AE9" s="158"/>
      <c r="AF9" s="308" t="s">
        <v>997</v>
      </c>
      <c r="AG9" s="158" t="s">
        <v>998</v>
      </c>
      <c r="AH9" s="158"/>
      <c r="AI9" s="308" t="s">
        <v>999</v>
      </c>
      <c r="AJ9" s="158" t="s">
        <v>1000</v>
      </c>
      <c r="AK9" s="158"/>
      <c r="AL9" s="50"/>
      <c r="AM9" s="144"/>
      <c r="AN9" s="144"/>
      <c r="AO9" s="144"/>
      <c r="AP9" s="144"/>
      <c r="AQ9" s="144"/>
      <c r="AR9" s="144"/>
      <c r="AS9" s="144"/>
      <c r="AT9" s="144"/>
      <c r="AU9" s="144"/>
      <c r="AV9" s="144"/>
      <c r="AW9" s="144"/>
      <c r="AX9" s="144"/>
      <c r="AY9" s="144"/>
      <c r="AZ9" s="144"/>
      <c r="BA9" s="144"/>
      <c r="BB9" s="144"/>
      <c r="BC9" s="144"/>
      <c r="BD9" s="144"/>
      <c r="BE9" s="144"/>
      <c r="BF9" s="144"/>
      <c r="BG9" s="50">
        <v>23</v>
      </c>
    </row>
    <row r="10" ht="25.199999999999999" customHeight="1">
      <c r="A10" s="885"/>
      <c r="B10" s="885"/>
      <c r="C10" s="885"/>
      <c r="E10" s="91"/>
      <c r="F10" s="348"/>
      <c r="G10" s="664"/>
      <c r="H10" s="361"/>
      <c r="I10" s="158"/>
      <c r="J10" s="158"/>
      <c r="K10" s="158" t="s">
        <v>1001</v>
      </c>
      <c r="L10" s="73" t="s">
        <v>1002</v>
      </c>
      <c r="M10" s="72"/>
      <c r="N10" s="158" t="s">
        <v>1003</v>
      </c>
      <c r="O10" s="158"/>
      <c r="P10" s="158"/>
      <c r="Q10" s="158"/>
      <c r="R10" s="158"/>
      <c r="S10" s="158"/>
      <c r="T10" s="158"/>
      <c r="U10" s="158"/>
      <c r="V10" s="158"/>
      <c r="W10" s="158"/>
      <c r="X10" s="158"/>
      <c r="Y10" s="158"/>
      <c r="Z10" s="309"/>
      <c r="AA10" s="310"/>
      <c r="AB10" s="158"/>
      <c r="AC10" s="158"/>
      <c r="AD10" s="158"/>
      <c r="AE10" s="158"/>
      <c r="AF10" s="307"/>
      <c r="AG10" s="158"/>
      <c r="AH10" s="158"/>
      <c r="AI10" s="307"/>
      <c r="AJ10" s="158"/>
      <c r="AK10" s="158"/>
      <c r="AL10" s="50"/>
      <c r="AM10" s="144"/>
      <c r="AN10" s="144"/>
      <c r="AO10" s="144"/>
      <c r="AP10" s="144"/>
      <c r="AQ10" s="144"/>
      <c r="AR10" s="144"/>
      <c r="AS10" s="144"/>
      <c r="AT10" s="144"/>
      <c r="AU10" s="144"/>
      <c r="AV10" s="144"/>
      <c r="AW10" s="144"/>
      <c r="AX10" s="144"/>
      <c r="AY10" s="144"/>
      <c r="AZ10" s="144"/>
      <c r="BA10" s="144"/>
      <c r="BB10" s="144"/>
      <c r="BC10" s="144"/>
      <c r="BD10" s="144"/>
      <c r="BE10" s="144"/>
      <c r="BF10" s="144"/>
      <c r="BG10" s="50">
        <v>24</v>
      </c>
    </row>
    <row r="11" s="50" customFormat="1" ht="25.199999999999999" customHeight="1">
      <c r="A11" s="885"/>
      <c r="B11" s="885"/>
      <c r="C11" s="885"/>
      <c r="D11" s="53"/>
      <c r="E11" s="91"/>
      <c r="F11" s="348"/>
      <c r="G11" s="664"/>
      <c r="H11" s="361"/>
      <c r="I11" s="158"/>
      <c r="J11" s="158"/>
      <c r="K11" s="158"/>
      <c r="L11" s="308" t="s">
        <v>1004</v>
      </c>
      <c r="M11" s="308" t="s">
        <v>1005</v>
      </c>
      <c r="N11" s="158" t="s">
        <v>1006</v>
      </c>
      <c r="O11" s="158"/>
      <c r="P11" s="247" t="s">
        <v>976</v>
      </c>
      <c r="Q11" s="247" t="s">
        <v>1007</v>
      </c>
      <c r="R11" s="247" t="s">
        <v>1008</v>
      </c>
      <c r="S11" s="247" t="s">
        <v>1009</v>
      </c>
      <c r="T11" s="247"/>
      <c r="U11" s="247"/>
      <c r="V11" s="247"/>
      <c r="W11" s="247"/>
      <c r="X11" s="247"/>
      <c r="Y11" s="247"/>
      <c r="Z11" s="309"/>
      <c r="AA11" s="310"/>
      <c r="AB11" s="158" t="s">
        <v>1010</v>
      </c>
      <c r="AC11" s="158"/>
      <c r="AD11" s="73" t="s">
        <v>1011</v>
      </c>
      <c r="AE11" s="72"/>
      <c r="AF11" s="307"/>
      <c r="AG11" s="158"/>
      <c r="AH11" s="158"/>
      <c r="AI11" s="307"/>
      <c r="AJ11" s="158"/>
      <c r="AK11" s="158"/>
      <c r="AL11" s="50"/>
      <c r="AM11" s="144"/>
      <c r="AN11" s="144"/>
      <c r="AO11" s="144"/>
      <c r="AP11" s="144"/>
      <c r="AQ11" s="144"/>
      <c r="AR11" s="144"/>
      <c r="AS11" s="144"/>
      <c r="AT11" s="144"/>
      <c r="AU11" s="144"/>
      <c r="AV11" s="144"/>
      <c r="AW11" s="144"/>
      <c r="AX11" s="144"/>
      <c r="AY11" s="144"/>
      <c r="AZ11" s="144"/>
      <c r="BA11" s="144"/>
      <c r="BB11" s="144"/>
      <c r="BC11" s="144"/>
      <c r="BD11" s="144"/>
      <c r="BE11" s="144"/>
      <c r="BF11" s="144"/>
      <c r="BG11" s="50">
        <v>24</v>
      </c>
    </row>
    <row r="12" ht="35.649999999999999" customHeight="1">
      <c r="A12" s="885"/>
      <c r="B12" s="885"/>
      <c r="C12" s="885"/>
      <c r="E12" s="91"/>
      <c r="F12" s="348"/>
      <c r="G12" s="670"/>
      <c r="H12" s="694"/>
      <c r="I12" s="158" t="s">
        <v>88</v>
      </c>
      <c r="J12" s="158" t="s">
        <v>1012</v>
      </c>
      <c r="K12" s="158"/>
      <c r="L12" s="163"/>
      <c r="M12" s="163"/>
      <c r="N12" s="158"/>
      <c r="O12" s="158"/>
      <c r="P12" s="247"/>
      <c r="Q12" s="247"/>
      <c r="R12" s="247"/>
      <c r="S12" s="247" t="s">
        <v>85</v>
      </c>
      <c r="T12" s="247" t="s">
        <v>86</v>
      </c>
      <c r="U12" s="247" t="s">
        <v>84</v>
      </c>
      <c r="V12" s="247" t="s">
        <v>1013</v>
      </c>
      <c r="W12" s="247" t="s">
        <v>84</v>
      </c>
      <c r="X12" s="247" t="s">
        <v>1014</v>
      </c>
      <c r="Y12" s="247" t="s">
        <v>1015</v>
      </c>
      <c r="Z12" s="311"/>
      <c r="AA12" s="312"/>
      <c r="AB12" s="158" t="s">
        <v>1016</v>
      </c>
      <c r="AC12" s="158" t="s">
        <v>1017</v>
      </c>
      <c r="AD12" s="158" t="s">
        <v>1016</v>
      </c>
      <c r="AE12" s="158" t="s">
        <v>1017</v>
      </c>
      <c r="AF12" s="163"/>
      <c r="AG12" s="158" t="s">
        <v>1018</v>
      </c>
      <c r="AH12" s="158" t="s">
        <v>1019</v>
      </c>
      <c r="AI12" s="163"/>
      <c r="AJ12" s="158" t="s">
        <v>1018</v>
      </c>
      <c r="AK12" s="158" t="s">
        <v>1019</v>
      </c>
      <c r="AL12" s="50"/>
      <c r="AM12" s="144"/>
      <c r="AN12" s="144"/>
      <c r="AO12" s="144"/>
      <c r="AP12" s="144"/>
      <c r="AQ12" s="144"/>
      <c r="AR12" s="144"/>
      <c r="AS12" s="144"/>
      <c r="AT12" s="144"/>
      <c r="AU12" s="144"/>
      <c r="AV12" s="144"/>
      <c r="AW12" s="144"/>
      <c r="AX12" s="144"/>
      <c r="AY12" s="144"/>
      <c r="AZ12" s="144"/>
      <c r="BA12" s="144"/>
      <c r="BB12" s="144"/>
      <c r="BC12" s="144"/>
      <c r="BD12" s="144"/>
      <c r="BE12" s="144"/>
      <c r="BF12" s="144"/>
      <c r="BG12" s="50">
        <v>34</v>
      </c>
    </row>
    <row r="13" ht="1.05" customHeight="1">
      <c r="E13" s="91"/>
      <c r="F13" s="91">
        <v>0</v>
      </c>
      <c r="G13" s="91"/>
      <c r="H13" s="91"/>
      <c r="I13" s="91"/>
      <c r="J13" s="91"/>
      <c r="K13" s="50"/>
      <c r="L13" s="50"/>
      <c r="M13" s="50"/>
      <c r="N13" s="50"/>
      <c r="O13" s="50"/>
      <c r="P13" s="50"/>
      <c r="Q13" s="50"/>
      <c r="R13" s="50"/>
      <c r="S13" s="50"/>
      <c r="T13" s="50"/>
      <c r="U13" s="50"/>
      <c r="V13" s="50"/>
      <c r="W13" s="50"/>
      <c r="X13" s="50"/>
      <c r="Y13" s="50"/>
      <c r="Z13" s="50"/>
      <c r="AA13" s="50"/>
      <c r="AB13" s="50"/>
      <c r="AC13" s="50"/>
      <c r="AD13" s="50"/>
      <c r="AE13" s="50"/>
      <c r="AF13" s="50"/>
      <c r="AG13" s="50"/>
      <c r="AH13" s="50"/>
      <c r="AI13" s="50"/>
      <c r="AJ13" s="50"/>
      <c r="AK13" s="50"/>
      <c r="AL13" s="913"/>
      <c r="AM13" s="144"/>
      <c r="AN13" s="144"/>
      <c r="AO13" s="144"/>
      <c r="AP13" s="144"/>
      <c r="AQ13" s="144"/>
      <c r="AR13" s="144"/>
      <c r="AS13" s="144"/>
      <c r="AT13" s="144"/>
      <c r="AU13" s="144"/>
      <c r="AV13" s="144"/>
      <c r="AW13" s="144"/>
      <c r="AX13" s="144"/>
      <c r="AY13" s="144"/>
      <c r="AZ13" s="144"/>
      <c r="BA13" s="144"/>
      <c r="BB13" s="144"/>
      <c r="BC13" s="144"/>
      <c r="BD13" s="144"/>
      <c r="BE13" s="144"/>
      <c r="BF13" s="144"/>
      <c r="BG13" s="50">
        <v>1</v>
      </c>
    </row>
    <row r="14" ht="21" customHeight="1">
      <c r="A14" s="532" t="s">
        <v>988</v>
      </c>
      <c r="B14" s="125"/>
      <c r="C14" s="125"/>
      <c r="D14" s="53"/>
      <c r="E14" s="91" t="s">
        <v>22</v>
      </c>
      <c r="F14" s="914" t="str">
        <f>INDEX(IP_MAIN_LIST_NAME_IP,MATCH(A14,IP_MAIN_LIST_IP_ID,0))&amp;" ("&amp;INDEX(IP_MAIN_START_DATE,MATCH(A14,IP_MAIN_LIST_IP_ID,0))&amp;"-"&amp;INDEX(IP_MAIN_END_DATE,MATCH(A14,IP_MAIN_LIST_IP_ID,0))&amp;")"</f>
        <v xml:space="preserve">Инвестиционная программа № 103/25 от 07.07.2025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Биробиджан на 2025-2030 годы (07.07.2025-31.12.2030)</v>
      </c>
      <c r="G14" s="915"/>
      <c r="H14" s="915"/>
      <c r="I14" s="916"/>
      <c r="J14" s="916"/>
      <c r="K14" s="917"/>
      <c r="L14" s="917"/>
      <c r="M14" s="917"/>
      <c r="N14" s="918"/>
      <c r="O14" s="918"/>
      <c r="P14" s="918"/>
      <c r="Q14" s="918"/>
      <c r="R14" s="918"/>
      <c r="S14" s="918"/>
      <c r="T14" s="918"/>
      <c r="U14" s="918"/>
      <c r="V14" s="918"/>
      <c r="W14" s="918"/>
      <c r="X14" s="918"/>
      <c r="Y14" s="918"/>
      <c r="Z14" s="918"/>
      <c r="AA14" s="918"/>
      <c r="AB14" s="918"/>
      <c r="AC14" s="918"/>
      <c r="AD14" s="918"/>
      <c r="AE14" s="919"/>
      <c r="AF14" s="917"/>
      <c r="AG14" s="917"/>
      <c r="AH14" s="917"/>
      <c r="AI14" s="917"/>
      <c r="AJ14" s="917"/>
      <c r="AK14" s="917"/>
      <c r="AL14" s="920"/>
      <c r="AM14" s="144"/>
      <c r="AN14" s="144"/>
      <c r="AO14" s="144"/>
      <c r="AP14" s="144"/>
      <c r="AQ14" s="144"/>
      <c r="AR14" s="144"/>
      <c r="AS14" s="144"/>
      <c r="AT14" s="144"/>
      <c r="AU14" s="144"/>
      <c r="AV14" s="144"/>
      <c r="AW14" s="144"/>
      <c r="AX14" s="144"/>
      <c r="AY14" s="144"/>
      <c r="AZ14" s="144"/>
      <c r="BA14" s="144"/>
      <c r="BB14" s="144"/>
      <c r="BC14" s="144"/>
      <c r="BD14" s="144"/>
      <c r="BE14" s="144"/>
      <c r="BF14" s="144"/>
      <c r="BG14" s="50"/>
    </row>
    <row r="15" ht="0.75" customHeight="1">
      <c r="A15" s="125" t="s">
        <v>988</v>
      </c>
      <c r="B15" s="125"/>
      <c r="C15" s="125"/>
      <c r="D15" s="53"/>
      <c r="E15" s="91"/>
      <c r="F15" s="921">
        <v>2025</v>
      </c>
      <c r="G15" s="922"/>
      <c r="H15" s="923" t="s">
        <v>370</v>
      </c>
      <c r="I15" s="924"/>
      <c r="J15" s="161"/>
      <c r="K15" s="161"/>
      <c r="L15" s="925"/>
      <c r="M15" s="537"/>
      <c r="N15" s="926"/>
      <c r="O15" s="927"/>
      <c r="P15" s="926"/>
      <c r="Q15" s="926"/>
      <c r="R15" s="926"/>
      <c r="S15" s="926"/>
      <c r="T15" s="926"/>
      <c r="U15" s="926"/>
      <c r="V15" s="926"/>
      <c r="W15" s="926"/>
      <c r="X15" s="926"/>
      <c r="Y15" s="926"/>
      <c r="Z15" s="926"/>
      <c r="AA15" s="926"/>
      <c r="AB15" s="926"/>
      <c r="AC15" s="926"/>
      <c r="AD15" s="926"/>
      <c r="AE15" s="926"/>
      <c r="AF15" s="928"/>
      <c r="AG15" s="925"/>
      <c r="AH15" s="925"/>
      <c r="AI15" s="928"/>
      <c r="AJ15" s="925"/>
      <c r="AK15" s="925"/>
      <c r="AL15" s="920"/>
      <c r="AM15" s="144"/>
      <c r="AN15" s="144"/>
      <c r="AO15" s="144"/>
      <c r="AP15" s="144"/>
      <c r="AQ15" s="144"/>
      <c r="AR15" s="144"/>
      <c r="AS15" s="144"/>
      <c r="AT15" s="144"/>
      <c r="AU15" s="144"/>
      <c r="AV15" s="144"/>
      <c r="AW15" s="144"/>
      <c r="AX15" s="144"/>
      <c r="AY15" s="144"/>
      <c r="AZ15" s="144"/>
      <c r="BA15" s="144"/>
      <c r="BB15" s="144"/>
      <c r="BC15" s="144"/>
      <c r="BD15" s="144"/>
      <c r="BE15" s="144"/>
      <c r="BF15" s="144"/>
      <c r="BG15" s="50"/>
    </row>
    <row r="16" ht="0.75" customHeight="1">
      <c r="A16" s="125" t="s">
        <v>988</v>
      </c>
      <c r="B16" s="125"/>
      <c r="C16" s="125"/>
      <c r="D16" s="53"/>
      <c r="E16" s="91"/>
      <c r="F16" s="921"/>
      <c r="G16" s="922"/>
      <c r="H16" s="923"/>
      <c r="I16" s="924"/>
      <c r="J16" s="161"/>
      <c r="K16" s="161"/>
      <c r="L16" s="925"/>
      <c r="M16" s="537"/>
      <c r="N16" s="929"/>
      <c r="O16" s="930"/>
      <c r="P16" s="931"/>
      <c r="Q16" s="161"/>
      <c r="R16" s="161"/>
      <c r="S16" s="161"/>
      <c r="T16" s="161"/>
      <c r="U16" s="161"/>
      <c r="V16" s="161"/>
      <c r="W16" s="161"/>
      <c r="X16" s="161"/>
      <c r="Y16" s="161"/>
      <c r="Z16" s="932"/>
      <c r="AA16" s="933"/>
      <c r="AB16" s="933"/>
      <c r="AC16" s="934"/>
      <c r="AD16" s="934"/>
      <c r="AE16" s="935"/>
      <c r="AF16" s="928"/>
      <c r="AG16" s="925"/>
      <c r="AH16" s="925"/>
      <c r="AI16" s="928"/>
      <c r="AJ16" s="925"/>
      <c r="AK16" s="925"/>
      <c r="AL16" s="920"/>
      <c r="AM16" s="144"/>
      <c r="AN16" s="144"/>
      <c r="AO16" s="144"/>
      <c r="AP16" s="144"/>
      <c r="AQ16" s="144"/>
      <c r="AR16" s="144"/>
      <c r="AS16" s="144"/>
      <c r="AT16" s="144"/>
      <c r="AU16" s="144"/>
      <c r="AV16" s="144"/>
      <c r="AW16" s="144"/>
      <c r="AX16" s="144"/>
      <c r="AY16" s="144"/>
      <c r="AZ16" s="144"/>
      <c r="BA16" s="144"/>
      <c r="BB16" s="144"/>
      <c r="BC16" s="144"/>
      <c r="BD16" s="144"/>
      <c r="BE16" s="144"/>
      <c r="BF16" s="144"/>
      <c r="BG16" s="50"/>
    </row>
    <row r="17" ht="0.75" customHeight="1">
      <c r="A17" s="125" t="s">
        <v>988</v>
      </c>
      <c r="B17" s="125"/>
      <c r="C17" s="125"/>
      <c r="D17" s="53"/>
      <c r="E17" s="91"/>
      <c r="F17" s="921"/>
      <c r="G17" s="922"/>
      <c r="H17" s="923"/>
      <c r="I17" s="924"/>
      <c r="J17" s="161"/>
      <c r="K17" s="161"/>
      <c r="L17" s="925"/>
      <c r="M17" s="537"/>
      <c r="N17" s="929"/>
      <c r="O17" s="930"/>
      <c r="P17" s="936"/>
      <c r="Q17" s="161"/>
      <c r="R17" s="161"/>
      <c r="S17" s="161"/>
      <c r="T17" s="161"/>
      <c r="U17" s="161"/>
      <c r="V17" s="161"/>
      <c r="W17" s="161"/>
      <c r="X17" s="161"/>
      <c r="Y17" s="161"/>
      <c r="Z17" s="937"/>
      <c r="AA17" s="930"/>
      <c r="AB17" s="938"/>
      <c r="AC17" s="939"/>
      <c r="AD17" s="938"/>
      <c r="AE17" s="939"/>
      <c r="AF17" s="928"/>
      <c r="AG17" s="925"/>
      <c r="AH17" s="925"/>
      <c r="AI17" s="928"/>
      <c r="AJ17" s="925"/>
      <c r="AK17" s="925"/>
      <c r="AL17" s="920"/>
      <c r="AM17" s="144"/>
      <c r="AN17" s="144"/>
      <c r="AO17" s="144"/>
      <c r="AP17" s="144"/>
      <c r="AQ17" s="144"/>
      <c r="AR17" s="144"/>
      <c r="AS17" s="144"/>
      <c r="AT17" s="144"/>
      <c r="AU17" s="144"/>
      <c r="AV17" s="144"/>
      <c r="AW17" s="144"/>
      <c r="AX17" s="144"/>
      <c r="AY17" s="144"/>
      <c r="AZ17" s="144"/>
      <c r="BA17" s="144"/>
      <c r="BB17" s="144"/>
      <c r="BC17" s="144"/>
      <c r="BD17" s="144"/>
      <c r="BE17" s="144"/>
      <c r="BF17" s="144"/>
      <c r="BG17" s="50"/>
    </row>
    <row r="18" ht="0.75" customHeight="1">
      <c r="A18" s="125" t="s">
        <v>988</v>
      </c>
      <c r="B18" s="125"/>
      <c r="C18" s="125"/>
      <c r="D18" s="53"/>
      <c r="E18" s="91"/>
      <c r="F18" s="921"/>
      <c r="G18" s="922"/>
      <c r="H18" s="923"/>
      <c r="I18" s="924"/>
      <c r="J18" s="161"/>
      <c r="K18" s="161"/>
      <c r="L18" s="925"/>
      <c r="M18" s="537"/>
      <c r="N18" s="929"/>
      <c r="O18" s="930"/>
      <c r="P18" s="940"/>
      <c r="Q18" s="161"/>
      <c r="R18" s="161"/>
      <c r="S18" s="161"/>
      <c r="T18" s="161"/>
      <c r="U18" s="161"/>
      <c r="V18" s="161"/>
      <c r="W18" s="161"/>
      <c r="X18" s="161"/>
      <c r="Y18" s="161"/>
      <c r="Z18" s="932"/>
      <c r="AA18" s="933"/>
      <c r="AB18" s="941"/>
      <c r="AC18" s="934"/>
      <c r="AD18" s="934"/>
      <c r="AE18" s="942"/>
      <c r="AF18" s="928"/>
      <c r="AG18" s="925"/>
      <c r="AH18" s="925"/>
      <c r="AI18" s="928"/>
      <c r="AJ18" s="925"/>
      <c r="AK18" s="925"/>
      <c r="AL18" s="920"/>
      <c r="AM18" s="144"/>
      <c r="AN18" s="144"/>
      <c r="AO18" s="144"/>
      <c r="AP18" s="144"/>
      <c r="AQ18" s="144"/>
      <c r="AR18" s="144"/>
      <c r="AS18" s="144"/>
      <c r="AT18" s="144"/>
      <c r="AU18" s="144"/>
      <c r="AV18" s="144"/>
      <c r="AW18" s="144"/>
      <c r="AX18" s="144"/>
      <c r="AY18" s="144"/>
      <c r="AZ18" s="144"/>
      <c r="BA18" s="144"/>
      <c r="BB18" s="144"/>
      <c r="BC18" s="144"/>
      <c r="BD18" s="144"/>
      <c r="BE18" s="144"/>
      <c r="BF18" s="144"/>
      <c r="BG18" s="50"/>
    </row>
    <row r="19" ht="0.75" customHeight="1">
      <c r="A19" s="125" t="s">
        <v>988</v>
      </c>
      <c r="B19" s="125"/>
      <c r="C19" s="125"/>
      <c r="D19" s="53"/>
      <c r="E19" s="91"/>
      <c r="F19" s="921"/>
      <c r="G19" s="922"/>
      <c r="H19" s="923"/>
      <c r="I19" s="924"/>
      <c r="J19" s="161"/>
      <c r="K19" s="161"/>
      <c r="L19" s="925"/>
      <c r="M19" s="537"/>
      <c r="N19" s="933"/>
      <c r="O19" s="933"/>
      <c r="P19" s="941"/>
      <c r="Q19" s="933"/>
      <c r="R19" s="933"/>
      <c r="S19" s="933"/>
      <c r="T19" s="933"/>
      <c r="U19" s="933"/>
      <c r="V19" s="933"/>
      <c r="W19" s="933"/>
      <c r="X19" s="933"/>
      <c r="Y19" s="933"/>
      <c r="Z19" s="933"/>
      <c r="AA19" s="933"/>
      <c r="AB19" s="933"/>
      <c r="AC19" s="933"/>
      <c r="AD19" s="933"/>
      <c r="AE19" s="943"/>
      <c r="AF19" s="928"/>
      <c r="AG19" s="925"/>
      <c r="AH19" s="925"/>
      <c r="AI19" s="928"/>
      <c r="AJ19" s="925"/>
      <c r="AK19" s="925"/>
      <c r="AL19" s="920"/>
      <c r="AM19" s="144"/>
      <c r="AN19" s="144"/>
      <c r="AO19" s="144"/>
      <c r="AP19" s="144"/>
      <c r="AQ19" s="144"/>
      <c r="AR19" s="144"/>
      <c r="AS19" s="144"/>
      <c r="AT19" s="144"/>
      <c r="AU19" s="144"/>
      <c r="AV19" s="144"/>
      <c r="AW19" s="144"/>
      <c r="AX19" s="144"/>
      <c r="AY19" s="144"/>
      <c r="AZ19" s="144"/>
      <c r="BA19" s="144"/>
      <c r="BB19" s="144"/>
      <c r="BC19" s="144"/>
      <c r="BD19" s="144"/>
      <c r="BE19" s="144"/>
      <c r="BF19" s="144"/>
      <c r="BG19" s="50"/>
    </row>
    <row r="20" ht="11.25" customHeight="1">
      <c r="A20" s="125" t="s">
        <v>988</v>
      </c>
      <c r="B20" s="125" t="s">
        <v>22</v>
      </c>
      <c r="C20" s="125"/>
      <c r="D20" s="53"/>
      <c r="E20" s="91"/>
      <c r="F20" s="944"/>
      <c r="G20" s="150" t="s">
        <v>683</v>
      </c>
      <c r="H20" s="922" t="s">
        <v>105</v>
      </c>
      <c r="I20" s="945" t="s">
        <v>1020</v>
      </c>
      <c r="J20" s="946" t="s">
        <v>22</v>
      </c>
      <c r="K20" s="449" t="s">
        <v>1021</v>
      </c>
      <c r="L20" s="225" t="s">
        <v>19</v>
      </c>
      <c r="M20" s="219"/>
      <c r="N20" s="947"/>
      <c r="O20" s="948" t="s">
        <v>370</v>
      </c>
      <c r="P20" s="949"/>
      <c r="Q20" s="949"/>
      <c r="R20" s="949"/>
      <c r="S20" s="949"/>
      <c r="T20" s="949"/>
      <c r="U20" s="949"/>
      <c r="V20" s="949"/>
      <c r="W20" s="949"/>
      <c r="X20" s="949"/>
      <c r="Y20" s="949"/>
      <c r="Z20" s="949"/>
      <c r="AA20" s="949"/>
      <c r="AB20" s="949"/>
      <c r="AC20" s="949"/>
      <c r="AD20" s="949"/>
      <c r="AE20" s="949"/>
      <c r="AF20" s="950">
        <v>5</v>
      </c>
      <c r="AG20" s="951" t="s">
        <v>1022</v>
      </c>
      <c r="AH20" s="951" t="s">
        <v>1023</v>
      </c>
      <c r="AI20" s="950"/>
      <c r="AJ20" s="951"/>
      <c r="AK20" s="951"/>
      <c r="AL20" s="920"/>
      <c r="AM20" s="144"/>
      <c r="AN20" s="144"/>
      <c r="AO20" s="144"/>
      <c r="AP20" s="144"/>
      <c r="AQ20" s="144"/>
      <c r="AR20" s="144"/>
      <c r="AS20" s="144"/>
      <c r="AT20" s="144"/>
      <c r="AU20" s="144"/>
      <c r="AV20" s="144"/>
      <c r="AW20" s="144"/>
      <c r="AX20" s="144"/>
      <c r="AY20" s="144"/>
      <c r="AZ20" s="144"/>
      <c r="BA20" s="144"/>
      <c r="BB20" s="144"/>
      <c r="BC20" s="144"/>
      <c r="BD20" s="144"/>
      <c r="BE20" s="144"/>
      <c r="BF20" s="144"/>
      <c r="BG20" s="50"/>
    </row>
    <row r="21" ht="11.25" customHeight="1">
      <c r="A21" s="125" t="s">
        <v>988</v>
      </c>
      <c r="B21" s="125"/>
      <c r="C21" s="125"/>
      <c r="D21" s="53"/>
      <c r="E21" s="91"/>
      <c r="F21" s="944"/>
      <c r="G21" s="952"/>
      <c r="H21" s="922" t="s">
        <v>370</v>
      </c>
      <c r="I21" s="945"/>
      <c r="J21" s="946"/>
      <c r="K21" s="449"/>
      <c r="L21" s="225"/>
      <c r="M21" s="219"/>
      <c r="N21" s="953"/>
      <c r="O21" s="954">
        <v>1</v>
      </c>
      <c r="P21" s="955" t="s">
        <v>19</v>
      </c>
      <c r="Q21" s="946" t="s">
        <v>22</v>
      </c>
      <c r="R21" s="946" t="s">
        <v>22</v>
      </c>
      <c r="S21" s="946" t="s">
        <v>22</v>
      </c>
      <c r="T21" s="946" t="s">
        <v>22</v>
      </c>
      <c r="U21" s="946" t="s">
        <v>22</v>
      </c>
      <c r="V21" s="946" t="s">
        <v>22</v>
      </c>
      <c r="W21" s="946" t="s">
        <v>22</v>
      </c>
      <c r="X21" s="946" t="s">
        <v>22</v>
      </c>
      <c r="Y21" s="946" t="s">
        <v>22</v>
      </c>
      <c r="Z21" s="956"/>
      <c r="AA21" s="957"/>
      <c r="AB21" s="957"/>
      <c r="AC21" s="958"/>
      <c r="AD21" s="958"/>
      <c r="AE21" s="959"/>
      <c r="AF21" s="950"/>
      <c r="AG21" s="951"/>
      <c r="AH21" s="951"/>
      <c r="AI21" s="950"/>
      <c r="AJ21" s="951"/>
      <c r="AK21" s="951"/>
      <c r="AL21" s="920"/>
      <c r="AM21" s="144"/>
      <c r="AN21" s="144"/>
      <c r="AO21" s="144"/>
      <c r="AP21" s="144"/>
      <c r="AQ21" s="144"/>
      <c r="AR21" s="144"/>
      <c r="AS21" s="144"/>
      <c r="AT21" s="144"/>
      <c r="AU21" s="144"/>
      <c r="AV21" s="144"/>
      <c r="AW21" s="144"/>
      <c r="AX21" s="144"/>
      <c r="AY21" s="144"/>
      <c r="AZ21" s="144"/>
      <c r="BA21" s="144"/>
      <c r="BB21" s="144"/>
      <c r="BC21" s="144"/>
      <c r="BD21" s="144"/>
      <c r="BE21" s="144"/>
      <c r="BF21" s="144"/>
      <c r="BG21" s="50"/>
    </row>
    <row r="22" ht="11.25" customHeight="1">
      <c r="A22" s="125" t="s">
        <v>988</v>
      </c>
      <c r="B22" s="125"/>
      <c r="C22" s="125"/>
      <c r="D22" s="53"/>
      <c r="E22" s="91"/>
      <c r="F22" s="944"/>
      <c r="G22" s="952"/>
      <c r="H22" s="922" t="s">
        <v>370</v>
      </c>
      <c r="I22" s="945"/>
      <c r="J22" s="946"/>
      <c r="K22" s="449"/>
      <c r="L22" s="225"/>
      <c r="M22" s="219"/>
      <c r="N22" s="953"/>
      <c r="O22" s="954"/>
      <c r="P22" s="960"/>
      <c r="Q22" s="389"/>
      <c r="R22" s="459"/>
      <c r="S22" s="961"/>
      <c r="T22" s="459"/>
      <c r="U22" s="459"/>
      <c r="V22" s="459"/>
      <c r="W22" s="459"/>
      <c r="X22" s="459"/>
      <c r="Y22" s="459"/>
      <c r="Z22" s="962"/>
      <c r="AA22" s="963">
        <v>1</v>
      </c>
      <c r="AB22" s="964" t="s">
        <v>1024</v>
      </c>
      <c r="AC22" s="857">
        <f>0.20701*21085.66</f>
        <v>4364.9424766000002</v>
      </c>
      <c r="AD22" s="964" t="str">
        <f>AB22</f>
        <v xml:space="preserve">     Амортизационные отчисления в результате переоценки основных средств и нематериальных активов</v>
      </c>
      <c r="AE22" s="857"/>
      <c r="AF22" s="950"/>
      <c r="AG22" s="951"/>
      <c r="AH22" s="951"/>
      <c r="AI22" s="950"/>
      <c r="AJ22" s="951"/>
      <c r="AK22" s="951"/>
      <c r="AL22" s="920"/>
      <c r="AM22" s="144"/>
      <c r="AN22" s="144"/>
      <c r="AO22" s="144"/>
      <c r="AP22" s="144"/>
      <c r="AQ22" s="144"/>
      <c r="AR22" s="144"/>
      <c r="AS22" s="144"/>
      <c r="AT22" s="144"/>
      <c r="AU22" s="144"/>
      <c r="AV22" s="144"/>
      <c r="AW22" s="144"/>
      <c r="AX22" s="144"/>
      <c r="AY22" s="144"/>
      <c r="AZ22" s="144"/>
      <c r="BA22" s="144"/>
      <c r="BB22" s="144"/>
      <c r="BC22" s="144"/>
      <c r="BD22" s="144"/>
      <c r="BE22" s="144"/>
      <c r="BF22" s="144"/>
      <c r="BG22" s="50"/>
    </row>
    <row r="23" ht="11.25" customHeight="1">
      <c r="A23" s="125" t="s">
        <v>988</v>
      </c>
      <c r="B23" s="125"/>
      <c r="C23" s="125"/>
      <c r="D23" s="53"/>
      <c r="E23" s="91"/>
      <c r="F23" s="944"/>
      <c r="G23" s="952"/>
      <c r="H23" s="922" t="s">
        <v>370</v>
      </c>
      <c r="I23" s="945"/>
      <c r="J23" s="946"/>
      <c r="K23" s="449"/>
      <c r="L23" s="225"/>
      <c r="M23" s="219"/>
      <c r="N23" s="953"/>
      <c r="O23" s="954"/>
      <c r="P23" s="965"/>
      <c r="Q23" s="389"/>
      <c r="R23" s="459"/>
      <c r="S23" s="961"/>
      <c r="T23" s="459"/>
      <c r="U23" s="459"/>
      <c r="V23" s="459"/>
      <c r="W23" s="459"/>
      <c r="X23" s="459"/>
      <c r="Y23" s="459"/>
      <c r="Z23" s="956"/>
      <c r="AA23" s="957"/>
      <c r="AB23" s="173" t="s">
        <v>1025</v>
      </c>
      <c r="AC23" s="958"/>
      <c r="AD23" s="958"/>
      <c r="AE23" s="966"/>
      <c r="AF23" s="950"/>
      <c r="AG23" s="951"/>
      <c r="AH23" s="951"/>
      <c r="AI23" s="950"/>
      <c r="AJ23" s="951"/>
      <c r="AK23" s="951"/>
      <c r="AL23" s="920"/>
      <c r="AM23" s="144"/>
      <c r="AN23" s="144"/>
      <c r="AO23" s="144"/>
      <c r="AP23" s="144"/>
      <c r="AQ23" s="144"/>
      <c r="AR23" s="144"/>
      <c r="AS23" s="144"/>
      <c r="AT23" s="144"/>
      <c r="AU23" s="144"/>
      <c r="AV23" s="144"/>
      <c r="AW23" s="144"/>
      <c r="AX23" s="144"/>
      <c r="AY23" s="144"/>
      <c r="AZ23" s="144"/>
      <c r="BA23" s="144"/>
      <c r="BB23" s="144"/>
      <c r="BC23" s="144"/>
      <c r="BD23" s="144"/>
      <c r="BE23" s="144"/>
      <c r="BF23" s="144"/>
      <c r="BG23" s="50"/>
    </row>
    <row r="24" ht="11.25" customHeight="1">
      <c r="A24" s="125" t="s">
        <v>988</v>
      </c>
      <c r="B24" s="125"/>
      <c r="C24" s="125"/>
      <c r="D24" s="53"/>
      <c r="E24" s="91"/>
      <c r="F24" s="944"/>
      <c r="G24" s="952"/>
      <c r="H24" s="922" t="s">
        <v>370</v>
      </c>
      <c r="I24" s="945"/>
      <c r="J24" s="946"/>
      <c r="K24" s="449"/>
      <c r="L24" s="225"/>
      <c r="M24" s="219"/>
      <c r="N24" s="956"/>
      <c r="O24" s="957"/>
      <c r="P24" s="173" t="s">
        <v>1026</v>
      </c>
      <c r="Q24" s="957"/>
      <c r="R24" s="957"/>
      <c r="S24" s="957"/>
      <c r="T24" s="957"/>
      <c r="U24" s="957"/>
      <c r="V24" s="957"/>
      <c r="W24" s="957"/>
      <c r="X24" s="957"/>
      <c r="Y24" s="957"/>
      <c r="Z24" s="957"/>
      <c r="AA24" s="957"/>
      <c r="AB24" s="957"/>
      <c r="AC24" s="957"/>
      <c r="AD24" s="957"/>
      <c r="AE24" s="967"/>
      <c r="AF24" s="950"/>
      <c r="AG24" s="951"/>
      <c r="AH24" s="951"/>
      <c r="AI24" s="950"/>
      <c r="AJ24" s="951"/>
      <c r="AK24" s="951"/>
      <c r="AL24" s="920"/>
      <c r="AM24" s="144"/>
      <c r="AN24" s="144"/>
      <c r="AO24" s="144"/>
      <c r="AP24" s="144"/>
      <c r="AQ24" s="144"/>
      <c r="AR24" s="144"/>
      <c r="AS24" s="144"/>
      <c r="AT24" s="144"/>
      <c r="AU24" s="144"/>
      <c r="AV24" s="144"/>
      <c r="AW24" s="144"/>
      <c r="AX24" s="144"/>
      <c r="AY24" s="144"/>
      <c r="AZ24" s="144"/>
      <c r="BA24" s="144"/>
      <c r="BB24" s="144"/>
      <c r="BC24" s="144"/>
      <c r="BD24" s="144"/>
      <c r="BE24" s="144"/>
      <c r="BF24" s="144"/>
      <c r="BG24" s="50"/>
    </row>
    <row r="25" ht="11.25" customHeight="1">
      <c r="A25" s="125" t="s">
        <v>988</v>
      </c>
      <c r="B25" s="125" t="s">
        <v>22</v>
      </c>
      <c r="C25" s="125"/>
      <c r="D25" s="53"/>
      <c r="E25" s="91"/>
      <c r="F25" s="944"/>
      <c r="G25" s="150" t="s">
        <v>683</v>
      </c>
      <c r="H25" s="922" t="s">
        <v>106</v>
      </c>
      <c r="I25" s="945" t="s">
        <v>1020</v>
      </c>
      <c r="J25" s="946" t="s">
        <v>22</v>
      </c>
      <c r="K25" s="449" t="s">
        <v>1027</v>
      </c>
      <c r="L25" s="225" t="s">
        <v>19</v>
      </c>
      <c r="M25" s="219"/>
      <c r="N25" s="947"/>
      <c r="O25" s="948" t="s">
        <v>370</v>
      </c>
      <c r="P25" s="949"/>
      <c r="Q25" s="949"/>
      <c r="R25" s="949"/>
      <c r="S25" s="949"/>
      <c r="T25" s="949"/>
      <c r="U25" s="949"/>
      <c r="V25" s="949"/>
      <c r="W25" s="949"/>
      <c r="X25" s="949"/>
      <c r="Y25" s="949"/>
      <c r="Z25" s="949"/>
      <c r="AA25" s="949"/>
      <c r="AB25" s="949"/>
      <c r="AC25" s="949"/>
      <c r="AD25" s="949"/>
      <c r="AE25" s="949"/>
      <c r="AF25" s="950">
        <v>3</v>
      </c>
      <c r="AG25" s="951" t="s">
        <v>1022</v>
      </c>
      <c r="AH25" s="951" t="s">
        <v>1028</v>
      </c>
      <c r="AI25" s="950"/>
      <c r="AJ25" s="951"/>
      <c r="AK25" s="951"/>
      <c r="AL25" s="920"/>
      <c r="AM25" s="144"/>
      <c r="AN25" s="144"/>
      <c r="AO25" s="144"/>
      <c r="AP25" s="144"/>
      <c r="AQ25" s="144"/>
      <c r="AR25" s="144"/>
      <c r="AS25" s="144"/>
      <c r="AT25" s="144"/>
      <c r="AU25" s="144"/>
      <c r="AV25" s="144"/>
      <c r="AW25" s="144"/>
      <c r="AX25" s="144"/>
      <c r="AY25" s="144"/>
      <c r="AZ25" s="144"/>
      <c r="BA25" s="144"/>
      <c r="BB25" s="144"/>
      <c r="BC25" s="144"/>
      <c r="BD25" s="144"/>
      <c r="BE25" s="144"/>
      <c r="BF25" s="144"/>
      <c r="BG25" s="50"/>
    </row>
    <row r="26" ht="11.25" customHeight="1">
      <c r="A26" s="125" t="s">
        <v>988</v>
      </c>
      <c r="B26" s="125"/>
      <c r="C26" s="125"/>
      <c r="D26" s="53"/>
      <c r="E26" s="91"/>
      <c r="F26" s="944"/>
      <c r="G26" s="952"/>
      <c r="H26" s="922" t="s">
        <v>105</v>
      </c>
      <c r="I26" s="945"/>
      <c r="J26" s="946"/>
      <c r="K26" s="449"/>
      <c r="L26" s="225"/>
      <c r="M26" s="219"/>
      <c r="N26" s="953"/>
      <c r="O26" s="954">
        <v>1</v>
      </c>
      <c r="P26" s="955" t="s">
        <v>19</v>
      </c>
      <c r="Q26" s="946" t="s">
        <v>22</v>
      </c>
      <c r="R26" s="946" t="s">
        <v>22</v>
      </c>
      <c r="S26" s="946" t="s">
        <v>22</v>
      </c>
      <c r="T26" s="946" t="s">
        <v>22</v>
      </c>
      <c r="U26" s="946" t="s">
        <v>22</v>
      </c>
      <c r="V26" s="946" t="s">
        <v>22</v>
      </c>
      <c r="W26" s="946" t="s">
        <v>22</v>
      </c>
      <c r="X26" s="946" t="s">
        <v>22</v>
      </c>
      <c r="Y26" s="946" t="s">
        <v>22</v>
      </c>
      <c r="Z26" s="956"/>
      <c r="AA26" s="957"/>
      <c r="AB26" s="957"/>
      <c r="AC26" s="958"/>
      <c r="AD26" s="958"/>
      <c r="AE26" s="959"/>
      <c r="AF26" s="950"/>
      <c r="AG26" s="951"/>
      <c r="AH26" s="951"/>
      <c r="AI26" s="950"/>
      <c r="AJ26" s="951"/>
      <c r="AK26" s="951"/>
      <c r="AL26" s="920"/>
      <c r="AM26" s="144"/>
      <c r="AN26" s="144"/>
      <c r="AO26" s="144"/>
      <c r="AP26" s="144"/>
      <c r="AQ26" s="144"/>
      <c r="AR26" s="144"/>
      <c r="AS26" s="144"/>
      <c r="AT26" s="144"/>
      <c r="AU26" s="144"/>
      <c r="AV26" s="144"/>
      <c r="AW26" s="144"/>
      <c r="AX26" s="144"/>
      <c r="AY26" s="144"/>
      <c r="AZ26" s="144"/>
      <c r="BA26" s="144"/>
      <c r="BB26" s="144"/>
      <c r="BC26" s="144"/>
      <c r="BD26" s="144"/>
      <c r="BE26" s="144"/>
      <c r="BF26" s="144"/>
      <c r="BG26" s="50"/>
    </row>
    <row r="27" ht="11.25" customHeight="1">
      <c r="A27" s="125" t="s">
        <v>988</v>
      </c>
      <c r="B27" s="125"/>
      <c r="C27" s="125"/>
      <c r="D27" s="53"/>
      <c r="E27" s="91"/>
      <c r="F27" s="944"/>
      <c r="G27" s="952"/>
      <c r="H27" s="922" t="s">
        <v>105</v>
      </c>
      <c r="I27" s="945"/>
      <c r="J27" s="946"/>
      <c r="K27" s="449"/>
      <c r="L27" s="225"/>
      <c r="M27" s="219"/>
      <c r="N27" s="953"/>
      <c r="O27" s="954"/>
      <c r="P27" s="960"/>
      <c r="Q27" s="389"/>
      <c r="R27" s="459"/>
      <c r="S27" s="961"/>
      <c r="T27" s="459"/>
      <c r="U27" s="459"/>
      <c r="V27" s="459"/>
      <c r="W27" s="459"/>
      <c r="X27" s="459"/>
      <c r="Y27" s="459"/>
      <c r="Z27" s="962"/>
      <c r="AA27" s="963">
        <v>1</v>
      </c>
      <c r="AB27" s="964" t="s">
        <v>1024</v>
      </c>
      <c r="AC27" s="857">
        <f>0.20701*519.34</f>
        <v>107.5085734</v>
      </c>
      <c r="AD27" s="964" t="str">
        <f t="shared" ref="AD27:AD90" si="48">AB27</f>
        <v xml:space="preserve">     Амортизационные отчисления в результате переоценки основных средств и нематериальных активов</v>
      </c>
      <c r="AE27" s="857"/>
      <c r="AF27" s="950"/>
      <c r="AG27" s="951"/>
      <c r="AH27" s="951"/>
      <c r="AI27" s="950"/>
      <c r="AJ27" s="951"/>
      <c r="AK27" s="951"/>
      <c r="AL27" s="920"/>
      <c r="AM27" s="144"/>
      <c r="AN27" s="144"/>
      <c r="AO27" s="144"/>
      <c r="AP27" s="144"/>
      <c r="AQ27" s="144"/>
      <c r="AR27" s="144"/>
      <c r="AS27" s="144"/>
      <c r="AT27" s="144"/>
      <c r="AU27" s="144"/>
      <c r="AV27" s="144"/>
      <c r="AW27" s="144"/>
      <c r="AX27" s="144"/>
      <c r="AY27" s="144"/>
      <c r="AZ27" s="144"/>
      <c r="BA27" s="144"/>
      <c r="BB27" s="144"/>
      <c r="BC27" s="144"/>
      <c r="BD27" s="144"/>
      <c r="BE27" s="144"/>
      <c r="BF27" s="144"/>
      <c r="BG27" s="50"/>
    </row>
    <row r="28" ht="11.25" customHeight="1">
      <c r="A28" s="125" t="s">
        <v>988</v>
      </c>
      <c r="B28" s="125"/>
      <c r="C28" s="125"/>
      <c r="D28" s="53"/>
      <c r="E28" s="91"/>
      <c r="F28" s="952"/>
      <c r="G28" s="952"/>
      <c r="H28" s="952"/>
      <c r="I28" s="952"/>
      <c r="J28" s="952"/>
      <c r="K28" s="952"/>
      <c r="L28" s="952"/>
      <c r="M28" s="952"/>
      <c r="N28" s="952"/>
      <c r="O28" s="952"/>
      <c r="P28" s="952"/>
      <c r="Q28" s="952"/>
      <c r="R28" s="952"/>
      <c r="S28" s="952"/>
      <c r="T28" s="952"/>
      <c r="U28" s="952"/>
      <c r="V28" s="952"/>
      <c r="W28" s="952"/>
      <c r="X28" s="952"/>
      <c r="Y28" s="952"/>
      <c r="Z28" s="150" t="s">
        <v>683</v>
      </c>
      <c r="AA28" s="954" t="s">
        <v>106</v>
      </c>
      <c r="AB28" s="964" t="s">
        <v>1029</v>
      </c>
      <c r="AC28" s="857">
        <f>0.20701*9886.86</f>
        <v>2046.6788886000002</v>
      </c>
      <c r="AD28" s="964" t="str">
        <f t="shared" si="48"/>
        <v xml:space="preserve">  Прочие собственные средства</v>
      </c>
      <c r="AE28" s="857"/>
      <c r="AF28" s="968"/>
      <c r="AG28" s="969"/>
      <c r="AH28" s="969"/>
      <c r="AI28" s="968"/>
      <c r="AJ28" s="969"/>
      <c r="AK28" s="970"/>
      <c r="AL28" s="920"/>
      <c r="AM28" s="144"/>
      <c r="AN28" s="144"/>
      <c r="AO28" s="144"/>
      <c r="AP28" s="144"/>
      <c r="AQ28" s="144"/>
      <c r="AR28" s="144"/>
      <c r="AS28" s="144"/>
      <c r="AT28" s="144"/>
      <c r="AU28" s="144"/>
      <c r="AV28" s="144"/>
      <c r="AW28" s="144"/>
      <c r="AX28" s="144"/>
      <c r="AY28" s="144"/>
      <c r="AZ28" s="144"/>
      <c r="BA28" s="144"/>
      <c r="BB28" s="144"/>
      <c r="BC28" s="144"/>
      <c r="BD28" s="144"/>
      <c r="BE28" s="144"/>
      <c r="BF28" s="144"/>
      <c r="BG28" s="50"/>
    </row>
    <row r="29" ht="11.25" customHeight="1">
      <c r="A29" s="125" t="s">
        <v>988</v>
      </c>
      <c r="B29" s="125"/>
      <c r="C29" s="125"/>
      <c r="D29" s="53"/>
      <c r="E29" s="91"/>
      <c r="F29" s="944"/>
      <c r="G29" s="952"/>
      <c r="H29" s="922" t="s">
        <v>105</v>
      </c>
      <c r="I29" s="945"/>
      <c r="J29" s="946"/>
      <c r="K29" s="449"/>
      <c r="L29" s="225"/>
      <c r="M29" s="219"/>
      <c r="N29" s="953"/>
      <c r="O29" s="954"/>
      <c r="P29" s="965"/>
      <c r="Q29" s="389"/>
      <c r="R29" s="459"/>
      <c r="S29" s="961"/>
      <c r="T29" s="459"/>
      <c r="U29" s="459"/>
      <c r="V29" s="459"/>
      <c r="W29" s="459"/>
      <c r="X29" s="459"/>
      <c r="Y29" s="459"/>
      <c r="Z29" s="956"/>
      <c r="AA29" s="957"/>
      <c r="AB29" s="173" t="s">
        <v>1025</v>
      </c>
      <c r="AC29" s="958"/>
      <c r="AD29" s="958"/>
      <c r="AE29" s="966"/>
      <c r="AF29" s="950"/>
      <c r="AG29" s="951"/>
      <c r="AH29" s="951"/>
      <c r="AI29" s="950"/>
      <c r="AJ29" s="951"/>
      <c r="AK29" s="951"/>
      <c r="AL29" s="920"/>
      <c r="AM29" s="144"/>
      <c r="AN29" s="144"/>
      <c r="AO29" s="144"/>
      <c r="AP29" s="144"/>
      <c r="AQ29" s="144"/>
      <c r="AR29" s="144"/>
      <c r="AS29" s="144"/>
      <c r="AT29" s="144"/>
      <c r="AU29" s="144"/>
      <c r="AV29" s="144"/>
      <c r="AW29" s="144"/>
      <c r="AX29" s="144"/>
      <c r="AY29" s="144"/>
      <c r="AZ29" s="144"/>
      <c r="BA29" s="144"/>
      <c r="BB29" s="144"/>
      <c r="BC29" s="144"/>
      <c r="BD29" s="144"/>
      <c r="BE29" s="144"/>
      <c r="BF29" s="144"/>
      <c r="BG29" s="50"/>
    </row>
    <row r="30" ht="11.25" customHeight="1">
      <c r="A30" s="125" t="s">
        <v>988</v>
      </c>
      <c r="B30" s="125"/>
      <c r="C30" s="125"/>
      <c r="D30" s="53"/>
      <c r="E30" s="91"/>
      <c r="F30" s="944"/>
      <c r="G30" s="952"/>
      <c r="H30" s="922" t="s">
        <v>105</v>
      </c>
      <c r="I30" s="945"/>
      <c r="J30" s="946"/>
      <c r="K30" s="449"/>
      <c r="L30" s="225"/>
      <c r="M30" s="219"/>
      <c r="N30" s="956"/>
      <c r="O30" s="957"/>
      <c r="P30" s="173" t="s">
        <v>1026</v>
      </c>
      <c r="Q30" s="957"/>
      <c r="R30" s="957"/>
      <c r="S30" s="957"/>
      <c r="T30" s="957"/>
      <c r="U30" s="957"/>
      <c r="V30" s="957"/>
      <c r="W30" s="957"/>
      <c r="X30" s="957"/>
      <c r="Y30" s="957"/>
      <c r="Z30" s="957"/>
      <c r="AA30" s="957"/>
      <c r="AB30" s="957"/>
      <c r="AC30" s="957"/>
      <c r="AD30" s="957"/>
      <c r="AE30" s="967"/>
      <c r="AF30" s="950"/>
      <c r="AG30" s="951"/>
      <c r="AH30" s="951"/>
      <c r="AI30" s="950"/>
      <c r="AJ30" s="951"/>
      <c r="AK30" s="951"/>
      <c r="AL30" s="920"/>
      <c r="AM30" s="144"/>
      <c r="AN30" s="144"/>
      <c r="AO30" s="144"/>
      <c r="AP30" s="144"/>
      <c r="AQ30" s="144"/>
      <c r="AR30" s="144"/>
      <c r="AS30" s="144"/>
      <c r="AT30" s="144"/>
      <c r="AU30" s="144"/>
      <c r="AV30" s="144"/>
      <c r="AW30" s="144"/>
      <c r="AX30" s="144"/>
      <c r="AY30" s="144"/>
      <c r="AZ30" s="144"/>
      <c r="BA30" s="144"/>
      <c r="BB30" s="144"/>
      <c r="BC30" s="144"/>
      <c r="BD30" s="144"/>
      <c r="BE30" s="144"/>
      <c r="BF30" s="144"/>
      <c r="BG30" s="50"/>
    </row>
    <row r="31" ht="11.25" customHeight="1">
      <c r="A31" s="125" t="s">
        <v>988</v>
      </c>
      <c r="B31" s="125" t="s">
        <v>22</v>
      </c>
      <c r="C31" s="125"/>
      <c r="D31" s="53"/>
      <c r="E31" s="91"/>
      <c r="F31" s="944"/>
      <c r="G31" s="150" t="s">
        <v>683</v>
      </c>
      <c r="H31" s="922" t="s">
        <v>89</v>
      </c>
      <c r="I31" s="945" t="s">
        <v>1020</v>
      </c>
      <c r="J31" s="946" t="s">
        <v>22</v>
      </c>
      <c r="K31" s="449" t="s">
        <v>1030</v>
      </c>
      <c r="L31" s="225" t="s">
        <v>19</v>
      </c>
      <c r="M31" s="219"/>
      <c r="N31" s="947"/>
      <c r="O31" s="948" t="s">
        <v>370</v>
      </c>
      <c r="P31" s="949"/>
      <c r="Q31" s="949"/>
      <c r="R31" s="949"/>
      <c r="S31" s="949"/>
      <c r="T31" s="949"/>
      <c r="U31" s="949"/>
      <c r="V31" s="949"/>
      <c r="W31" s="949"/>
      <c r="X31" s="949"/>
      <c r="Y31" s="949"/>
      <c r="Z31" s="949"/>
      <c r="AA31" s="949"/>
      <c r="AB31" s="949"/>
      <c r="AC31" s="949"/>
      <c r="AD31" s="949"/>
      <c r="AE31" s="949"/>
      <c r="AF31" s="950">
        <v>4</v>
      </c>
      <c r="AG31" s="951" t="s">
        <v>1022</v>
      </c>
      <c r="AH31" s="951" t="s">
        <v>1031</v>
      </c>
      <c r="AI31" s="950"/>
      <c r="AJ31" s="951"/>
      <c r="AK31" s="951"/>
      <c r="AL31" s="920"/>
      <c r="AM31" s="144"/>
      <c r="AN31" s="144"/>
      <c r="AO31" s="144"/>
      <c r="AP31" s="144"/>
      <c r="AQ31" s="144"/>
      <c r="AR31" s="144"/>
      <c r="AS31" s="144"/>
      <c r="AT31" s="144"/>
      <c r="AU31" s="144"/>
      <c r="AV31" s="144"/>
      <c r="AW31" s="144"/>
      <c r="AX31" s="144"/>
      <c r="AY31" s="144"/>
      <c r="AZ31" s="144"/>
      <c r="BA31" s="144"/>
      <c r="BB31" s="144"/>
      <c r="BC31" s="144"/>
      <c r="BD31" s="144"/>
      <c r="BE31" s="144"/>
      <c r="BF31" s="144"/>
      <c r="BG31" s="50"/>
    </row>
    <row r="32" ht="11.25" customHeight="1">
      <c r="A32" s="125" t="s">
        <v>988</v>
      </c>
      <c r="B32" s="125"/>
      <c r="C32" s="125"/>
      <c r="D32" s="53"/>
      <c r="E32" s="91"/>
      <c r="F32" s="944"/>
      <c r="G32" s="952"/>
      <c r="H32" s="922" t="s">
        <v>106</v>
      </c>
      <c r="I32" s="945"/>
      <c r="J32" s="946"/>
      <c r="K32" s="449"/>
      <c r="L32" s="225"/>
      <c r="M32" s="219"/>
      <c r="N32" s="953"/>
      <c r="O32" s="954">
        <v>1</v>
      </c>
      <c r="P32" s="955" t="s">
        <v>19</v>
      </c>
      <c r="Q32" s="946" t="s">
        <v>22</v>
      </c>
      <c r="R32" s="946" t="s">
        <v>22</v>
      </c>
      <c r="S32" s="946" t="s">
        <v>22</v>
      </c>
      <c r="T32" s="946" t="s">
        <v>22</v>
      </c>
      <c r="U32" s="946" t="s">
        <v>22</v>
      </c>
      <c r="V32" s="946" t="s">
        <v>22</v>
      </c>
      <c r="W32" s="946" t="s">
        <v>22</v>
      </c>
      <c r="X32" s="946" t="s">
        <v>22</v>
      </c>
      <c r="Y32" s="946" t="s">
        <v>22</v>
      </c>
      <c r="Z32" s="956"/>
      <c r="AA32" s="957"/>
      <c r="AB32" s="957"/>
      <c r="AC32" s="958"/>
      <c r="AD32" s="958"/>
      <c r="AE32" s="959"/>
      <c r="AF32" s="950"/>
      <c r="AG32" s="951"/>
      <c r="AH32" s="951"/>
      <c r="AI32" s="950"/>
      <c r="AJ32" s="951"/>
      <c r="AK32" s="951"/>
      <c r="AL32" s="920"/>
      <c r="AM32" s="144"/>
      <c r="AN32" s="144"/>
      <c r="AO32" s="144"/>
      <c r="AP32" s="144"/>
      <c r="AQ32" s="144"/>
      <c r="AR32" s="144"/>
      <c r="AS32" s="144"/>
      <c r="AT32" s="144"/>
      <c r="AU32" s="144"/>
      <c r="AV32" s="144"/>
      <c r="AW32" s="144"/>
      <c r="AX32" s="144"/>
      <c r="AY32" s="144"/>
      <c r="AZ32" s="144"/>
      <c r="BA32" s="144"/>
      <c r="BB32" s="144"/>
      <c r="BC32" s="144"/>
      <c r="BD32" s="144"/>
      <c r="BE32" s="144"/>
      <c r="BF32" s="144"/>
      <c r="BG32" s="50"/>
    </row>
    <row r="33" ht="11.25" customHeight="1">
      <c r="A33" s="125" t="s">
        <v>988</v>
      </c>
      <c r="B33" s="125"/>
      <c r="C33" s="125"/>
      <c r="D33" s="53"/>
      <c r="E33" s="91"/>
      <c r="F33" s="944"/>
      <c r="G33" s="952"/>
      <c r="H33" s="922" t="s">
        <v>106</v>
      </c>
      <c r="I33" s="945"/>
      <c r="J33" s="946"/>
      <c r="K33" s="449"/>
      <c r="L33" s="225"/>
      <c r="M33" s="219"/>
      <c r="N33" s="953"/>
      <c r="O33" s="954"/>
      <c r="P33" s="960"/>
      <c r="Q33" s="389"/>
      <c r="R33" s="459"/>
      <c r="S33" s="961"/>
      <c r="T33" s="459"/>
      <c r="U33" s="459"/>
      <c r="V33" s="459"/>
      <c r="W33" s="459"/>
      <c r="X33" s="459"/>
      <c r="Y33" s="459"/>
      <c r="Z33" s="962"/>
      <c r="AA33" s="963">
        <v>1</v>
      </c>
      <c r="AB33" s="964" t="s">
        <v>1024</v>
      </c>
      <c r="AC33" s="857">
        <f>0.20701*6071.75</f>
        <v>1256.9129674999999</v>
      </c>
      <c r="AD33" s="964" t="str">
        <f t="shared" si="48"/>
        <v xml:space="preserve">     Амортизационные отчисления в результате переоценки основных средств и нематериальных активов</v>
      </c>
      <c r="AE33" s="857"/>
      <c r="AF33" s="950"/>
      <c r="AG33" s="951"/>
      <c r="AH33" s="951"/>
      <c r="AI33" s="950"/>
      <c r="AJ33" s="951"/>
      <c r="AK33" s="951"/>
      <c r="AL33" s="920"/>
      <c r="AM33" s="144"/>
      <c r="AN33" s="144"/>
      <c r="AO33" s="144"/>
      <c r="AP33" s="144"/>
      <c r="AQ33" s="144"/>
      <c r="AR33" s="144"/>
      <c r="AS33" s="144"/>
      <c r="AT33" s="144"/>
      <c r="AU33" s="144"/>
      <c r="AV33" s="144"/>
      <c r="AW33" s="144"/>
      <c r="AX33" s="144"/>
      <c r="AY33" s="144"/>
      <c r="AZ33" s="144"/>
      <c r="BA33" s="144"/>
      <c r="BB33" s="144"/>
      <c r="BC33" s="144"/>
      <c r="BD33" s="144"/>
      <c r="BE33" s="144"/>
      <c r="BF33" s="144"/>
      <c r="BG33" s="50"/>
    </row>
    <row r="34" ht="11.25" customHeight="1">
      <c r="A34" s="125" t="s">
        <v>988</v>
      </c>
      <c r="B34" s="125"/>
      <c r="C34" s="125"/>
      <c r="D34" s="53"/>
      <c r="E34" s="91"/>
      <c r="F34" s="944"/>
      <c r="G34" s="952"/>
      <c r="H34" s="922" t="s">
        <v>106</v>
      </c>
      <c r="I34" s="945"/>
      <c r="J34" s="946"/>
      <c r="K34" s="449"/>
      <c r="L34" s="225"/>
      <c r="M34" s="219"/>
      <c r="N34" s="953"/>
      <c r="O34" s="954"/>
      <c r="P34" s="965"/>
      <c r="Q34" s="389"/>
      <c r="R34" s="459"/>
      <c r="S34" s="961"/>
      <c r="T34" s="459"/>
      <c r="U34" s="459"/>
      <c r="V34" s="459"/>
      <c r="W34" s="459"/>
      <c r="X34" s="459"/>
      <c r="Y34" s="459"/>
      <c r="Z34" s="956"/>
      <c r="AA34" s="957"/>
      <c r="AB34" s="173" t="s">
        <v>1025</v>
      </c>
      <c r="AC34" s="958"/>
      <c r="AD34" s="958"/>
      <c r="AE34" s="966"/>
      <c r="AF34" s="950"/>
      <c r="AG34" s="951"/>
      <c r="AH34" s="951"/>
      <c r="AI34" s="950"/>
      <c r="AJ34" s="951"/>
      <c r="AK34" s="951"/>
      <c r="AL34" s="920"/>
      <c r="AM34" s="144"/>
      <c r="AN34" s="144"/>
      <c r="AO34" s="144"/>
      <c r="AP34" s="144"/>
      <c r="AQ34" s="144"/>
      <c r="AR34" s="144"/>
      <c r="AS34" s="144"/>
      <c r="AT34" s="144"/>
      <c r="AU34" s="144"/>
      <c r="AV34" s="144"/>
      <c r="AW34" s="144"/>
      <c r="AX34" s="144"/>
      <c r="AY34" s="144"/>
      <c r="AZ34" s="144"/>
      <c r="BA34" s="144"/>
      <c r="BB34" s="144"/>
      <c r="BC34" s="144"/>
      <c r="BD34" s="144"/>
      <c r="BE34" s="144"/>
      <c r="BF34" s="144"/>
      <c r="BG34" s="50"/>
    </row>
    <row r="35" ht="11.25" customHeight="1">
      <c r="A35" s="125" t="s">
        <v>988</v>
      </c>
      <c r="B35" s="125"/>
      <c r="C35" s="125"/>
      <c r="D35" s="53"/>
      <c r="E35" s="91"/>
      <c r="F35" s="944"/>
      <c r="G35" s="952"/>
      <c r="H35" s="922" t="s">
        <v>106</v>
      </c>
      <c r="I35" s="945"/>
      <c r="J35" s="946"/>
      <c r="K35" s="449"/>
      <c r="L35" s="225"/>
      <c r="M35" s="219"/>
      <c r="N35" s="956"/>
      <c r="O35" s="957"/>
      <c r="P35" s="173" t="s">
        <v>1026</v>
      </c>
      <c r="Q35" s="957"/>
      <c r="R35" s="957"/>
      <c r="S35" s="957"/>
      <c r="T35" s="957"/>
      <c r="U35" s="957"/>
      <c r="V35" s="957"/>
      <c r="W35" s="957"/>
      <c r="X35" s="957"/>
      <c r="Y35" s="957"/>
      <c r="Z35" s="957"/>
      <c r="AA35" s="957"/>
      <c r="AB35" s="957"/>
      <c r="AC35" s="957"/>
      <c r="AD35" s="957"/>
      <c r="AE35" s="967"/>
      <c r="AF35" s="950"/>
      <c r="AG35" s="951"/>
      <c r="AH35" s="951"/>
      <c r="AI35" s="950"/>
      <c r="AJ35" s="951"/>
      <c r="AK35" s="951"/>
      <c r="AL35" s="920"/>
      <c r="AM35" s="144"/>
      <c r="AN35" s="144"/>
      <c r="AO35" s="144"/>
      <c r="AP35" s="144"/>
      <c r="AQ35" s="144"/>
      <c r="AR35" s="144"/>
      <c r="AS35" s="144"/>
      <c r="AT35" s="144"/>
      <c r="AU35" s="144"/>
      <c r="AV35" s="144"/>
      <c r="AW35" s="144"/>
      <c r="AX35" s="144"/>
      <c r="AY35" s="144"/>
      <c r="AZ35" s="144"/>
      <c r="BA35" s="144"/>
      <c r="BB35" s="144"/>
      <c r="BC35" s="144"/>
      <c r="BD35" s="144"/>
      <c r="BE35" s="144"/>
      <c r="BF35" s="144"/>
      <c r="BG35" s="50"/>
    </row>
    <row r="36" ht="11.25" customHeight="1">
      <c r="A36" s="125" t="s">
        <v>988</v>
      </c>
      <c r="B36" s="125" t="s">
        <v>22</v>
      </c>
      <c r="C36" s="125"/>
      <c r="D36" s="53"/>
      <c r="E36" s="91"/>
      <c r="F36" s="944"/>
      <c r="G36" s="150" t="s">
        <v>683</v>
      </c>
      <c r="H36" s="922" t="s">
        <v>90</v>
      </c>
      <c r="I36" s="945" t="s">
        <v>1020</v>
      </c>
      <c r="J36" s="946" t="s">
        <v>22</v>
      </c>
      <c r="K36" s="449" t="s">
        <v>1032</v>
      </c>
      <c r="L36" s="225" t="s">
        <v>19</v>
      </c>
      <c r="M36" s="219"/>
      <c r="N36" s="947"/>
      <c r="O36" s="948" t="s">
        <v>370</v>
      </c>
      <c r="P36" s="949"/>
      <c r="Q36" s="949"/>
      <c r="R36" s="949"/>
      <c r="S36" s="949"/>
      <c r="T36" s="949"/>
      <c r="U36" s="949"/>
      <c r="V36" s="949"/>
      <c r="W36" s="949"/>
      <c r="X36" s="949"/>
      <c r="Y36" s="949"/>
      <c r="Z36" s="949"/>
      <c r="AA36" s="949"/>
      <c r="AB36" s="949"/>
      <c r="AC36" s="949"/>
      <c r="AD36" s="949"/>
      <c r="AE36" s="949"/>
      <c r="AF36" s="950">
        <v>5</v>
      </c>
      <c r="AG36" s="951" t="s">
        <v>1022</v>
      </c>
      <c r="AH36" s="951" t="s">
        <v>1023</v>
      </c>
      <c r="AI36" s="950"/>
      <c r="AJ36" s="951"/>
      <c r="AK36" s="951"/>
      <c r="AL36" s="920"/>
      <c r="AM36" s="144"/>
      <c r="AN36" s="144"/>
      <c r="AO36" s="144"/>
      <c r="AP36" s="144"/>
      <c r="AQ36" s="144"/>
      <c r="AR36" s="144"/>
      <c r="AS36" s="144"/>
      <c r="AT36" s="144"/>
      <c r="AU36" s="144"/>
      <c r="AV36" s="144"/>
      <c r="AW36" s="144"/>
      <c r="AX36" s="144"/>
      <c r="AY36" s="144"/>
      <c r="AZ36" s="144"/>
      <c r="BA36" s="144"/>
      <c r="BB36" s="144"/>
      <c r="BC36" s="144"/>
      <c r="BD36" s="144"/>
      <c r="BE36" s="144"/>
      <c r="BF36" s="144"/>
      <c r="BG36" s="50"/>
    </row>
    <row r="37" ht="11.25" customHeight="1">
      <c r="A37" s="125" t="s">
        <v>988</v>
      </c>
      <c r="B37" s="125"/>
      <c r="C37" s="125"/>
      <c r="D37" s="53"/>
      <c r="E37" s="91"/>
      <c r="F37" s="944"/>
      <c r="G37" s="952"/>
      <c r="H37" s="922" t="s">
        <v>89</v>
      </c>
      <c r="I37" s="945"/>
      <c r="J37" s="946"/>
      <c r="K37" s="449"/>
      <c r="L37" s="225"/>
      <c r="M37" s="219"/>
      <c r="N37" s="953"/>
      <c r="O37" s="954">
        <v>1</v>
      </c>
      <c r="P37" s="955" t="s">
        <v>19</v>
      </c>
      <c r="Q37" s="946" t="s">
        <v>22</v>
      </c>
      <c r="R37" s="946" t="s">
        <v>22</v>
      </c>
      <c r="S37" s="946" t="s">
        <v>22</v>
      </c>
      <c r="T37" s="946" t="s">
        <v>22</v>
      </c>
      <c r="U37" s="946" t="s">
        <v>22</v>
      </c>
      <c r="V37" s="946" t="s">
        <v>22</v>
      </c>
      <c r="W37" s="946" t="s">
        <v>22</v>
      </c>
      <c r="X37" s="946" t="s">
        <v>22</v>
      </c>
      <c r="Y37" s="946" t="s">
        <v>22</v>
      </c>
      <c r="Z37" s="956"/>
      <c r="AA37" s="957"/>
      <c r="AB37" s="957"/>
      <c r="AC37" s="958"/>
      <c r="AD37" s="958"/>
      <c r="AE37" s="959"/>
      <c r="AF37" s="950"/>
      <c r="AG37" s="951"/>
      <c r="AH37" s="951"/>
      <c r="AI37" s="950"/>
      <c r="AJ37" s="951"/>
      <c r="AK37" s="951"/>
      <c r="AL37" s="920"/>
      <c r="AM37" s="144"/>
      <c r="AN37" s="144"/>
      <c r="AO37" s="144"/>
      <c r="AP37" s="144"/>
      <c r="AQ37" s="144"/>
      <c r="AR37" s="144"/>
      <c r="AS37" s="144"/>
      <c r="AT37" s="144"/>
      <c r="AU37" s="144"/>
      <c r="AV37" s="144"/>
      <c r="AW37" s="144"/>
      <c r="AX37" s="144"/>
      <c r="AY37" s="144"/>
      <c r="AZ37" s="144"/>
      <c r="BA37" s="144"/>
      <c r="BB37" s="144"/>
      <c r="BC37" s="144"/>
      <c r="BD37" s="144"/>
      <c r="BE37" s="144"/>
      <c r="BF37" s="144"/>
      <c r="BG37" s="50"/>
    </row>
    <row r="38" ht="11.25" customHeight="1">
      <c r="A38" s="125" t="s">
        <v>988</v>
      </c>
      <c r="B38" s="125"/>
      <c r="C38" s="125"/>
      <c r="D38" s="53"/>
      <c r="E38" s="91"/>
      <c r="F38" s="944"/>
      <c r="G38" s="952"/>
      <c r="H38" s="922" t="s">
        <v>89</v>
      </c>
      <c r="I38" s="945"/>
      <c r="J38" s="946"/>
      <c r="K38" s="449"/>
      <c r="L38" s="225"/>
      <c r="M38" s="219"/>
      <c r="N38" s="953"/>
      <c r="O38" s="954"/>
      <c r="P38" s="960"/>
      <c r="Q38" s="389"/>
      <c r="R38" s="459"/>
      <c r="S38" s="961"/>
      <c r="T38" s="459"/>
      <c r="U38" s="459"/>
      <c r="V38" s="459"/>
      <c r="W38" s="459"/>
      <c r="X38" s="459"/>
      <c r="Y38" s="459"/>
      <c r="Z38" s="962"/>
      <c r="AA38" s="963">
        <v>1</v>
      </c>
      <c r="AB38" s="964" t="s">
        <v>1024</v>
      </c>
      <c r="AC38" s="857">
        <f>0.20701*32544.82</f>
        <v>6737.1031881999997</v>
      </c>
      <c r="AD38" s="964" t="str">
        <f t="shared" si="48"/>
        <v xml:space="preserve">     Амортизационные отчисления в результате переоценки основных средств и нематериальных активов</v>
      </c>
      <c r="AE38" s="857"/>
      <c r="AF38" s="950"/>
      <c r="AG38" s="951"/>
      <c r="AH38" s="951"/>
      <c r="AI38" s="950"/>
      <c r="AJ38" s="951"/>
      <c r="AK38" s="951"/>
      <c r="AL38" s="920"/>
      <c r="AM38" s="144"/>
      <c r="AN38" s="144"/>
      <c r="AO38" s="144"/>
      <c r="AP38" s="144"/>
      <c r="AQ38" s="144"/>
      <c r="AR38" s="144"/>
      <c r="AS38" s="144"/>
      <c r="AT38" s="144"/>
      <c r="AU38" s="144"/>
      <c r="AV38" s="144"/>
      <c r="AW38" s="144"/>
      <c r="AX38" s="144"/>
      <c r="AY38" s="144"/>
      <c r="AZ38" s="144"/>
      <c r="BA38" s="144"/>
      <c r="BB38" s="144"/>
      <c r="BC38" s="144"/>
      <c r="BD38" s="144"/>
      <c r="BE38" s="144"/>
      <c r="BF38" s="144"/>
      <c r="BG38" s="50"/>
    </row>
    <row r="39" ht="11.25" customHeight="1">
      <c r="A39" s="125" t="s">
        <v>988</v>
      </c>
      <c r="B39" s="125"/>
      <c r="C39" s="125"/>
      <c r="D39" s="53"/>
      <c r="E39" s="91"/>
      <c r="F39" s="944"/>
      <c r="G39" s="952"/>
      <c r="H39" s="922" t="s">
        <v>89</v>
      </c>
      <c r="I39" s="945"/>
      <c r="J39" s="946"/>
      <c r="K39" s="449"/>
      <c r="L39" s="225"/>
      <c r="M39" s="219"/>
      <c r="N39" s="953"/>
      <c r="O39" s="954"/>
      <c r="P39" s="965"/>
      <c r="Q39" s="389"/>
      <c r="R39" s="459"/>
      <c r="S39" s="961"/>
      <c r="T39" s="459"/>
      <c r="U39" s="459"/>
      <c r="V39" s="459"/>
      <c r="W39" s="459"/>
      <c r="X39" s="459"/>
      <c r="Y39" s="459"/>
      <c r="Z39" s="956"/>
      <c r="AA39" s="957"/>
      <c r="AB39" s="173" t="s">
        <v>1025</v>
      </c>
      <c r="AC39" s="958"/>
      <c r="AD39" s="958"/>
      <c r="AE39" s="966"/>
      <c r="AF39" s="950"/>
      <c r="AG39" s="951"/>
      <c r="AH39" s="951"/>
      <c r="AI39" s="950"/>
      <c r="AJ39" s="951"/>
      <c r="AK39" s="951"/>
      <c r="AL39" s="920"/>
      <c r="AM39" s="144"/>
      <c r="AN39" s="144"/>
      <c r="AO39" s="144"/>
      <c r="AP39" s="144"/>
      <c r="AQ39" s="144"/>
      <c r="AR39" s="144"/>
      <c r="AS39" s="144"/>
      <c r="AT39" s="144"/>
      <c r="AU39" s="144"/>
      <c r="AV39" s="144"/>
      <c r="AW39" s="144"/>
      <c r="AX39" s="144"/>
      <c r="AY39" s="144"/>
      <c r="AZ39" s="144"/>
      <c r="BA39" s="144"/>
      <c r="BB39" s="144"/>
      <c r="BC39" s="144"/>
      <c r="BD39" s="144"/>
      <c r="BE39" s="144"/>
      <c r="BF39" s="144"/>
      <c r="BG39" s="50"/>
    </row>
    <row r="40" ht="11.25" customHeight="1">
      <c r="A40" s="125" t="s">
        <v>988</v>
      </c>
      <c r="B40" s="125"/>
      <c r="C40" s="125"/>
      <c r="D40" s="53"/>
      <c r="E40" s="91"/>
      <c r="F40" s="944"/>
      <c r="G40" s="952"/>
      <c r="H40" s="922" t="s">
        <v>89</v>
      </c>
      <c r="I40" s="945"/>
      <c r="J40" s="946"/>
      <c r="K40" s="449"/>
      <c r="L40" s="225"/>
      <c r="M40" s="219"/>
      <c r="N40" s="956"/>
      <c r="O40" s="957"/>
      <c r="P40" s="173" t="s">
        <v>1026</v>
      </c>
      <c r="Q40" s="957"/>
      <c r="R40" s="957"/>
      <c r="S40" s="957"/>
      <c r="T40" s="957"/>
      <c r="U40" s="957"/>
      <c r="V40" s="957"/>
      <c r="W40" s="957"/>
      <c r="X40" s="957"/>
      <c r="Y40" s="957"/>
      <c r="Z40" s="957"/>
      <c r="AA40" s="957"/>
      <c r="AB40" s="957"/>
      <c r="AC40" s="957"/>
      <c r="AD40" s="957"/>
      <c r="AE40" s="967"/>
      <c r="AF40" s="950"/>
      <c r="AG40" s="951"/>
      <c r="AH40" s="951"/>
      <c r="AI40" s="950"/>
      <c r="AJ40" s="951"/>
      <c r="AK40" s="951"/>
      <c r="AL40" s="920"/>
      <c r="AM40" s="144"/>
      <c r="AN40" s="144"/>
      <c r="AO40" s="144"/>
      <c r="AP40" s="144"/>
      <c r="AQ40" s="144"/>
      <c r="AR40" s="144"/>
      <c r="AS40" s="144"/>
      <c r="AT40" s="144"/>
      <c r="AU40" s="144"/>
      <c r="AV40" s="144"/>
      <c r="AW40" s="144"/>
      <c r="AX40" s="144"/>
      <c r="AY40" s="144"/>
      <c r="AZ40" s="144"/>
      <c r="BA40" s="144"/>
      <c r="BB40" s="144"/>
      <c r="BC40" s="144"/>
      <c r="BD40" s="144"/>
      <c r="BE40" s="144"/>
      <c r="BF40" s="144"/>
      <c r="BG40" s="50"/>
    </row>
    <row r="41" ht="11.25" customHeight="1">
      <c r="A41" s="125" t="s">
        <v>988</v>
      </c>
      <c r="B41" s="125" t="s">
        <v>22</v>
      </c>
      <c r="C41" s="125"/>
      <c r="D41" s="53"/>
      <c r="E41" s="91"/>
      <c r="F41" s="944"/>
      <c r="G41" s="150" t="s">
        <v>683</v>
      </c>
      <c r="H41" s="922" t="s">
        <v>107</v>
      </c>
      <c r="I41" s="945" t="s">
        <v>1020</v>
      </c>
      <c r="J41" s="946" t="s">
        <v>22</v>
      </c>
      <c r="K41" s="449" t="s">
        <v>1033</v>
      </c>
      <c r="L41" s="225" t="s">
        <v>19</v>
      </c>
      <c r="M41" s="219"/>
      <c r="N41" s="947"/>
      <c r="O41" s="948" t="s">
        <v>370</v>
      </c>
      <c r="P41" s="949"/>
      <c r="Q41" s="949"/>
      <c r="R41" s="949"/>
      <c r="S41" s="949"/>
      <c r="T41" s="949"/>
      <c r="U41" s="949"/>
      <c r="V41" s="949"/>
      <c r="W41" s="949"/>
      <c r="X41" s="949"/>
      <c r="Y41" s="949"/>
      <c r="Z41" s="949"/>
      <c r="AA41" s="949"/>
      <c r="AB41" s="949"/>
      <c r="AC41" s="949"/>
      <c r="AD41" s="949"/>
      <c r="AE41" s="949"/>
      <c r="AF41" s="950">
        <v>5</v>
      </c>
      <c r="AG41" s="951" t="s">
        <v>1034</v>
      </c>
      <c r="AH41" s="951" t="s">
        <v>1023</v>
      </c>
      <c r="AI41" s="950"/>
      <c r="AJ41" s="951"/>
      <c r="AK41" s="951"/>
      <c r="AL41" s="920"/>
      <c r="AM41" s="144"/>
      <c r="AN41" s="144"/>
      <c r="AO41" s="144"/>
      <c r="AP41" s="144"/>
      <c r="AQ41" s="144"/>
      <c r="AR41" s="144"/>
      <c r="AS41" s="144"/>
      <c r="AT41" s="144"/>
      <c r="AU41" s="144"/>
      <c r="AV41" s="144"/>
      <c r="AW41" s="144"/>
      <c r="AX41" s="144"/>
      <c r="AY41" s="144"/>
      <c r="AZ41" s="144"/>
      <c r="BA41" s="144"/>
      <c r="BB41" s="144"/>
      <c r="BC41" s="144"/>
      <c r="BD41" s="144"/>
      <c r="BE41" s="144"/>
      <c r="BF41" s="144"/>
      <c r="BG41" s="50"/>
    </row>
    <row r="42" ht="11.25" customHeight="1">
      <c r="A42" s="125" t="s">
        <v>988</v>
      </c>
      <c r="B42" s="125"/>
      <c r="C42" s="125"/>
      <c r="D42" s="53"/>
      <c r="E42" s="91"/>
      <c r="F42" s="944"/>
      <c r="G42" s="952"/>
      <c r="H42" s="922" t="s">
        <v>90</v>
      </c>
      <c r="I42" s="945"/>
      <c r="J42" s="946"/>
      <c r="K42" s="449"/>
      <c r="L42" s="225"/>
      <c r="M42" s="219"/>
      <c r="N42" s="953"/>
      <c r="O42" s="954">
        <v>1</v>
      </c>
      <c r="P42" s="955" t="s">
        <v>19</v>
      </c>
      <c r="Q42" s="946" t="s">
        <v>22</v>
      </c>
      <c r="R42" s="946" t="s">
        <v>22</v>
      </c>
      <c r="S42" s="946" t="s">
        <v>22</v>
      </c>
      <c r="T42" s="946" t="s">
        <v>22</v>
      </c>
      <c r="U42" s="946" t="s">
        <v>22</v>
      </c>
      <c r="V42" s="946" t="s">
        <v>22</v>
      </c>
      <c r="W42" s="946" t="s">
        <v>22</v>
      </c>
      <c r="X42" s="946" t="s">
        <v>22</v>
      </c>
      <c r="Y42" s="946" t="s">
        <v>22</v>
      </c>
      <c r="Z42" s="956"/>
      <c r="AA42" s="957"/>
      <c r="AB42" s="957"/>
      <c r="AC42" s="958"/>
      <c r="AD42" s="958"/>
      <c r="AE42" s="959"/>
      <c r="AF42" s="950"/>
      <c r="AG42" s="951"/>
      <c r="AH42" s="951"/>
      <c r="AI42" s="950"/>
      <c r="AJ42" s="951"/>
      <c r="AK42" s="951"/>
      <c r="AL42" s="920"/>
      <c r="AM42" s="144"/>
      <c r="AN42" s="144"/>
      <c r="AO42" s="144"/>
      <c r="AP42" s="144"/>
      <c r="AQ42" s="144"/>
      <c r="AR42" s="144"/>
      <c r="AS42" s="144"/>
      <c r="AT42" s="144"/>
      <c r="AU42" s="144"/>
      <c r="AV42" s="144"/>
      <c r="AW42" s="144"/>
      <c r="AX42" s="144"/>
      <c r="AY42" s="144"/>
      <c r="AZ42" s="144"/>
      <c r="BA42" s="144"/>
      <c r="BB42" s="144"/>
      <c r="BC42" s="144"/>
      <c r="BD42" s="144"/>
      <c r="BE42" s="144"/>
      <c r="BF42" s="144"/>
      <c r="BG42" s="50"/>
    </row>
    <row r="43" ht="11.25" customHeight="1">
      <c r="A43" s="125" t="s">
        <v>988</v>
      </c>
      <c r="B43" s="125"/>
      <c r="C43" s="125"/>
      <c r="D43" s="53"/>
      <c r="E43" s="91"/>
      <c r="F43" s="944"/>
      <c r="G43" s="952"/>
      <c r="H43" s="922" t="s">
        <v>90</v>
      </c>
      <c r="I43" s="945"/>
      <c r="J43" s="946"/>
      <c r="K43" s="449"/>
      <c r="L43" s="225"/>
      <c r="M43" s="219"/>
      <c r="N43" s="953"/>
      <c r="O43" s="954"/>
      <c r="P43" s="960"/>
      <c r="Q43" s="389"/>
      <c r="R43" s="459"/>
      <c r="S43" s="961"/>
      <c r="T43" s="459"/>
      <c r="U43" s="459"/>
      <c r="V43" s="459"/>
      <c r="W43" s="459"/>
      <c r="X43" s="459"/>
      <c r="Y43" s="459"/>
      <c r="Z43" s="962"/>
      <c r="AA43" s="963">
        <v>1</v>
      </c>
      <c r="AB43" s="964" t="s">
        <v>1024</v>
      </c>
      <c r="AC43" s="857">
        <f>1179.492*0.175902205</f>
        <v>207.47524357986001</v>
      </c>
      <c r="AD43" s="964" t="str">
        <f t="shared" si="48"/>
        <v xml:space="preserve">     Амортизационные отчисления в результате переоценки основных средств и нематериальных активов</v>
      </c>
      <c r="AE43" s="857"/>
      <c r="AF43" s="950"/>
      <c r="AG43" s="951"/>
      <c r="AH43" s="951"/>
      <c r="AI43" s="950"/>
      <c r="AJ43" s="951"/>
      <c r="AK43" s="951"/>
      <c r="AL43" s="920"/>
      <c r="AM43" s="144"/>
      <c r="AN43" s="144"/>
      <c r="AO43" s="144"/>
      <c r="AP43" s="144"/>
      <c r="AQ43" s="144"/>
      <c r="AR43" s="144"/>
      <c r="AS43" s="144"/>
      <c r="AT43" s="144"/>
      <c r="AU43" s="144"/>
      <c r="AV43" s="144"/>
      <c r="AW43" s="144"/>
      <c r="AX43" s="144"/>
      <c r="AY43" s="144"/>
      <c r="AZ43" s="144"/>
      <c r="BA43" s="144"/>
      <c r="BB43" s="144"/>
      <c r="BC43" s="144"/>
      <c r="BD43" s="144"/>
      <c r="BE43" s="144"/>
      <c r="BF43" s="144"/>
      <c r="BG43" s="50"/>
    </row>
    <row r="44" ht="11.25" customHeight="1">
      <c r="A44" s="125" t="s">
        <v>988</v>
      </c>
      <c r="B44" s="125"/>
      <c r="C44" s="125"/>
      <c r="D44" s="53"/>
      <c r="E44" s="91"/>
      <c r="F44" s="952"/>
      <c r="G44" s="952"/>
      <c r="H44" s="952"/>
      <c r="I44" s="952"/>
      <c r="J44" s="952"/>
      <c r="K44" s="952"/>
      <c r="L44" s="952"/>
      <c r="M44" s="952"/>
      <c r="N44" s="952"/>
      <c r="O44" s="952"/>
      <c r="P44" s="952"/>
      <c r="Q44" s="952"/>
      <c r="R44" s="952"/>
      <c r="S44" s="952"/>
      <c r="T44" s="952"/>
      <c r="U44" s="952"/>
      <c r="V44" s="952"/>
      <c r="W44" s="952"/>
      <c r="X44" s="952"/>
      <c r="Y44" s="952"/>
      <c r="Z44" s="150" t="s">
        <v>683</v>
      </c>
      <c r="AA44" s="954" t="s">
        <v>106</v>
      </c>
      <c r="AB44" s="964" t="s">
        <v>1035</v>
      </c>
      <c r="AC44" s="857">
        <f>26293.84*0.175902205</f>
        <v>4625.1444339172003</v>
      </c>
      <c r="AD44" s="964" t="str">
        <f t="shared" si="48"/>
        <v xml:space="preserve">  Средства, полученные за счет платы за подключение (технологическое присоединение)</v>
      </c>
      <c r="AE44" s="857"/>
      <c r="AF44" s="968"/>
      <c r="AG44" s="969"/>
      <c r="AH44" s="969"/>
      <c r="AI44" s="968"/>
      <c r="AJ44" s="969"/>
      <c r="AK44" s="970"/>
      <c r="AL44" s="920"/>
      <c r="AM44" s="144"/>
      <c r="AN44" s="144"/>
      <c r="AO44" s="144"/>
      <c r="AP44" s="144"/>
      <c r="AQ44" s="144"/>
      <c r="AR44" s="144"/>
      <c r="AS44" s="144"/>
      <c r="AT44" s="144"/>
      <c r="AU44" s="144"/>
      <c r="AV44" s="144"/>
      <c r="AW44" s="144"/>
      <c r="AX44" s="144"/>
      <c r="AY44" s="144"/>
      <c r="AZ44" s="144"/>
      <c r="BA44" s="144"/>
      <c r="BB44" s="144"/>
      <c r="BC44" s="144"/>
      <c r="BD44" s="144"/>
      <c r="BE44" s="144"/>
      <c r="BF44" s="144"/>
      <c r="BG44" s="50"/>
    </row>
    <row r="45" ht="11.25" customHeight="1">
      <c r="A45" s="125" t="s">
        <v>988</v>
      </c>
      <c r="B45" s="125"/>
      <c r="C45" s="125"/>
      <c r="D45" s="53"/>
      <c r="E45" s="91"/>
      <c r="F45" s="944"/>
      <c r="G45" s="952"/>
      <c r="H45" s="922" t="s">
        <v>90</v>
      </c>
      <c r="I45" s="945"/>
      <c r="J45" s="946"/>
      <c r="K45" s="449"/>
      <c r="L45" s="225"/>
      <c r="M45" s="219"/>
      <c r="N45" s="953"/>
      <c r="O45" s="954"/>
      <c r="P45" s="965"/>
      <c r="Q45" s="389"/>
      <c r="R45" s="459"/>
      <c r="S45" s="961"/>
      <c r="T45" s="459"/>
      <c r="U45" s="459"/>
      <c r="V45" s="459"/>
      <c r="W45" s="459"/>
      <c r="X45" s="459"/>
      <c r="Y45" s="459"/>
      <c r="Z45" s="956"/>
      <c r="AA45" s="957"/>
      <c r="AB45" s="173" t="s">
        <v>1025</v>
      </c>
      <c r="AC45" s="958"/>
      <c r="AD45" s="958"/>
      <c r="AE45" s="966"/>
      <c r="AF45" s="950"/>
      <c r="AG45" s="951"/>
      <c r="AH45" s="951"/>
      <c r="AI45" s="950"/>
      <c r="AJ45" s="951"/>
      <c r="AK45" s="951"/>
      <c r="AL45" s="920"/>
      <c r="AM45" s="144"/>
      <c r="AN45" s="144"/>
      <c r="AO45" s="144"/>
      <c r="AP45" s="144"/>
      <c r="AQ45" s="144"/>
      <c r="AR45" s="144"/>
      <c r="AS45" s="144"/>
      <c r="AT45" s="144"/>
      <c r="AU45" s="144"/>
      <c r="AV45" s="144"/>
      <c r="AW45" s="144"/>
      <c r="AX45" s="144"/>
      <c r="AY45" s="144"/>
      <c r="AZ45" s="144"/>
      <c r="BA45" s="144"/>
      <c r="BB45" s="144"/>
      <c r="BC45" s="144"/>
      <c r="BD45" s="144"/>
      <c r="BE45" s="144"/>
      <c r="BF45" s="144"/>
      <c r="BG45" s="50"/>
    </row>
    <row r="46" ht="11.25" customHeight="1">
      <c r="A46" s="125" t="s">
        <v>988</v>
      </c>
      <c r="B46" s="125"/>
      <c r="C46" s="125"/>
      <c r="D46" s="53"/>
      <c r="E46" s="91"/>
      <c r="F46" s="944"/>
      <c r="G46" s="952"/>
      <c r="H46" s="922" t="s">
        <v>90</v>
      </c>
      <c r="I46" s="945"/>
      <c r="J46" s="946"/>
      <c r="K46" s="449"/>
      <c r="L46" s="225"/>
      <c r="M46" s="219"/>
      <c r="N46" s="956"/>
      <c r="O46" s="957"/>
      <c r="P46" s="173" t="s">
        <v>1026</v>
      </c>
      <c r="Q46" s="957"/>
      <c r="R46" s="957"/>
      <c r="S46" s="957"/>
      <c r="T46" s="957"/>
      <c r="U46" s="957"/>
      <c r="V46" s="957"/>
      <c r="W46" s="957"/>
      <c r="X46" s="957"/>
      <c r="Y46" s="957"/>
      <c r="Z46" s="957"/>
      <c r="AA46" s="957"/>
      <c r="AB46" s="957"/>
      <c r="AC46" s="957"/>
      <c r="AD46" s="957"/>
      <c r="AE46" s="967"/>
      <c r="AF46" s="950"/>
      <c r="AG46" s="951"/>
      <c r="AH46" s="951"/>
      <c r="AI46" s="950"/>
      <c r="AJ46" s="951"/>
      <c r="AK46" s="951"/>
      <c r="AL46" s="920"/>
      <c r="AM46" s="144"/>
      <c r="AN46" s="144"/>
      <c r="AO46" s="144"/>
      <c r="AP46" s="144"/>
      <c r="AQ46" s="144"/>
      <c r="AR46" s="144"/>
      <c r="AS46" s="144"/>
      <c r="AT46" s="144"/>
      <c r="AU46" s="144"/>
      <c r="AV46" s="144"/>
      <c r="AW46" s="144"/>
      <c r="AX46" s="144"/>
      <c r="AY46" s="144"/>
      <c r="AZ46" s="144"/>
      <c r="BA46" s="144"/>
      <c r="BB46" s="144"/>
      <c r="BC46" s="144"/>
      <c r="BD46" s="144"/>
      <c r="BE46" s="144"/>
      <c r="BF46" s="144"/>
      <c r="BG46" s="50"/>
    </row>
    <row r="47" ht="11.25" customHeight="1">
      <c r="A47" s="125" t="s">
        <v>988</v>
      </c>
      <c r="B47" s="125" t="s">
        <v>22</v>
      </c>
      <c r="C47" s="125"/>
      <c r="D47" s="53"/>
      <c r="E47" s="91"/>
      <c r="F47" s="944"/>
      <c r="G47" s="150" t="s">
        <v>683</v>
      </c>
      <c r="H47" s="922" t="s">
        <v>91</v>
      </c>
      <c r="I47" s="945" t="s">
        <v>1020</v>
      </c>
      <c r="J47" s="946" t="s">
        <v>22</v>
      </c>
      <c r="K47" s="449" t="s">
        <v>1036</v>
      </c>
      <c r="L47" s="225" t="s">
        <v>19</v>
      </c>
      <c r="M47" s="219"/>
      <c r="N47" s="947"/>
      <c r="O47" s="948" t="s">
        <v>370</v>
      </c>
      <c r="P47" s="949"/>
      <c r="Q47" s="949"/>
      <c r="R47" s="949"/>
      <c r="S47" s="949"/>
      <c r="T47" s="949"/>
      <c r="U47" s="949"/>
      <c r="V47" s="949"/>
      <c r="W47" s="949"/>
      <c r="X47" s="949"/>
      <c r="Y47" s="949"/>
      <c r="Z47" s="949"/>
      <c r="AA47" s="949"/>
      <c r="AB47" s="949"/>
      <c r="AC47" s="949"/>
      <c r="AD47" s="949"/>
      <c r="AE47" s="949"/>
      <c r="AF47" s="950">
        <v>5</v>
      </c>
      <c r="AG47" s="951" t="s">
        <v>1022</v>
      </c>
      <c r="AH47" s="951" t="s">
        <v>1023</v>
      </c>
      <c r="AI47" s="950"/>
      <c r="AJ47" s="951"/>
      <c r="AK47" s="951"/>
      <c r="AL47" s="920"/>
      <c r="AM47" s="144"/>
      <c r="AN47" s="144"/>
      <c r="AO47" s="144"/>
      <c r="AP47" s="144"/>
      <c r="AQ47" s="144"/>
      <c r="AR47" s="144"/>
      <c r="AS47" s="144"/>
      <c r="AT47" s="144"/>
      <c r="AU47" s="144"/>
      <c r="AV47" s="144"/>
      <c r="AW47" s="144"/>
      <c r="AX47" s="144"/>
      <c r="AY47" s="144"/>
      <c r="AZ47" s="144"/>
      <c r="BA47" s="144"/>
      <c r="BB47" s="144"/>
      <c r="BC47" s="144"/>
      <c r="BD47" s="144"/>
      <c r="BE47" s="144"/>
      <c r="BF47" s="144"/>
      <c r="BG47" s="50"/>
    </row>
    <row r="48" ht="11.25" customHeight="1">
      <c r="A48" s="125" t="s">
        <v>988</v>
      </c>
      <c r="B48" s="125"/>
      <c r="C48" s="125"/>
      <c r="D48" s="53"/>
      <c r="E48" s="91"/>
      <c r="F48" s="944"/>
      <c r="G48" s="952"/>
      <c r="H48" s="922" t="s">
        <v>107</v>
      </c>
      <c r="I48" s="945"/>
      <c r="J48" s="946"/>
      <c r="K48" s="449"/>
      <c r="L48" s="225"/>
      <c r="M48" s="219"/>
      <c r="N48" s="953"/>
      <c r="O48" s="954">
        <v>1</v>
      </c>
      <c r="P48" s="955" t="s">
        <v>19</v>
      </c>
      <c r="Q48" s="946" t="s">
        <v>22</v>
      </c>
      <c r="R48" s="946" t="s">
        <v>22</v>
      </c>
      <c r="S48" s="946" t="s">
        <v>22</v>
      </c>
      <c r="T48" s="946" t="s">
        <v>22</v>
      </c>
      <c r="U48" s="946" t="s">
        <v>22</v>
      </c>
      <c r="V48" s="946" t="s">
        <v>22</v>
      </c>
      <c r="W48" s="946" t="s">
        <v>22</v>
      </c>
      <c r="X48" s="946" t="s">
        <v>22</v>
      </c>
      <c r="Y48" s="946" t="s">
        <v>22</v>
      </c>
      <c r="Z48" s="956"/>
      <c r="AA48" s="957"/>
      <c r="AB48" s="957"/>
      <c r="AC48" s="958"/>
      <c r="AD48" s="958"/>
      <c r="AE48" s="959"/>
      <c r="AF48" s="950"/>
      <c r="AG48" s="951"/>
      <c r="AH48" s="951"/>
      <c r="AI48" s="950"/>
      <c r="AJ48" s="951"/>
      <c r="AK48" s="951"/>
      <c r="AL48" s="920"/>
      <c r="AM48" s="144"/>
      <c r="AN48" s="144"/>
      <c r="AO48" s="144"/>
      <c r="AP48" s="144"/>
      <c r="AQ48" s="144"/>
      <c r="AR48" s="144"/>
      <c r="AS48" s="144"/>
      <c r="AT48" s="144"/>
      <c r="AU48" s="144"/>
      <c r="AV48" s="144"/>
      <c r="AW48" s="144"/>
      <c r="AX48" s="144"/>
      <c r="AY48" s="144"/>
      <c r="AZ48" s="144"/>
      <c r="BA48" s="144"/>
      <c r="BB48" s="144"/>
      <c r="BC48" s="144"/>
      <c r="BD48" s="144"/>
      <c r="BE48" s="144"/>
      <c r="BF48" s="144"/>
      <c r="BG48" s="50"/>
    </row>
    <row r="49" ht="11.25" customHeight="1">
      <c r="A49" s="125" t="s">
        <v>988</v>
      </c>
      <c r="B49" s="125"/>
      <c r="C49" s="125"/>
      <c r="D49" s="53"/>
      <c r="E49" s="91"/>
      <c r="F49" s="944"/>
      <c r="G49" s="952"/>
      <c r="H49" s="922" t="s">
        <v>107</v>
      </c>
      <c r="I49" s="945"/>
      <c r="J49" s="946"/>
      <c r="K49" s="449"/>
      <c r="L49" s="225"/>
      <c r="M49" s="219"/>
      <c r="N49" s="953"/>
      <c r="O49" s="954"/>
      <c r="P49" s="960"/>
      <c r="Q49" s="389"/>
      <c r="R49" s="459"/>
      <c r="S49" s="961"/>
      <c r="T49" s="459"/>
      <c r="U49" s="459"/>
      <c r="V49" s="459"/>
      <c r="W49" s="459"/>
      <c r="X49" s="459"/>
      <c r="Y49" s="459"/>
      <c r="Z49" s="962"/>
      <c r="AA49" s="963">
        <v>1</v>
      </c>
      <c r="AB49" s="964" t="s">
        <v>1024</v>
      </c>
      <c r="AC49" s="857">
        <f>0.20701*6857.92</f>
        <v>1419.6580191999999</v>
      </c>
      <c r="AD49" s="964" t="str">
        <f t="shared" si="48"/>
        <v xml:space="preserve">     Амортизационные отчисления в результате переоценки основных средств и нематериальных активов</v>
      </c>
      <c r="AE49" s="857"/>
      <c r="AF49" s="950"/>
      <c r="AG49" s="951"/>
      <c r="AH49" s="951"/>
      <c r="AI49" s="950"/>
      <c r="AJ49" s="951"/>
      <c r="AK49" s="951"/>
      <c r="AL49" s="920"/>
      <c r="AM49" s="144"/>
      <c r="AN49" s="144"/>
      <c r="AO49" s="144"/>
      <c r="AP49" s="144"/>
      <c r="AQ49" s="144"/>
      <c r="AR49" s="144"/>
      <c r="AS49" s="144"/>
      <c r="AT49" s="144"/>
      <c r="AU49" s="144"/>
      <c r="AV49" s="144"/>
      <c r="AW49" s="144"/>
      <c r="AX49" s="144"/>
      <c r="AY49" s="144"/>
      <c r="AZ49" s="144"/>
      <c r="BA49" s="144"/>
      <c r="BB49" s="144"/>
      <c r="BC49" s="144"/>
      <c r="BD49" s="144"/>
      <c r="BE49" s="144"/>
      <c r="BF49" s="144"/>
      <c r="BG49" s="50"/>
    </row>
    <row r="50" ht="11.25" customHeight="1">
      <c r="A50" s="125" t="s">
        <v>988</v>
      </c>
      <c r="B50" s="125"/>
      <c r="C50" s="125"/>
      <c r="D50" s="53"/>
      <c r="E50" s="91"/>
      <c r="F50" s="944"/>
      <c r="G50" s="952"/>
      <c r="H50" s="922" t="s">
        <v>107</v>
      </c>
      <c r="I50" s="945"/>
      <c r="J50" s="946"/>
      <c r="K50" s="449"/>
      <c r="L50" s="225"/>
      <c r="M50" s="219"/>
      <c r="N50" s="953"/>
      <c r="O50" s="954"/>
      <c r="P50" s="965"/>
      <c r="Q50" s="389"/>
      <c r="R50" s="459"/>
      <c r="S50" s="961"/>
      <c r="T50" s="459"/>
      <c r="U50" s="459"/>
      <c r="V50" s="459"/>
      <c r="W50" s="459"/>
      <c r="X50" s="459"/>
      <c r="Y50" s="459"/>
      <c r="Z50" s="956"/>
      <c r="AA50" s="957"/>
      <c r="AB50" s="173" t="s">
        <v>1025</v>
      </c>
      <c r="AC50" s="958"/>
      <c r="AD50" s="958"/>
      <c r="AE50" s="966"/>
      <c r="AF50" s="950"/>
      <c r="AG50" s="951"/>
      <c r="AH50" s="951"/>
      <c r="AI50" s="950"/>
      <c r="AJ50" s="951"/>
      <c r="AK50" s="951"/>
      <c r="AL50" s="920"/>
      <c r="AM50" s="144"/>
      <c r="AN50" s="144"/>
      <c r="AO50" s="144"/>
      <c r="AP50" s="144"/>
      <c r="AQ50" s="144"/>
      <c r="AR50" s="144"/>
      <c r="AS50" s="144"/>
      <c r="AT50" s="144"/>
      <c r="AU50" s="144"/>
      <c r="AV50" s="144"/>
      <c r="AW50" s="144"/>
      <c r="AX50" s="144"/>
      <c r="AY50" s="144"/>
      <c r="AZ50" s="144"/>
      <c r="BA50" s="144"/>
      <c r="BB50" s="144"/>
      <c r="BC50" s="144"/>
      <c r="BD50" s="144"/>
      <c r="BE50" s="144"/>
      <c r="BF50" s="144"/>
      <c r="BG50" s="50"/>
    </row>
    <row r="51" ht="11.25" customHeight="1">
      <c r="A51" s="125" t="s">
        <v>988</v>
      </c>
      <c r="B51" s="125"/>
      <c r="C51" s="125"/>
      <c r="D51" s="53"/>
      <c r="E51" s="91"/>
      <c r="F51" s="944"/>
      <c r="G51" s="952"/>
      <c r="H51" s="922" t="s">
        <v>107</v>
      </c>
      <c r="I51" s="945"/>
      <c r="J51" s="946"/>
      <c r="K51" s="449"/>
      <c r="L51" s="225"/>
      <c r="M51" s="219"/>
      <c r="N51" s="956"/>
      <c r="O51" s="957"/>
      <c r="P51" s="173" t="s">
        <v>1026</v>
      </c>
      <c r="Q51" s="957"/>
      <c r="R51" s="957"/>
      <c r="S51" s="957"/>
      <c r="T51" s="957"/>
      <c r="U51" s="957"/>
      <c r="V51" s="957"/>
      <c r="W51" s="957"/>
      <c r="X51" s="957"/>
      <c r="Y51" s="957"/>
      <c r="Z51" s="957"/>
      <c r="AA51" s="957"/>
      <c r="AB51" s="957"/>
      <c r="AC51" s="957"/>
      <c r="AD51" s="957"/>
      <c r="AE51" s="967"/>
      <c r="AF51" s="950"/>
      <c r="AG51" s="951"/>
      <c r="AH51" s="951"/>
      <c r="AI51" s="950"/>
      <c r="AJ51" s="951"/>
      <c r="AK51" s="951"/>
      <c r="AL51" s="920"/>
      <c r="AM51" s="144"/>
      <c r="AN51" s="144"/>
      <c r="AO51" s="144"/>
      <c r="AP51" s="144"/>
      <c r="AQ51" s="144"/>
      <c r="AR51" s="144"/>
      <c r="AS51" s="144"/>
      <c r="AT51" s="144"/>
      <c r="AU51" s="144"/>
      <c r="AV51" s="144"/>
      <c r="AW51" s="144"/>
      <c r="AX51" s="144"/>
      <c r="AY51" s="144"/>
      <c r="AZ51" s="144"/>
      <c r="BA51" s="144"/>
      <c r="BB51" s="144"/>
      <c r="BC51" s="144"/>
      <c r="BD51" s="144"/>
      <c r="BE51" s="144"/>
      <c r="BF51" s="144"/>
      <c r="BG51" s="50"/>
    </row>
    <row r="52" ht="11.25" customHeight="1">
      <c r="A52" s="125" t="s">
        <v>988</v>
      </c>
      <c r="B52" s="125" t="s">
        <v>22</v>
      </c>
      <c r="C52" s="125"/>
      <c r="D52" s="53"/>
      <c r="E52" s="91"/>
      <c r="F52" s="944"/>
      <c r="G52" s="150" t="s">
        <v>683</v>
      </c>
      <c r="H52" s="922" t="s">
        <v>92</v>
      </c>
      <c r="I52" s="945" t="s">
        <v>1020</v>
      </c>
      <c r="J52" s="946" t="s">
        <v>22</v>
      </c>
      <c r="K52" s="449" t="s">
        <v>1037</v>
      </c>
      <c r="L52" s="225" t="s">
        <v>19</v>
      </c>
      <c r="M52" s="219"/>
      <c r="N52" s="947"/>
      <c r="O52" s="948" t="s">
        <v>370</v>
      </c>
      <c r="P52" s="949"/>
      <c r="Q52" s="949"/>
      <c r="R52" s="949"/>
      <c r="S52" s="949"/>
      <c r="T52" s="949"/>
      <c r="U52" s="949"/>
      <c r="V52" s="949"/>
      <c r="W52" s="949"/>
      <c r="X52" s="949"/>
      <c r="Y52" s="949"/>
      <c r="Z52" s="949"/>
      <c r="AA52" s="949"/>
      <c r="AB52" s="949"/>
      <c r="AC52" s="949"/>
      <c r="AD52" s="949"/>
      <c r="AE52" s="949"/>
      <c r="AF52" s="950">
        <v>5</v>
      </c>
      <c r="AG52" s="951" t="s">
        <v>1022</v>
      </c>
      <c r="AH52" s="951" t="s">
        <v>1023</v>
      </c>
      <c r="AI52" s="950"/>
      <c r="AJ52" s="951"/>
      <c r="AK52" s="951"/>
      <c r="AL52" s="920"/>
      <c r="AM52" s="144"/>
      <c r="AN52" s="144"/>
      <c r="AO52" s="144"/>
      <c r="AP52" s="144"/>
      <c r="AQ52" s="144"/>
      <c r="AR52" s="144"/>
      <c r="AS52" s="144"/>
      <c r="AT52" s="144"/>
      <c r="AU52" s="144"/>
      <c r="AV52" s="144"/>
      <c r="AW52" s="144"/>
      <c r="AX52" s="144"/>
      <c r="AY52" s="144"/>
      <c r="AZ52" s="144"/>
      <c r="BA52" s="144"/>
      <c r="BB52" s="144"/>
      <c r="BC52" s="144"/>
      <c r="BD52" s="144"/>
      <c r="BE52" s="144"/>
      <c r="BF52" s="144"/>
      <c r="BG52" s="50"/>
    </row>
    <row r="53" ht="11.25" customHeight="1">
      <c r="A53" s="125" t="s">
        <v>988</v>
      </c>
      <c r="B53" s="125"/>
      <c r="C53" s="125"/>
      <c r="D53" s="53"/>
      <c r="E53" s="91"/>
      <c r="F53" s="944"/>
      <c r="G53" s="952"/>
      <c r="H53" s="922" t="s">
        <v>91</v>
      </c>
      <c r="I53" s="945"/>
      <c r="J53" s="946"/>
      <c r="K53" s="449"/>
      <c r="L53" s="225"/>
      <c r="M53" s="219"/>
      <c r="N53" s="953"/>
      <c r="O53" s="954">
        <v>1</v>
      </c>
      <c r="P53" s="955" t="s">
        <v>19</v>
      </c>
      <c r="Q53" s="946" t="s">
        <v>22</v>
      </c>
      <c r="R53" s="946" t="s">
        <v>22</v>
      </c>
      <c r="S53" s="946" t="s">
        <v>22</v>
      </c>
      <c r="T53" s="946" t="s">
        <v>22</v>
      </c>
      <c r="U53" s="946" t="s">
        <v>22</v>
      </c>
      <c r="V53" s="946" t="s">
        <v>22</v>
      </c>
      <c r="W53" s="946" t="s">
        <v>22</v>
      </c>
      <c r="X53" s="946" t="s">
        <v>22</v>
      </c>
      <c r="Y53" s="946" t="s">
        <v>22</v>
      </c>
      <c r="Z53" s="956"/>
      <c r="AA53" s="957"/>
      <c r="AB53" s="957"/>
      <c r="AC53" s="958"/>
      <c r="AD53" s="958"/>
      <c r="AE53" s="959"/>
      <c r="AF53" s="950"/>
      <c r="AG53" s="951"/>
      <c r="AH53" s="951"/>
      <c r="AI53" s="950"/>
      <c r="AJ53" s="951"/>
      <c r="AK53" s="951"/>
      <c r="AL53" s="920"/>
      <c r="AM53" s="144"/>
      <c r="AN53" s="144"/>
      <c r="AO53" s="144"/>
      <c r="AP53" s="144"/>
      <c r="AQ53" s="144"/>
      <c r="AR53" s="144"/>
      <c r="AS53" s="144"/>
      <c r="AT53" s="144"/>
      <c r="AU53" s="144"/>
      <c r="AV53" s="144"/>
      <c r="AW53" s="144"/>
      <c r="AX53" s="144"/>
      <c r="AY53" s="144"/>
      <c r="AZ53" s="144"/>
      <c r="BA53" s="144"/>
      <c r="BB53" s="144"/>
      <c r="BC53" s="144"/>
      <c r="BD53" s="144"/>
      <c r="BE53" s="144"/>
      <c r="BF53" s="144"/>
      <c r="BG53" s="50"/>
    </row>
    <row r="54" ht="11.25" customHeight="1">
      <c r="A54" s="125" t="s">
        <v>988</v>
      </c>
      <c r="B54" s="125"/>
      <c r="C54" s="125"/>
      <c r="D54" s="53"/>
      <c r="E54" s="91"/>
      <c r="F54" s="944"/>
      <c r="G54" s="952"/>
      <c r="H54" s="922" t="s">
        <v>91</v>
      </c>
      <c r="I54" s="945"/>
      <c r="J54" s="946"/>
      <c r="K54" s="449"/>
      <c r="L54" s="225"/>
      <c r="M54" s="219"/>
      <c r="N54" s="953"/>
      <c r="O54" s="954"/>
      <c r="P54" s="960"/>
      <c r="Q54" s="389"/>
      <c r="R54" s="459"/>
      <c r="S54" s="961"/>
      <c r="T54" s="459"/>
      <c r="U54" s="459"/>
      <c r="V54" s="459"/>
      <c r="W54" s="459"/>
      <c r="X54" s="459"/>
      <c r="Y54" s="459"/>
      <c r="Z54" s="962"/>
      <c r="AA54" s="963">
        <v>1</v>
      </c>
      <c r="AB54" s="964" t="s">
        <v>1029</v>
      </c>
      <c r="AC54" s="857">
        <f>0.20701*1086.98</f>
        <v>225.0157298</v>
      </c>
      <c r="AD54" s="964" t="str">
        <f t="shared" si="48"/>
        <v xml:space="preserve">  Прочие собственные средства</v>
      </c>
      <c r="AE54" s="857"/>
      <c r="AF54" s="950"/>
      <c r="AG54" s="951"/>
      <c r="AH54" s="951"/>
      <c r="AI54" s="950"/>
      <c r="AJ54" s="951"/>
      <c r="AK54" s="951"/>
      <c r="AL54" s="920"/>
      <c r="AM54" s="144"/>
      <c r="AN54" s="144"/>
      <c r="AO54" s="144"/>
      <c r="AP54" s="144"/>
      <c r="AQ54" s="144"/>
      <c r="AR54" s="144"/>
      <c r="AS54" s="144"/>
      <c r="AT54" s="144"/>
      <c r="AU54" s="144"/>
      <c r="AV54" s="144"/>
      <c r="AW54" s="144"/>
      <c r="AX54" s="144"/>
      <c r="AY54" s="144"/>
      <c r="AZ54" s="144"/>
      <c r="BA54" s="144"/>
      <c r="BB54" s="144"/>
      <c r="BC54" s="144"/>
      <c r="BD54" s="144"/>
      <c r="BE54" s="144"/>
      <c r="BF54" s="144"/>
      <c r="BG54" s="50"/>
    </row>
    <row r="55" ht="11.25" customHeight="1">
      <c r="A55" s="125" t="s">
        <v>988</v>
      </c>
      <c r="B55" s="125"/>
      <c r="C55" s="125"/>
      <c r="D55" s="53"/>
      <c r="E55" s="91"/>
      <c r="F55" s="944"/>
      <c r="G55" s="952"/>
      <c r="H55" s="922" t="s">
        <v>91</v>
      </c>
      <c r="I55" s="945"/>
      <c r="J55" s="946"/>
      <c r="K55" s="449"/>
      <c r="L55" s="225"/>
      <c r="M55" s="219"/>
      <c r="N55" s="953"/>
      <c r="O55" s="954"/>
      <c r="P55" s="965"/>
      <c r="Q55" s="389"/>
      <c r="R55" s="459"/>
      <c r="S55" s="961"/>
      <c r="T55" s="459"/>
      <c r="U55" s="459"/>
      <c r="V55" s="459"/>
      <c r="W55" s="459"/>
      <c r="X55" s="459"/>
      <c r="Y55" s="459"/>
      <c r="Z55" s="956"/>
      <c r="AA55" s="957"/>
      <c r="AB55" s="173" t="s">
        <v>1025</v>
      </c>
      <c r="AC55" s="958"/>
      <c r="AD55" s="958"/>
      <c r="AE55" s="966"/>
      <c r="AF55" s="950"/>
      <c r="AG55" s="951"/>
      <c r="AH55" s="951"/>
      <c r="AI55" s="950"/>
      <c r="AJ55" s="951"/>
      <c r="AK55" s="951"/>
      <c r="AL55" s="920"/>
      <c r="AM55" s="144"/>
      <c r="AN55" s="144"/>
      <c r="AO55" s="144"/>
      <c r="AP55" s="144"/>
      <c r="AQ55" s="144"/>
      <c r="AR55" s="144"/>
      <c r="AS55" s="144"/>
      <c r="AT55" s="144"/>
      <c r="AU55" s="144"/>
      <c r="AV55" s="144"/>
      <c r="AW55" s="144"/>
      <c r="AX55" s="144"/>
      <c r="AY55" s="144"/>
      <c r="AZ55" s="144"/>
      <c r="BA55" s="144"/>
      <c r="BB55" s="144"/>
      <c r="BC55" s="144"/>
      <c r="BD55" s="144"/>
      <c r="BE55" s="144"/>
      <c r="BF55" s="144"/>
      <c r="BG55" s="50"/>
    </row>
    <row r="56" ht="11.25" customHeight="1">
      <c r="A56" s="125" t="s">
        <v>988</v>
      </c>
      <c r="B56" s="125"/>
      <c r="C56" s="125"/>
      <c r="D56" s="53"/>
      <c r="E56" s="91"/>
      <c r="F56" s="944"/>
      <c r="G56" s="952"/>
      <c r="H56" s="922" t="s">
        <v>91</v>
      </c>
      <c r="I56" s="945"/>
      <c r="J56" s="946"/>
      <c r="K56" s="449"/>
      <c r="L56" s="225"/>
      <c r="M56" s="219"/>
      <c r="N56" s="956"/>
      <c r="O56" s="957"/>
      <c r="P56" s="173" t="s">
        <v>1026</v>
      </c>
      <c r="Q56" s="957"/>
      <c r="R56" s="957"/>
      <c r="S56" s="957"/>
      <c r="T56" s="957"/>
      <c r="U56" s="957"/>
      <c r="V56" s="957"/>
      <c r="W56" s="957"/>
      <c r="X56" s="957"/>
      <c r="Y56" s="957"/>
      <c r="Z56" s="957"/>
      <c r="AA56" s="957"/>
      <c r="AB56" s="957"/>
      <c r="AC56" s="957"/>
      <c r="AD56" s="957"/>
      <c r="AE56" s="967"/>
      <c r="AF56" s="950"/>
      <c r="AG56" s="951"/>
      <c r="AH56" s="951"/>
      <c r="AI56" s="950"/>
      <c r="AJ56" s="951"/>
      <c r="AK56" s="951"/>
      <c r="AL56" s="920"/>
      <c r="AM56" s="144"/>
      <c r="AN56" s="144"/>
      <c r="AO56" s="144"/>
      <c r="AP56" s="144"/>
      <c r="AQ56" s="144"/>
      <c r="AR56" s="144"/>
      <c r="AS56" s="144"/>
      <c r="AT56" s="144"/>
      <c r="AU56" s="144"/>
      <c r="AV56" s="144"/>
      <c r="AW56" s="144"/>
      <c r="AX56" s="144"/>
      <c r="AY56" s="144"/>
      <c r="AZ56" s="144"/>
      <c r="BA56" s="144"/>
      <c r="BB56" s="144"/>
      <c r="BC56" s="144"/>
      <c r="BD56" s="144"/>
      <c r="BE56" s="144"/>
      <c r="BF56" s="144"/>
      <c r="BG56" s="50"/>
    </row>
    <row r="57" ht="12" customHeight="1">
      <c r="A57" s="125" t="s">
        <v>988</v>
      </c>
      <c r="B57" s="125"/>
      <c r="C57" s="125"/>
      <c r="D57" s="53"/>
      <c r="E57" s="91"/>
      <c r="F57" s="971"/>
      <c r="G57" s="972"/>
      <c r="H57" s="972"/>
      <c r="I57" s="973" t="s">
        <v>1038</v>
      </c>
      <c r="J57" s="973"/>
      <c r="K57" s="973"/>
      <c r="L57" s="974"/>
      <c r="M57" s="974"/>
      <c r="N57" s="975"/>
      <c r="O57" s="975"/>
      <c r="P57" s="975"/>
      <c r="Q57" s="975"/>
      <c r="R57" s="975"/>
      <c r="S57" s="975"/>
      <c r="T57" s="975"/>
      <c r="U57" s="975"/>
      <c r="V57" s="975"/>
      <c r="W57" s="975"/>
      <c r="X57" s="975"/>
      <c r="Y57" s="975"/>
      <c r="Z57" s="975"/>
      <c r="AA57" s="975"/>
      <c r="AB57" s="975"/>
      <c r="AC57" s="975"/>
      <c r="AD57" s="975"/>
      <c r="AE57" s="975"/>
      <c r="AF57" s="975"/>
      <c r="AG57" s="974"/>
      <c r="AH57" s="974"/>
      <c r="AI57" s="975"/>
      <c r="AJ57" s="974"/>
      <c r="AK57" s="975"/>
      <c r="AL57" s="920"/>
      <c r="AM57" s="144"/>
      <c r="AN57" s="144"/>
      <c r="AO57" s="144"/>
      <c r="AP57" s="144"/>
      <c r="AQ57" s="144"/>
      <c r="AR57" s="144"/>
      <c r="AS57" s="144"/>
      <c r="AT57" s="144"/>
      <c r="AU57" s="144"/>
      <c r="AV57" s="144"/>
      <c r="AW57" s="144"/>
      <c r="AX57" s="144"/>
      <c r="AY57" s="144"/>
      <c r="AZ57" s="144"/>
      <c r="BA57" s="144"/>
      <c r="BB57" s="144"/>
      <c r="BC57" s="144"/>
      <c r="BD57" s="144"/>
      <c r="BE57" s="144"/>
      <c r="BF57" s="144"/>
      <c r="BG57" s="50"/>
    </row>
    <row r="58" ht="0.75" customHeight="1">
      <c r="A58" s="125" t="s">
        <v>988</v>
      </c>
      <c r="B58" s="125"/>
      <c r="C58" s="125"/>
      <c r="D58" s="53"/>
      <c r="E58" s="91"/>
      <c r="F58" s="921">
        <v>2026</v>
      </c>
      <c r="G58" s="922"/>
      <c r="H58" s="923" t="s">
        <v>370</v>
      </c>
      <c r="I58" s="924"/>
      <c r="J58" s="161"/>
      <c r="K58" s="161"/>
      <c r="L58" s="925"/>
      <c r="M58" s="537"/>
      <c r="N58" s="926"/>
      <c r="O58" s="927"/>
      <c r="P58" s="926"/>
      <c r="Q58" s="926"/>
      <c r="R58" s="926"/>
      <c r="S58" s="926"/>
      <c r="T58" s="926"/>
      <c r="U58" s="926"/>
      <c r="V58" s="926"/>
      <c r="W58" s="926"/>
      <c r="X58" s="926"/>
      <c r="Y58" s="926"/>
      <c r="Z58" s="926"/>
      <c r="AA58" s="926"/>
      <c r="AB58" s="926"/>
      <c r="AC58" s="926"/>
      <c r="AD58" s="926"/>
      <c r="AE58" s="926"/>
      <c r="AF58" s="928"/>
      <c r="AG58" s="925"/>
      <c r="AH58" s="925"/>
      <c r="AI58" s="928"/>
      <c r="AJ58" s="925"/>
      <c r="AK58" s="925"/>
      <c r="AL58" s="920"/>
      <c r="AM58" s="144"/>
      <c r="AN58" s="144"/>
      <c r="AO58" s="144"/>
      <c r="AP58" s="144"/>
      <c r="AQ58" s="144"/>
      <c r="AR58" s="144"/>
      <c r="AS58" s="144"/>
      <c r="AT58" s="144"/>
      <c r="AU58" s="144"/>
      <c r="AV58" s="144"/>
      <c r="AW58" s="144"/>
      <c r="AX58" s="144"/>
      <c r="AY58" s="144"/>
      <c r="AZ58" s="144"/>
      <c r="BA58" s="144"/>
      <c r="BB58" s="144"/>
      <c r="BC58" s="144"/>
      <c r="BD58" s="144"/>
      <c r="BE58" s="144"/>
      <c r="BF58" s="144"/>
      <c r="BG58" s="50"/>
    </row>
    <row r="59" ht="0.75" customHeight="1">
      <c r="A59" s="125" t="s">
        <v>988</v>
      </c>
      <c r="B59" s="125"/>
      <c r="C59" s="125"/>
      <c r="D59" s="53"/>
      <c r="E59" s="91"/>
      <c r="F59" s="921"/>
      <c r="G59" s="922"/>
      <c r="H59" s="923"/>
      <c r="I59" s="924"/>
      <c r="J59" s="161"/>
      <c r="K59" s="161"/>
      <c r="L59" s="925"/>
      <c r="M59" s="537"/>
      <c r="N59" s="929"/>
      <c r="O59" s="930"/>
      <c r="P59" s="931"/>
      <c r="Q59" s="161"/>
      <c r="R59" s="161"/>
      <c r="S59" s="161"/>
      <c r="T59" s="161"/>
      <c r="U59" s="161"/>
      <c r="V59" s="161"/>
      <c r="W59" s="161"/>
      <c r="X59" s="161"/>
      <c r="Y59" s="161"/>
      <c r="Z59" s="932"/>
      <c r="AA59" s="933"/>
      <c r="AB59" s="933"/>
      <c r="AC59" s="934"/>
      <c r="AD59" s="934"/>
      <c r="AE59" s="935"/>
      <c r="AF59" s="928"/>
      <c r="AG59" s="925"/>
      <c r="AH59" s="925"/>
      <c r="AI59" s="928"/>
      <c r="AJ59" s="925"/>
      <c r="AK59" s="925"/>
      <c r="AL59" s="920"/>
      <c r="AM59" s="144"/>
      <c r="AN59" s="144"/>
      <c r="AO59" s="144"/>
      <c r="AP59" s="144"/>
      <c r="AQ59" s="144"/>
      <c r="AR59" s="144"/>
      <c r="AS59" s="144"/>
      <c r="AT59" s="144"/>
      <c r="AU59" s="144"/>
      <c r="AV59" s="144"/>
      <c r="AW59" s="144"/>
      <c r="AX59" s="144"/>
      <c r="AY59" s="144"/>
      <c r="AZ59" s="144"/>
      <c r="BA59" s="144"/>
      <c r="BB59" s="144"/>
      <c r="BC59" s="144"/>
      <c r="BD59" s="144"/>
      <c r="BE59" s="144"/>
      <c r="BF59" s="144"/>
      <c r="BG59" s="50"/>
    </row>
    <row r="60" ht="0.75" customHeight="1">
      <c r="A60" s="125" t="s">
        <v>988</v>
      </c>
      <c r="B60" s="125"/>
      <c r="C60" s="125"/>
      <c r="D60" s="53"/>
      <c r="E60" s="91"/>
      <c r="F60" s="921"/>
      <c r="G60" s="922"/>
      <c r="H60" s="923"/>
      <c r="I60" s="924"/>
      <c r="J60" s="161"/>
      <c r="K60" s="161"/>
      <c r="L60" s="925"/>
      <c r="M60" s="537"/>
      <c r="N60" s="929"/>
      <c r="O60" s="930"/>
      <c r="P60" s="936"/>
      <c r="Q60" s="161"/>
      <c r="R60" s="161"/>
      <c r="S60" s="161"/>
      <c r="T60" s="161"/>
      <c r="U60" s="161"/>
      <c r="V60" s="161"/>
      <c r="W60" s="161"/>
      <c r="X60" s="161"/>
      <c r="Y60" s="161"/>
      <c r="Z60" s="937"/>
      <c r="AA60" s="930"/>
      <c r="AB60" s="938"/>
      <c r="AC60" s="939"/>
      <c r="AD60" s="938"/>
      <c r="AE60" s="939"/>
      <c r="AF60" s="928"/>
      <c r="AG60" s="925"/>
      <c r="AH60" s="925"/>
      <c r="AI60" s="928"/>
      <c r="AJ60" s="925"/>
      <c r="AK60" s="925"/>
      <c r="AL60" s="920"/>
      <c r="AM60" s="144"/>
      <c r="AN60" s="144"/>
      <c r="AO60" s="144"/>
      <c r="AP60" s="144"/>
      <c r="AQ60" s="144"/>
      <c r="AR60" s="144"/>
      <c r="AS60" s="144"/>
      <c r="AT60" s="144"/>
      <c r="AU60" s="144"/>
      <c r="AV60" s="144"/>
      <c r="AW60" s="144"/>
      <c r="AX60" s="144"/>
      <c r="AY60" s="144"/>
      <c r="AZ60" s="144"/>
      <c r="BA60" s="144"/>
      <c r="BB60" s="144"/>
      <c r="BC60" s="144"/>
      <c r="BD60" s="144"/>
      <c r="BE60" s="144"/>
      <c r="BF60" s="144"/>
      <c r="BG60" s="50"/>
    </row>
    <row r="61" ht="0.75" customHeight="1">
      <c r="A61" s="125" t="s">
        <v>988</v>
      </c>
      <c r="B61" s="125"/>
      <c r="C61" s="125"/>
      <c r="D61" s="53"/>
      <c r="E61" s="91"/>
      <c r="F61" s="921"/>
      <c r="G61" s="922"/>
      <c r="H61" s="923"/>
      <c r="I61" s="924"/>
      <c r="J61" s="161"/>
      <c r="K61" s="161"/>
      <c r="L61" s="925"/>
      <c r="M61" s="537"/>
      <c r="N61" s="929"/>
      <c r="O61" s="930"/>
      <c r="P61" s="940"/>
      <c r="Q61" s="161"/>
      <c r="R61" s="161"/>
      <c r="S61" s="161"/>
      <c r="T61" s="161"/>
      <c r="U61" s="161"/>
      <c r="V61" s="161"/>
      <c r="W61" s="161"/>
      <c r="X61" s="161"/>
      <c r="Y61" s="161"/>
      <c r="Z61" s="932"/>
      <c r="AA61" s="933"/>
      <c r="AB61" s="941"/>
      <c r="AC61" s="934"/>
      <c r="AD61" s="934"/>
      <c r="AE61" s="942"/>
      <c r="AF61" s="928"/>
      <c r="AG61" s="925"/>
      <c r="AH61" s="925"/>
      <c r="AI61" s="928"/>
      <c r="AJ61" s="925"/>
      <c r="AK61" s="925"/>
      <c r="AL61" s="920"/>
      <c r="AM61" s="144"/>
      <c r="AN61" s="144"/>
      <c r="AO61" s="144"/>
      <c r="AP61" s="144"/>
      <c r="AQ61" s="144"/>
      <c r="AR61" s="144"/>
      <c r="AS61" s="144"/>
      <c r="AT61" s="144"/>
      <c r="AU61" s="144"/>
      <c r="AV61" s="144"/>
      <c r="AW61" s="144"/>
      <c r="AX61" s="144"/>
      <c r="AY61" s="144"/>
      <c r="AZ61" s="144"/>
      <c r="BA61" s="144"/>
      <c r="BB61" s="144"/>
      <c r="BC61" s="144"/>
      <c r="BD61" s="144"/>
      <c r="BE61" s="144"/>
      <c r="BF61" s="144"/>
      <c r="BG61" s="50"/>
    </row>
    <row r="62" ht="0.75" customHeight="1">
      <c r="A62" s="125" t="s">
        <v>988</v>
      </c>
      <c r="B62" s="125"/>
      <c r="C62" s="125"/>
      <c r="D62" s="53"/>
      <c r="E62" s="91"/>
      <c r="F62" s="921"/>
      <c r="G62" s="922"/>
      <c r="H62" s="923"/>
      <c r="I62" s="924"/>
      <c r="J62" s="161"/>
      <c r="K62" s="161"/>
      <c r="L62" s="925"/>
      <c r="M62" s="537"/>
      <c r="N62" s="933"/>
      <c r="O62" s="933"/>
      <c r="P62" s="941"/>
      <c r="Q62" s="933"/>
      <c r="R62" s="933"/>
      <c r="S62" s="933"/>
      <c r="T62" s="933"/>
      <c r="U62" s="933"/>
      <c r="V62" s="933"/>
      <c r="W62" s="933"/>
      <c r="X62" s="933"/>
      <c r="Y62" s="933"/>
      <c r="Z62" s="933"/>
      <c r="AA62" s="933"/>
      <c r="AB62" s="933"/>
      <c r="AC62" s="933"/>
      <c r="AD62" s="933"/>
      <c r="AE62" s="943"/>
      <c r="AF62" s="928"/>
      <c r="AG62" s="925"/>
      <c r="AH62" s="925"/>
      <c r="AI62" s="928"/>
      <c r="AJ62" s="925"/>
      <c r="AK62" s="925"/>
      <c r="AL62" s="920"/>
      <c r="AM62" s="144"/>
      <c r="AN62" s="144"/>
      <c r="AO62" s="144"/>
      <c r="AP62" s="144"/>
      <c r="AQ62" s="144"/>
      <c r="AR62" s="144"/>
      <c r="AS62" s="144"/>
      <c r="AT62" s="144"/>
      <c r="AU62" s="144"/>
      <c r="AV62" s="144"/>
      <c r="AW62" s="144"/>
      <c r="AX62" s="144"/>
      <c r="AY62" s="144"/>
      <c r="AZ62" s="144"/>
      <c r="BA62" s="144"/>
      <c r="BB62" s="144"/>
      <c r="BC62" s="144"/>
      <c r="BD62" s="144"/>
      <c r="BE62" s="144"/>
      <c r="BF62" s="144"/>
      <c r="BG62" s="50"/>
    </row>
    <row r="63" ht="11.25" customHeight="1">
      <c r="A63" s="125" t="s">
        <v>988</v>
      </c>
      <c r="B63" s="125" t="s">
        <v>22</v>
      </c>
      <c r="C63" s="125"/>
      <c r="D63" s="53"/>
      <c r="E63" s="91"/>
      <c r="F63" s="944"/>
      <c r="G63" s="150" t="s">
        <v>683</v>
      </c>
      <c r="H63" s="922" t="s">
        <v>105</v>
      </c>
      <c r="I63" s="945" t="s">
        <v>1020</v>
      </c>
      <c r="J63" s="946" t="s">
        <v>22</v>
      </c>
      <c r="K63" s="449" t="s">
        <v>1039</v>
      </c>
      <c r="L63" s="225" t="s">
        <v>19</v>
      </c>
      <c r="M63" s="219"/>
      <c r="N63" s="947"/>
      <c r="O63" s="948" t="s">
        <v>370</v>
      </c>
      <c r="P63" s="949"/>
      <c r="Q63" s="949"/>
      <c r="R63" s="949"/>
      <c r="S63" s="949"/>
      <c r="T63" s="949"/>
      <c r="U63" s="949"/>
      <c r="V63" s="949"/>
      <c r="W63" s="949"/>
      <c r="X63" s="949"/>
      <c r="Y63" s="949"/>
      <c r="Z63" s="949"/>
      <c r="AA63" s="949"/>
      <c r="AB63" s="949"/>
      <c r="AC63" s="949"/>
      <c r="AD63" s="949"/>
      <c r="AE63" s="949"/>
      <c r="AF63" s="950">
        <v>5</v>
      </c>
      <c r="AG63" s="951" t="s">
        <v>1022</v>
      </c>
      <c r="AH63" s="951" t="s">
        <v>1023</v>
      </c>
      <c r="AI63" s="950"/>
      <c r="AJ63" s="951"/>
      <c r="AK63" s="951"/>
      <c r="AL63" s="920"/>
      <c r="AM63" s="144"/>
      <c r="AN63" s="144"/>
      <c r="AO63" s="144"/>
      <c r="AP63" s="144"/>
      <c r="AQ63" s="144"/>
      <c r="AR63" s="144"/>
      <c r="AS63" s="144"/>
      <c r="AT63" s="144"/>
      <c r="AU63" s="144"/>
      <c r="AV63" s="144"/>
      <c r="AW63" s="144"/>
      <c r="AX63" s="144"/>
      <c r="AY63" s="144"/>
      <c r="AZ63" s="144"/>
      <c r="BA63" s="144"/>
      <c r="BB63" s="144"/>
      <c r="BC63" s="144"/>
      <c r="BD63" s="144"/>
      <c r="BE63" s="144"/>
      <c r="BF63" s="144"/>
      <c r="BG63" s="50"/>
    </row>
    <row r="64" ht="11.25" customHeight="1">
      <c r="A64" s="125" t="s">
        <v>988</v>
      </c>
      <c r="B64" s="125"/>
      <c r="C64" s="125"/>
      <c r="D64" s="53"/>
      <c r="E64" s="91"/>
      <c r="F64" s="944"/>
      <c r="G64" s="952"/>
      <c r="H64" s="922" t="s">
        <v>370</v>
      </c>
      <c r="I64" s="945"/>
      <c r="J64" s="946"/>
      <c r="K64" s="449"/>
      <c r="L64" s="225"/>
      <c r="M64" s="219"/>
      <c r="N64" s="953"/>
      <c r="O64" s="954">
        <v>1</v>
      </c>
      <c r="P64" s="955" t="s">
        <v>19</v>
      </c>
      <c r="Q64" s="946" t="s">
        <v>22</v>
      </c>
      <c r="R64" s="946" t="s">
        <v>22</v>
      </c>
      <c r="S64" s="946" t="s">
        <v>22</v>
      </c>
      <c r="T64" s="946" t="s">
        <v>22</v>
      </c>
      <c r="U64" s="946" t="s">
        <v>22</v>
      </c>
      <c r="V64" s="946" t="s">
        <v>22</v>
      </c>
      <c r="W64" s="946" t="s">
        <v>22</v>
      </c>
      <c r="X64" s="946" t="s">
        <v>22</v>
      </c>
      <c r="Y64" s="946" t="s">
        <v>22</v>
      </c>
      <c r="Z64" s="956"/>
      <c r="AA64" s="957"/>
      <c r="AB64" s="957"/>
      <c r="AC64" s="958"/>
      <c r="AD64" s="958"/>
      <c r="AE64" s="959"/>
      <c r="AF64" s="950"/>
      <c r="AG64" s="951"/>
      <c r="AH64" s="951"/>
      <c r="AI64" s="950"/>
      <c r="AJ64" s="951"/>
      <c r="AK64" s="951"/>
      <c r="AL64" s="920"/>
      <c r="AM64" s="144"/>
      <c r="AN64" s="144"/>
      <c r="AO64" s="144"/>
      <c r="AP64" s="144"/>
      <c r="AQ64" s="144"/>
      <c r="AR64" s="144"/>
      <c r="AS64" s="144"/>
      <c r="AT64" s="144"/>
      <c r="AU64" s="144"/>
      <c r="AV64" s="144"/>
      <c r="AW64" s="144"/>
      <c r="AX64" s="144"/>
      <c r="AY64" s="144"/>
      <c r="AZ64" s="144"/>
      <c r="BA64" s="144"/>
      <c r="BB64" s="144"/>
      <c r="BC64" s="144"/>
      <c r="BD64" s="144"/>
      <c r="BE64" s="144"/>
      <c r="BF64" s="144"/>
      <c r="BG64" s="50"/>
    </row>
    <row r="65" ht="11.25" customHeight="1">
      <c r="A65" s="125" t="s">
        <v>988</v>
      </c>
      <c r="B65" s="125"/>
      <c r="C65" s="125"/>
      <c r="D65" s="53"/>
      <c r="E65" s="91"/>
      <c r="F65" s="944"/>
      <c r="G65" s="952"/>
      <c r="H65" s="922" t="s">
        <v>370</v>
      </c>
      <c r="I65" s="945"/>
      <c r="J65" s="946"/>
      <c r="K65" s="449"/>
      <c r="L65" s="225"/>
      <c r="M65" s="219"/>
      <c r="N65" s="953"/>
      <c r="O65" s="954"/>
      <c r="P65" s="960"/>
      <c r="Q65" s="389"/>
      <c r="R65" s="459"/>
      <c r="S65" s="961"/>
      <c r="T65" s="459"/>
      <c r="U65" s="459"/>
      <c r="V65" s="459"/>
      <c r="W65" s="459"/>
      <c r="X65" s="459"/>
      <c r="Y65" s="459"/>
      <c r="Z65" s="962"/>
      <c r="AA65" s="963">
        <v>1</v>
      </c>
      <c r="AB65" s="964" t="s">
        <v>1024</v>
      </c>
      <c r="AC65" s="857">
        <f>0.20701*5176.37</f>
        <v>1071.5603537</v>
      </c>
      <c r="AD65" s="964" t="str">
        <f t="shared" si="48"/>
        <v xml:space="preserve">     Амортизационные отчисления в результате переоценки основных средств и нематериальных активов</v>
      </c>
      <c r="AE65" s="857"/>
      <c r="AF65" s="950"/>
      <c r="AG65" s="951"/>
      <c r="AH65" s="951"/>
      <c r="AI65" s="950"/>
      <c r="AJ65" s="951"/>
      <c r="AK65" s="951"/>
      <c r="AL65" s="920"/>
      <c r="AM65" s="144"/>
      <c r="AN65" s="144"/>
      <c r="AO65" s="144"/>
      <c r="AP65" s="144"/>
      <c r="AQ65" s="144"/>
      <c r="AR65" s="144"/>
      <c r="AS65" s="144"/>
      <c r="AT65" s="144"/>
      <c r="AU65" s="144"/>
      <c r="AV65" s="144"/>
      <c r="AW65" s="144"/>
      <c r="AX65" s="144"/>
      <c r="AY65" s="144"/>
      <c r="AZ65" s="144"/>
      <c r="BA65" s="144"/>
      <c r="BB65" s="144"/>
      <c r="BC65" s="144"/>
      <c r="BD65" s="144"/>
      <c r="BE65" s="144"/>
      <c r="BF65" s="144"/>
      <c r="BG65" s="50"/>
    </row>
    <row r="66" ht="11.25" customHeight="1">
      <c r="A66" s="125" t="s">
        <v>988</v>
      </c>
      <c r="B66" s="125"/>
      <c r="C66" s="125"/>
      <c r="D66" s="53"/>
      <c r="E66" s="91"/>
      <c r="F66" s="944"/>
      <c r="G66" s="952"/>
      <c r="H66" s="922" t="s">
        <v>370</v>
      </c>
      <c r="I66" s="945"/>
      <c r="J66" s="946"/>
      <c r="K66" s="449"/>
      <c r="L66" s="225"/>
      <c r="M66" s="219"/>
      <c r="N66" s="953"/>
      <c r="O66" s="954"/>
      <c r="P66" s="965"/>
      <c r="Q66" s="389"/>
      <c r="R66" s="459"/>
      <c r="S66" s="961"/>
      <c r="T66" s="459"/>
      <c r="U66" s="459"/>
      <c r="V66" s="459"/>
      <c r="W66" s="459"/>
      <c r="X66" s="459"/>
      <c r="Y66" s="459"/>
      <c r="Z66" s="956"/>
      <c r="AA66" s="957"/>
      <c r="AB66" s="173" t="s">
        <v>1025</v>
      </c>
      <c r="AC66" s="958"/>
      <c r="AD66" s="958"/>
      <c r="AE66" s="966"/>
      <c r="AF66" s="950"/>
      <c r="AG66" s="951"/>
      <c r="AH66" s="951"/>
      <c r="AI66" s="950"/>
      <c r="AJ66" s="951"/>
      <c r="AK66" s="951"/>
      <c r="AL66" s="920"/>
      <c r="AM66" s="144"/>
      <c r="AN66" s="144"/>
      <c r="AO66" s="144"/>
      <c r="AP66" s="144"/>
      <c r="AQ66" s="144"/>
      <c r="AR66" s="144"/>
      <c r="AS66" s="144"/>
      <c r="AT66" s="144"/>
      <c r="AU66" s="144"/>
      <c r="AV66" s="144"/>
      <c r="AW66" s="144"/>
      <c r="AX66" s="144"/>
      <c r="AY66" s="144"/>
      <c r="AZ66" s="144"/>
      <c r="BA66" s="144"/>
      <c r="BB66" s="144"/>
      <c r="BC66" s="144"/>
      <c r="BD66" s="144"/>
      <c r="BE66" s="144"/>
      <c r="BF66" s="144"/>
      <c r="BG66" s="50"/>
    </row>
    <row r="67" ht="11.25" customHeight="1">
      <c r="A67" s="125" t="s">
        <v>988</v>
      </c>
      <c r="B67" s="125"/>
      <c r="C67" s="125"/>
      <c r="D67" s="53"/>
      <c r="E67" s="91"/>
      <c r="F67" s="944"/>
      <c r="G67" s="952"/>
      <c r="H67" s="922" t="s">
        <v>370</v>
      </c>
      <c r="I67" s="945"/>
      <c r="J67" s="946"/>
      <c r="K67" s="449"/>
      <c r="L67" s="225"/>
      <c r="M67" s="219"/>
      <c r="N67" s="956"/>
      <c r="O67" s="957"/>
      <c r="P67" s="173" t="s">
        <v>1026</v>
      </c>
      <c r="Q67" s="957"/>
      <c r="R67" s="957"/>
      <c r="S67" s="957"/>
      <c r="T67" s="957"/>
      <c r="U67" s="957"/>
      <c r="V67" s="957"/>
      <c r="W67" s="957"/>
      <c r="X67" s="957"/>
      <c r="Y67" s="957"/>
      <c r="Z67" s="957"/>
      <c r="AA67" s="957"/>
      <c r="AB67" s="957"/>
      <c r="AC67" s="957"/>
      <c r="AD67" s="957"/>
      <c r="AE67" s="967"/>
      <c r="AF67" s="950"/>
      <c r="AG67" s="951"/>
      <c r="AH67" s="951"/>
      <c r="AI67" s="950"/>
      <c r="AJ67" s="951"/>
      <c r="AK67" s="951"/>
      <c r="AL67" s="920"/>
      <c r="AM67" s="144"/>
      <c r="AN67" s="144"/>
      <c r="AO67" s="144"/>
      <c r="AP67" s="144"/>
      <c r="AQ67" s="144"/>
      <c r="AR67" s="144"/>
      <c r="AS67" s="144"/>
      <c r="AT67" s="144"/>
      <c r="AU67" s="144"/>
      <c r="AV67" s="144"/>
      <c r="AW67" s="144"/>
      <c r="AX67" s="144"/>
      <c r="AY67" s="144"/>
      <c r="AZ67" s="144"/>
      <c r="BA67" s="144"/>
      <c r="BB67" s="144"/>
      <c r="BC67" s="144"/>
      <c r="BD67" s="144"/>
      <c r="BE67" s="144"/>
      <c r="BF67" s="144"/>
      <c r="BG67" s="50"/>
    </row>
    <row r="68" ht="11.25" customHeight="1">
      <c r="A68" s="125" t="s">
        <v>988</v>
      </c>
      <c r="B68" s="125" t="s">
        <v>22</v>
      </c>
      <c r="C68" s="125"/>
      <c r="D68" s="53"/>
      <c r="E68" s="91"/>
      <c r="F68" s="944"/>
      <c r="G68" s="150" t="s">
        <v>683</v>
      </c>
      <c r="H68" s="922" t="s">
        <v>106</v>
      </c>
      <c r="I68" s="945" t="s">
        <v>1020</v>
      </c>
      <c r="J68" s="946" t="s">
        <v>22</v>
      </c>
      <c r="K68" s="449" t="s">
        <v>1039</v>
      </c>
      <c r="L68" s="225" t="s">
        <v>19</v>
      </c>
      <c r="M68" s="219"/>
      <c r="N68" s="947"/>
      <c r="O68" s="948" t="s">
        <v>370</v>
      </c>
      <c r="P68" s="949"/>
      <c r="Q68" s="949"/>
      <c r="R68" s="949"/>
      <c r="S68" s="949"/>
      <c r="T68" s="949"/>
      <c r="U68" s="949"/>
      <c r="V68" s="949"/>
      <c r="W68" s="949"/>
      <c r="X68" s="949"/>
      <c r="Y68" s="949"/>
      <c r="Z68" s="949"/>
      <c r="AA68" s="949"/>
      <c r="AB68" s="949"/>
      <c r="AC68" s="949"/>
      <c r="AD68" s="949"/>
      <c r="AE68" s="949"/>
      <c r="AF68" s="950">
        <v>3</v>
      </c>
      <c r="AG68" s="951" t="s">
        <v>1022</v>
      </c>
      <c r="AH68" s="951" t="s">
        <v>1028</v>
      </c>
      <c r="AI68" s="950"/>
      <c r="AJ68" s="951"/>
      <c r="AK68" s="951"/>
      <c r="AL68" s="920"/>
      <c r="AM68" s="144"/>
      <c r="AN68" s="144"/>
      <c r="AO68" s="144"/>
      <c r="AP68" s="144"/>
      <c r="AQ68" s="144"/>
      <c r="AR68" s="144"/>
      <c r="AS68" s="144"/>
      <c r="AT68" s="144"/>
      <c r="AU68" s="144"/>
      <c r="AV68" s="144"/>
      <c r="AW68" s="144"/>
      <c r="AX68" s="144"/>
      <c r="AY68" s="144"/>
      <c r="AZ68" s="144"/>
      <c r="BA68" s="144"/>
      <c r="BB68" s="144"/>
      <c r="BC68" s="144"/>
      <c r="BD68" s="144"/>
      <c r="BE68" s="144"/>
      <c r="BF68" s="144"/>
      <c r="BG68" s="50"/>
    </row>
    <row r="69" ht="11.25" customHeight="1">
      <c r="A69" s="125" t="s">
        <v>988</v>
      </c>
      <c r="B69" s="125"/>
      <c r="C69" s="125"/>
      <c r="D69" s="53"/>
      <c r="E69" s="91"/>
      <c r="F69" s="944"/>
      <c r="G69" s="952"/>
      <c r="H69" s="922" t="s">
        <v>105</v>
      </c>
      <c r="I69" s="945"/>
      <c r="J69" s="946"/>
      <c r="K69" s="449"/>
      <c r="L69" s="225"/>
      <c r="M69" s="219"/>
      <c r="N69" s="953"/>
      <c r="O69" s="954">
        <v>1</v>
      </c>
      <c r="P69" s="955" t="s">
        <v>19</v>
      </c>
      <c r="Q69" s="946" t="s">
        <v>22</v>
      </c>
      <c r="R69" s="946" t="s">
        <v>22</v>
      </c>
      <c r="S69" s="946" t="s">
        <v>22</v>
      </c>
      <c r="T69" s="946" t="s">
        <v>22</v>
      </c>
      <c r="U69" s="946" t="s">
        <v>22</v>
      </c>
      <c r="V69" s="946" t="s">
        <v>22</v>
      </c>
      <c r="W69" s="946" t="s">
        <v>22</v>
      </c>
      <c r="X69" s="946" t="s">
        <v>22</v>
      </c>
      <c r="Y69" s="946" t="s">
        <v>22</v>
      </c>
      <c r="Z69" s="956"/>
      <c r="AA69" s="957"/>
      <c r="AB69" s="957"/>
      <c r="AC69" s="958"/>
      <c r="AD69" s="958"/>
      <c r="AE69" s="959"/>
      <c r="AF69" s="950"/>
      <c r="AG69" s="951"/>
      <c r="AH69" s="951"/>
      <c r="AI69" s="950"/>
      <c r="AJ69" s="951"/>
      <c r="AK69" s="951"/>
      <c r="AL69" s="920"/>
      <c r="AM69" s="144"/>
      <c r="AN69" s="144"/>
      <c r="AO69" s="144"/>
      <c r="AP69" s="144"/>
      <c r="AQ69" s="144"/>
      <c r="AR69" s="144"/>
      <c r="AS69" s="144"/>
      <c r="AT69" s="144"/>
      <c r="AU69" s="144"/>
      <c r="AV69" s="144"/>
      <c r="AW69" s="144"/>
      <c r="AX69" s="144"/>
      <c r="AY69" s="144"/>
      <c r="AZ69" s="144"/>
      <c r="BA69" s="144"/>
      <c r="BB69" s="144"/>
      <c r="BC69" s="144"/>
      <c r="BD69" s="144"/>
      <c r="BE69" s="144"/>
      <c r="BF69" s="144"/>
      <c r="BG69" s="50"/>
    </row>
    <row r="70" ht="11.25" customHeight="1">
      <c r="A70" s="125" t="s">
        <v>988</v>
      </c>
      <c r="B70" s="125"/>
      <c r="C70" s="125"/>
      <c r="D70" s="53"/>
      <c r="E70" s="91"/>
      <c r="F70" s="944"/>
      <c r="G70" s="952"/>
      <c r="H70" s="922" t="s">
        <v>105</v>
      </c>
      <c r="I70" s="945"/>
      <c r="J70" s="946"/>
      <c r="K70" s="449"/>
      <c r="L70" s="225"/>
      <c r="M70" s="219"/>
      <c r="N70" s="953"/>
      <c r="O70" s="954"/>
      <c r="P70" s="960"/>
      <c r="Q70" s="389"/>
      <c r="R70" s="459"/>
      <c r="S70" s="961"/>
      <c r="T70" s="459"/>
      <c r="U70" s="459"/>
      <c r="V70" s="459"/>
      <c r="W70" s="459"/>
      <c r="X70" s="459"/>
      <c r="Y70" s="459"/>
      <c r="Z70" s="962"/>
      <c r="AA70" s="963">
        <v>1</v>
      </c>
      <c r="AB70" s="964" t="s">
        <v>1024</v>
      </c>
      <c r="AC70" s="857">
        <f>0.20701*779.43</f>
        <v>161.34980429999999</v>
      </c>
      <c r="AD70" s="964" t="str">
        <f t="shared" si="48"/>
        <v xml:space="preserve">     Амортизационные отчисления в результате переоценки основных средств и нематериальных активов</v>
      </c>
      <c r="AE70" s="857"/>
      <c r="AF70" s="950"/>
      <c r="AG70" s="951"/>
      <c r="AH70" s="951"/>
      <c r="AI70" s="950"/>
      <c r="AJ70" s="951"/>
      <c r="AK70" s="951"/>
      <c r="AL70" s="920"/>
      <c r="AM70" s="144"/>
      <c r="AN70" s="144"/>
      <c r="AO70" s="144"/>
      <c r="AP70" s="144"/>
      <c r="AQ70" s="144"/>
      <c r="AR70" s="144"/>
      <c r="AS70" s="144"/>
      <c r="AT70" s="144"/>
      <c r="AU70" s="144"/>
      <c r="AV70" s="144"/>
      <c r="AW70" s="144"/>
      <c r="AX70" s="144"/>
      <c r="AY70" s="144"/>
      <c r="AZ70" s="144"/>
      <c r="BA70" s="144"/>
      <c r="BB70" s="144"/>
      <c r="BC70" s="144"/>
      <c r="BD70" s="144"/>
      <c r="BE70" s="144"/>
      <c r="BF70" s="144"/>
      <c r="BG70" s="50"/>
    </row>
    <row r="71" ht="11.25" customHeight="1">
      <c r="A71" s="125" t="s">
        <v>988</v>
      </c>
      <c r="B71" s="125"/>
      <c r="C71" s="125"/>
      <c r="D71" s="53"/>
      <c r="E71" s="91"/>
      <c r="F71" s="952"/>
      <c r="G71" s="952"/>
      <c r="H71" s="952"/>
      <c r="I71" s="952"/>
      <c r="J71" s="952"/>
      <c r="K71" s="952"/>
      <c r="L71" s="952"/>
      <c r="M71" s="952"/>
      <c r="N71" s="952"/>
      <c r="O71" s="952"/>
      <c r="P71" s="952"/>
      <c r="Q71" s="952"/>
      <c r="R71" s="952"/>
      <c r="S71" s="952"/>
      <c r="T71" s="952"/>
      <c r="U71" s="952"/>
      <c r="V71" s="952"/>
      <c r="W71" s="952"/>
      <c r="X71" s="952"/>
      <c r="Y71" s="952"/>
      <c r="Z71" s="150" t="s">
        <v>683</v>
      </c>
      <c r="AA71" s="954" t="s">
        <v>106</v>
      </c>
      <c r="AB71" s="964" t="s">
        <v>1029</v>
      </c>
      <c r="AC71" s="857">
        <f>0.20701*8953.58</f>
        <v>1853.4805957999999</v>
      </c>
      <c r="AD71" s="964" t="str">
        <f t="shared" si="48"/>
        <v xml:space="preserve">  Прочие собственные средства</v>
      </c>
      <c r="AE71" s="857"/>
      <c r="AF71" s="968"/>
      <c r="AG71" s="969"/>
      <c r="AH71" s="969"/>
      <c r="AI71" s="968"/>
      <c r="AJ71" s="969"/>
      <c r="AK71" s="970"/>
      <c r="AL71" s="920"/>
      <c r="AM71" s="144"/>
      <c r="AN71" s="144"/>
      <c r="AO71" s="144"/>
      <c r="AP71" s="144"/>
      <c r="AQ71" s="144"/>
      <c r="AR71" s="144"/>
      <c r="AS71" s="144"/>
      <c r="AT71" s="144"/>
      <c r="AU71" s="144"/>
      <c r="AV71" s="144"/>
      <c r="AW71" s="144"/>
      <c r="AX71" s="144"/>
      <c r="AY71" s="144"/>
      <c r="AZ71" s="144"/>
      <c r="BA71" s="144"/>
      <c r="BB71" s="144"/>
      <c r="BC71" s="144"/>
      <c r="BD71" s="144"/>
      <c r="BE71" s="144"/>
      <c r="BF71" s="144"/>
      <c r="BG71" s="50"/>
    </row>
    <row r="72" ht="11.25" customHeight="1">
      <c r="A72" s="125" t="s">
        <v>988</v>
      </c>
      <c r="B72" s="125"/>
      <c r="C72" s="125"/>
      <c r="D72" s="53"/>
      <c r="E72" s="91"/>
      <c r="F72" s="944"/>
      <c r="G72" s="952"/>
      <c r="H72" s="922" t="s">
        <v>105</v>
      </c>
      <c r="I72" s="945"/>
      <c r="J72" s="946"/>
      <c r="K72" s="449"/>
      <c r="L72" s="225"/>
      <c r="M72" s="219"/>
      <c r="N72" s="953"/>
      <c r="O72" s="954"/>
      <c r="P72" s="965"/>
      <c r="Q72" s="389"/>
      <c r="R72" s="459"/>
      <c r="S72" s="961"/>
      <c r="T72" s="459"/>
      <c r="U72" s="459"/>
      <c r="V72" s="459"/>
      <c r="W72" s="459"/>
      <c r="X72" s="459"/>
      <c r="Y72" s="459"/>
      <c r="Z72" s="956"/>
      <c r="AA72" s="957"/>
      <c r="AB72" s="173" t="s">
        <v>1025</v>
      </c>
      <c r="AC72" s="958"/>
      <c r="AD72" s="958"/>
      <c r="AE72" s="966"/>
      <c r="AF72" s="950"/>
      <c r="AG72" s="951"/>
      <c r="AH72" s="951"/>
      <c r="AI72" s="950"/>
      <c r="AJ72" s="951"/>
      <c r="AK72" s="951"/>
      <c r="AL72" s="920"/>
      <c r="AM72" s="144"/>
      <c r="AN72" s="144"/>
      <c r="AO72" s="144"/>
      <c r="AP72" s="144"/>
      <c r="AQ72" s="144"/>
      <c r="AR72" s="144"/>
      <c r="AS72" s="144"/>
      <c r="AT72" s="144"/>
      <c r="AU72" s="144"/>
      <c r="AV72" s="144"/>
      <c r="AW72" s="144"/>
      <c r="AX72" s="144"/>
      <c r="AY72" s="144"/>
      <c r="AZ72" s="144"/>
      <c r="BA72" s="144"/>
      <c r="BB72" s="144"/>
      <c r="BC72" s="144"/>
      <c r="BD72" s="144"/>
      <c r="BE72" s="144"/>
      <c r="BF72" s="144"/>
      <c r="BG72" s="50"/>
    </row>
    <row r="73" ht="11.25" customHeight="1">
      <c r="A73" s="125" t="s">
        <v>988</v>
      </c>
      <c r="B73" s="125"/>
      <c r="C73" s="125"/>
      <c r="D73" s="53"/>
      <c r="E73" s="91"/>
      <c r="F73" s="944"/>
      <c r="G73" s="952"/>
      <c r="H73" s="922" t="s">
        <v>105</v>
      </c>
      <c r="I73" s="945"/>
      <c r="J73" s="946"/>
      <c r="K73" s="449"/>
      <c r="L73" s="225"/>
      <c r="M73" s="219"/>
      <c r="N73" s="956"/>
      <c r="O73" s="957"/>
      <c r="P73" s="173" t="s">
        <v>1026</v>
      </c>
      <c r="Q73" s="957"/>
      <c r="R73" s="957"/>
      <c r="S73" s="957"/>
      <c r="T73" s="957"/>
      <c r="U73" s="957"/>
      <c r="V73" s="957"/>
      <c r="W73" s="957"/>
      <c r="X73" s="957"/>
      <c r="Y73" s="957"/>
      <c r="Z73" s="957"/>
      <c r="AA73" s="957"/>
      <c r="AB73" s="957"/>
      <c r="AC73" s="957"/>
      <c r="AD73" s="957"/>
      <c r="AE73" s="967"/>
      <c r="AF73" s="950"/>
      <c r="AG73" s="951"/>
      <c r="AH73" s="951"/>
      <c r="AI73" s="950"/>
      <c r="AJ73" s="951"/>
      <c r="AK73" s="951"/>
      <c r="AL73" s="920"/>
      <c r="AM73" s="144"/>
      <c r="AN73" s="144"/>
      <c r="AO73" s="144"/>
      <c r="AP73" s="144"/>
      <c r="AQ73" s="144"/>
      <c r="AR73" s="144"/>
      <c r="AS73" s="144"/>
      <c r="AT73" s="144"/>
      <c r="AU73" s="144"/>
      <c r="AV73" s="144"/>
      <c r="AW73" s="144"/>
      <c r="AX73" s="144"/>
      <c r="AY73" s="144"/>
      <c r="AZ73" s="144"/>
      <c r="BA73" s="144"/>
      <c r="BB73" s="144"/>
      <c r="BC73" s="144"/>
      <c r="BD73" s="144"/>
      <c r="BE73" s="144"/>
      <c r="BF73" s="144"/>
      <c r="BG73" s="50"/>
    </row>
    <row r="74" ht="11.25" customHeight="1">
      <c r="A74" s="125" t="s">
        <v>988</v>
      </c>
      <c r="B74" s="125" t="s">
        <v>22</v>
      </c>
      <c r="C74" s="125"/>
      <c r="D74" s="53"/>
      <c r="E74" s="91"/>
      <c r="F74" s="944"/>
      <c r="G74" s="150" t="s">
        <v>683</v>
      </c>
      <c r="H74" s="922" t="s">
        <v>89</v>
      </c>
      <c r="I74" s="945" t="s">
        <v>1020</v>
      </c>
      <c r="J74" s="946" t="s">
        <v>22</v>
      </c>
      <c r="K74" s="449" t="s">
        <v>1040</v>
      </c>
      <c r="L74" s="225" t="s">
        <v>19</v>
      </c>
      <c r="M74" s="219"/>
      <c r="N74" s="947"/>
      <c r="O74" s="948" t="s">
        <v>370</v>
      </c>
      <c r="P74" s="949"/>
      <c r="Q74" s="949"/>
      <c r="R74" s="949"/>
      <c r="S74" s="949"/>
      <c r="T74" s="949"/>
      <c r="U74" s="949"/>
      <c r="V74" s="949"/>
      <c r="W74" s="949"/>
      <c r="X74" s="949"/>
      <c r="Y74" s="949"/>
      <c r="Z74" s="949"/>
      <c r="AA74" s="949"/>
      <c r="AB74" s="949"/>
      <c r="AC74" s="949"/>
      <c r="AD74" s="949"/>
      <c r="AE74" s="949"/>
      <c r="AF74" s="950">
        <v>5</v>
      </c>
      <c r="AG74" s="951" t="s">
        <v>1022</v>
      </c>
      <c r="AH74" s="951" t="s">
        <v>1023</v>
      </c>
      <c r="AI74" s="950"/>
      <c r="AJ74" s="951"/>
      <c r="AK74" s="951"/>
      <c r="AL74" s="920"/>
      <c r="AM74" s="144"/>
      <c r="AN74" s="144"/>
      <c r="AO74" s="144"/>
      <c r="AP74" s="144"/>
      <c r="AQ74" s="144"/>
      <c r="AR74" s="144"/>
      <c r="AS74" s="144"/>
      <c r="AT74" s="144"/>
      <c r="AU74" s="144"/>
      <c r="AV74" s="144"/>
      <c r="AW74" s="144"/>
      <c r="AX74" s="144"/>
      <c r="AY74" s="144"/>
      <c r="AZ74" s="144"/>
      <c r="BA74" s="144"/>
      <c r="BB74" s="144"/>
      <c r="BC74" s="144"/>
      <c r="BD74" s="144"/>
      <c r="BE74" s="144"/>
      <c r="BF74" s="144"/>
      <c r="BG74" s="50"/>
    </row>
    <row r="75" ht="11.25" customHeight="1">
      <c r="A75" s="125" t="s">
        <v>988</v>
      </c>
      <c r="B75" s="125"/>
      <c r="C75" s="125"/>
      <c r="D75" s="53"/>
      <c r="E75" s="91"/>
      <c r="F75" s="944"/>
      <c r="G75" s="952"/>
      <c r="H75" s="922" t="s">
        <v>106</v>
      </c>
      <c r="I75" s="945"/>
      <c r="J75" s="946"/>
      <c r="K75" s="449"/>
      <c r="L75" s="225"/>
      <c r="M75" s="219"/>
      <c r="N75" s="953"/>
      <c r="O75" s="954">
        <v>1</v>
      </c>
      <c r="P75" s="955" t="s">
        <v>19</v>
      </c>
      <c r="Q75" s="946" t="s">
        <v>22</v>
      </c>
      <c r="R75" s="946" t="s">
        <v>22</v>
      </c>
      <c r="S75" s="946" t="s">
        <v>22</v>
      </c>
      <c r="T75" s="946" t="s">
        <v>22</v>
      </c>
      <c r="U75" s="946" t="s">
        <v>22</v>
      </c>
      <c r="V75" s="946" t="s">
        <v>22</v>
      </c>
      <c r="W75" s="946" t="s">
        <v>22</v>
      </c>
      <c r="X75" s="946" t="s">
        <v>22</v>
      </c>
      <c r="Y75" s="946" t="s">
        <v>22</v>
      </c>
      <c r="Z75" s="956"/>
      <c r="AA75" s="957"/>
      <c r="AB75" s="957"/>
      <c r="AC75" s="958"/>
      <c r="AD75" s="958"/>
      <c r="AE75" s="959"/>
      <c r="AF75" s="950"/>
      <c r="AG75" s="951"/>
      <c r="AH75" s="951"/>
      <c r="AI75" s="950"/>
      <c r="AJ75" s="951"/>
      <c r="AK75" s="951"/>
      <c r="AL75" s="920"/>
      <c r="AM75" s="144"/>
      <c r="AN75" s="144"/>
      <c r="AO75" s="144"/>
      <c r="AP75" s="144"/>
      <c r="AQ75" s="144"/>
      <c r="AR75" s="144"/>
      <c r="AS75" s="144"/>
      <c r="AT75" s="144"/>
      <c r="AU75" s="144"/>
      <c r="AV75" s="144"/>
      <c r="AW75" s="144"/>
      <c r="AX75" s="144"/>
      <c r="AY75" s="144"/>
      <c r="AZ75" s="144"/>
      <c r="BA75" s="144"/>
      <c r="BB75" s="144"/>
      <c r="BC75" s="144"/>
      <c r="BD75" s="144"/>
      <c r="BE75" s="144"/>
      <c r="BF75" s="144"/>
      <c r="BG75" s="50"/>
    </row>
    <row r="76" ht="11.25" customHeight="1">
      <c r="A76" s="125" t="s">
        <v>988</v>
      </c>
      <c r="B76" s="125"/>
      <c r="C76" s="125"/>
      <c r="D76" s="53"/>
      <c r="E76" s="91"/>
      <c r="F76" s="944"/>
      <c r="G76" s="952"/>
      <c r="H76" s="922" t="s">
        <v>106</v>
      </c>
      <c r="I76" s="945"/>
      <c r="J76" s="946"/>
      <c r="K76" s="449"/>
      <c r="L76" s="225"/>
      <c r="M76" s="219"/>
      <c r="N76" s="953"/>
      <c r="O76" s="954"/>
      <c r="P76" s="960"/>
      <c r="Q76" s="389"/>
      <c r="R76" s="459"/>
      <c r="S76" s="961"/>
      <c r="T76" s="459"/>
      <c r="U76" s="459"/>
      <c r="V76" s="459"/>
      <c r="W76" s="459"/>
      <c r="X76" s="459"/>
      <c r="Y76" s="459"/>
      <c r="Z76" s="962"/>
      <c r="AA76" s="963">
        <v>1</v>
      </c>
      <c r="AB76" s="964" t="s">
        <v>1024</v>
      </c>
      <c r="AC76" s="857">
        <f>0.20701*39851.36</f>
        <v>8249.6300336000004</v>
      </c>
      <c r="AD76" s="964" t="str">
        <f t="shared" si="48"/>
        <v xml:space="preserve">     Амортизационные отчисления в результате переоценки основных средств и нематериальных активов</v>
      </c>
      <c r="AE76" s="857"/>
      <c r="AF76" s="950"/>
      <c r="AG76" s="951"/>
      <c r="AH76" s="951"/>
      <c r="AI76" s="950"/>
      <c r="AJ76" s="951"/>
      <c r="AK76" s="951"/>
      <c r="AL76" s="920"/>
      <c r="AM76" s="144"/>
      <c r="AN76" s="144"/>
      <c r="AO76" s="144"/>
      <c r="AP76" s="144"/>
      <c r="AQ76" s="144"/>
      <c r="AR76" s="144"/>
      <c r="AS76" s="144"/>
      <c r="AT76" s="144"/>
      <c r="AU76" s="144"/>
      <c r="AV76" s="144"/>
      <c r="AW76" s="144"/>
      <c r="AX76" s="144"/>
      <c r="AY76" s="144"/>
      <c r="AZ76" s="144"/>
      <c r="BA76" s="144"/>
      <c r="BB76" s="144"/>
      <c r="BC76" s="144"/>
      <c r="BD76" s="144"/>
      <c r="BE76" s="144"/>
      <c r="BF76" s="144"/>
      <c r="BG76" s="50"/>
    </row>
    <row r="77" ht="11.25" customHeight="1">
      <c r="A77" s="125" t="s">
        <v>988</v>
      </c>
      <c r="B77" s="125"/>
      <c r="C77" s="125"/>
      <c r="D77" s="53"/>
      <c r="E77" s="91"/>
      <c r="F77" s="944"/>
      <c r="G77" s="952"/>
      <c r="H77" s="922" t="s">
        <v>106</v>
      </c>
      <c r="I77" s="945"/>
      <c r="J77" s="946"/>
      <c r="K77" s="449"/>
      <c r="L77" s="225"/>
      <c r="M77" s="219"/>
      <c r="N77" s="953"/>
      <c r="O77" s="954"/>
      <c r="P77" s="965"/>
      <c r="Q77" s="389"/>
      <c r="R77" s="459"/>
      <c r="S77" s="961"/>
      <c r="T77" s="459"/>
      <c r="U77" s="459"/>
      <c r="V77" s="459"/>
      <c r="W77" s="459"/>
      <c r="X77" s="459"/>
      <c r="Y77" s="459"/>
      <c r="Z77" s="956"/>
      <c r="AA77" s="957"/>
      <c r="AB77" s="173" t="s">
        <v>1025</v>
      </c>
      <c r="AC77" s="958"/>
      <c r="AD77" s="958"/>
      <c r="AE77" s="966"/>
      <c r="AF77" s="950"/>
      <c r="AG77" s="951"/>
      <c r="AH77" s="951"/>
      <c r="AI77" s="950"/>
      <c r="AJ77" s="951"/>
      <c r="AK77" s="951"/>
      <c r="AL77" s="920"/>
      <c r="AM77" s="144"/>
      <c r="AN77" s="144"/>
      <c r="AO77" s="144"/>
      <c r="AP77" s="144"/>
      <c r="AQ77" s="144"/>
      <c r="AR77" s="144"/>
      <c r="AS77" s="144"/>
      <c r="AT77" s="144"/>
      <c r="AU77" s="144"/>
      <c r="AV77" s="144"/>
      <c r="AW77" s="144"/>
      <c r="AX77" s="144"/>
      <c r="AY77" s="144"/>
      <c r="AZ77" s="144"/>
      <c r="BA77" s="144"/>
      <c r="BB77" s="144"/>
      <c r="BC77" s="144"/>
      <c r="BD77" s="144"/>
      <c r="BE77" s="144"/>
      <c r="BF77" s="144"/>
      <c r="BG77" s="50"/>
    </row>
    <row r="78" ht="11.25" customHeight="1">
      <c r="A78" s="125" t="s">
        <v>988</v>
      </c>
      <c r="B78" s="125"/>
      <c r="C78" s="125"/>
      <c r="D78" s="53"/>
      <c r="E78" s="91"/>
      <c r="F78" s="944"/>
      <c r="G78" s="952"/>
      <c r="H78" s="922" t="s">
        <v>106</v>
      </c>
      <c r="I78" s="945"/>
      <c r="J78" s="946"/>
      <c r="K78" s="449"/>
      <c r="L78" s="225"/>
      <c r="M78" s="219"/>
      <c r="N78" s="956"/>
      <c r="O78" s="957"/>
      <c r="P78" s="173" t="s">
        <v>1026</v>
      </c>
      <c r="Q78" s="957"/>
      <c r="R78" s="957"/>
      <c r="S78" s="957"/>
      <c r="T78" s="957"/>
      <c r="U78" s="957"/>
      <c r="V78" s="957"/>
      <c r="W78" s="957"/>
      <c r="X78" s="957"/>
      <c r="Y78" s="957"/>
      <c r="Z78" s="957"/>
      <c r="AA78" s="957"/>
      <c r="AB78" s="957"/>
      <c r="AC78" s="957"/>
      <c r="AD78" s="957"/>
      <c r="AE78" s="967"/>
      <c r="AF78" s="950"/>
      <c r="AG78" s="951"/>
      <c r="AH78" s="951"/>
      <c r="AI78" s="950"/>
      <c r="AJ78" s="951"/>
      <c r="AK78" s="951"/>
      <c r="AL78" s="920"/>
      <c r="AM78" s="144"/>
      <c r="AN78" s="144"/>
      <c r="AO78" s="144"/>
      <c r="AP78" s="144"/>
      <c r="AQ78" s="144"/>
      <c r="AR78" s="144"/>
      <c r="AS78" s="144"/>
      <c r="AT78" s="144"/>
      <c r="AU78" s="144"/>
      <c r="AV78" s="144"/>
      <c r="AW78" s="144"/>
      <c r="AX78" s="144"/>
      <c r="AY78" s="144"/>
      <c r="AZ78" s="144"/>
      <c r="BA78" s="144"/>
      <c r="BB78" s="144"/>
      <c r="BC78" s="144"/>
      <c r="BD78" s="144"/>
      <c r="BE78" s="144"/>
      <c r="BF78" s="144"/>
      <c r="BG78" s="50"/>
    </row>
    <row r="79" ht="11.25" customHeight="1">
      <c r="A79" s="125" t="s">
        <v>988</v>
      </c>
      <c r="B79" s="125" t="s">
        <v>22</v>
      </c>
      <c r="C79" s="125"/>
      <c r="D79" s="53"/>
      <c r="E79" s="91"/>
      <c r="F79" s="944"/>
      <c r="G79" s="150" t="s">
        <v>683</v>
      </c>
      <c r="H79" s="922" t="s">
        <v>90</v>
      </c>
      <c r="I79" s="945" t="s">
        <v>1020</v>
      </c>
      <c r="J79" s="946" t="s">
        <v>22</v>
      </c>
      <c r="K79" s="449" t="s">
        <v>1036</v>
      </c>
      <c r="L79" s="225" t="s">
        <v>19</v>
      </c>
      <c r="M79" s="219"/>
      <c r="N79" s="947"/>
      <c r="O79" s="948" t="s">
        <v>370</v>
      </c>
      <c r="P79" s="949"/>
      <c r="Q79" s="949"/>
      <c r="R79" s="949"/>
      <c r="S79" s="949"/>
      <c r="T79" s="949"/>
      <c r="U79" s="949"/>
      <c r="V79" s="949"/>
      <c r="W79" s="949"/>
      <c r="X79" s="949"/>
      <c r="Y79" s="949"/>
      <c r="Z79" s="949"/>
      <c r="AA79" s="949"/>
      <c r="AB79" s="949"/>
      <c r="AC79" s="949"/>
      <c r="AD79" s="949"/>
      <c r="AE79" s="949"/>
      <c r="AF79" s="950">
        <v>5</v>
      </c>
      <c r="AG79" s="951" t="s">
        <v>1022</v>
      </c>
      <c r="AH79" s="951" t="s">
        <v>1023</v>
      </c>
      <c r="AI79" s="950"/>
      <c r="AJ79" s="951"/>
      <c r="AK79" s="951"/>
      <c r="AL79" s="920"/>
      <c r="AM79" s="144"/>
      <c r="AN79" s="144"/>
      <c r="AO79" s="144"/>
      <c r="AP79" s="144"/>
      <c r="AQ79" s="144"/>
      <c r="AR79" s="144"/>
      <c r="AS79" s="144"/>
      <c r="AT79" s="144"/>
      <c r="AU79" s="144"/>
      <c r="AV79" s="144"/>
      <c r="AW79" s="144"/>
      <c r="AX79" s="144"/>
      <c r="AY79" s="144"/>
      <c r="AZ79" s="144"/>
      <c r="BA79" s="144"/>
      <c r="BB79" s="144"/>
      <c r="BC79" s="144"/>
      <c r="BD79" s="144"/>
      <c r="BE79" s="144"/>
      <c r="BF79" s="144"/>
      <c r="BG79" s="50"/>
    </row>
    <row r="80" ht="11.25" customHeight="1">
      <c r="A80" s="125" t="s">
        <v>988</v>
      </c>
      <c r="B80" s="125"/>
      <c r="C80" s="125"/>
      <c r="D80" s="53"/>
      <c r="E80" s="91"/>
      <c r="F80" s="944"/>
      <c r="G80" s="952"/>
      <c r="H80" s="922" t="s">
        <v>89</v>
      </c>
      <c r="I80" s="945"/>
      <c r="J80" s="946"/>
      <c r="K80" s="449"/>
      <c r="L80" s="225"/>
      <c r="M80" s="219"/>
      <c r="N80" s="953"/>
      <c r="O80" s="954">
        <v>1</v>
      </c>
      <c r="P80" s="955" t="s">
        <v>19</v>
      </c>
      <c r="Q80" s="459" t="s">
        <v>22</v>
      </c>
      <c r="R80" s="459" t="s">
        <v>22</v>
      </c>
      <c r="S80" s="459" t="s">
        <v>22</v>
      </c>
      <c r="T80" s="459" t="s">
        <v>22</v>
      </c>
      <c r="U80" s="459" t="s">
        <v>22</v>
      </c>
      <c r="V80" s="459" t="s">
        <v>22</v>
      </c>
      <c r="W80" s="459" t="s">
        <v>22</v>
      </c>
      <c r="X80" s="459" t="s">
        <v>22</v>
      </c>
      <c r="Y80" s="459"/>
      <c r="Z80" s="956"/>
      <c r="AA80" s="957"/>
      <c r="AB80" s="957"/>
      <c r="AC80" s="958"/>
      <c r="AD80" s="958"/>
      <c r="AE80" s="959"/>
      <c r="AF80" s="950"/>
      <c r="AG80" s="951"/>
      <c r="AH80" s="951"/>
      <c r="AI80" s="950"/>
      <c r="AJ80" s="951"/>
      <c r="AK80" s="951"/>
      <c r="AL80" s="920"/>
      <c r="AM80" s="144"/>
      <c r="AN80" s="144"/>
      <c r="AO80" s="144"/>
      <c r="AP80" s="144"/>
      <c r="AQ80" s="144"/>
      <c r="AR80" s="144"/>
      <c r="AS80" s="144"/>
      <c r="AT80" s="144"/>
      <c r="AU80" s="144"/>
      <c r="AV80" s="144"/>
      <c r="AW80" s="144"/>
      <c r="AX80" s="144"/>
      <c r="AY80" s="144"/>
      <c r="AZ80" s="144"/>
      <c r="BA80" s="144"/>
      <c r="BB80" s="144"/>
      <c r="BC80" s="144"/>
      <c r="BD80" s="144"/>
      <c r="BE80" s="144"/>
      <c r="BF80" s="144"/>
      <c r="BG80" s="50"/>
    </row>
    <row r="81" ht="11.25" customHeight="1">
      <c r="A81" s="125" t="s">
        <v>988</v>
      </c>
      <c r="B81" s="125"/>
      <c r="C81" s="125"/>
      <c r="D81" s="53"/>
      <c r="E81" s="91"/>
      <c r="F81" s="944"/>
      <c r="G81" s="952"/>
      <c r="H81" s="922" t="s">
        <v>89</v>
      </c>
      <c r="I81" s="945"/>
      <c r="J81" s="946"/>
      <c r="K81" s="449"/>
      <c r="L81" s="225"/>
      <c r="M81" s="219"/>
      <c r="N81" s="953"/>
      <c r="O81" s="954"/>
      <c r="P81" s="960"/>
      <c r="Q81" s="459"/>
      <c r="R81" s="459"/>
      <c r="S81" s="961"/>
      <c r="T81" s="459"/>
      <c r="U81" s="459"/>
      <c r="V81" s="459"/>
      <c r="W81" s="459"/>
      <c r="X81" s="459"/>
      <c r="Y81" s="459"/>
      <c r="Z81" s="962"/>
      <c r="AA81" s="963">
        <v>1</v>
      </c>
      <c r="AB81" s="964" t="s">
        <v>1024</v>
      </c>
      <c r="AC81" s="857">
        <f>0.20701*23713.4</f>
        <v>4908.9109340000005</v>
      </c>
      <c r="AD81" s="964" t="str">
        <f t="shared" si="48"/>
        <v xml:space="preserve">     Амортизационные отчисления в результате переоценки основных средств и нематериальных активов</v>
      </c>
      <c r="AE81" s="857"/>
      <c r="AF81" s="950"/>
      <c r="AG81" s="951"/>
      <c r="AH81" s="951"/>
      <c r="AI81" s="950"/>
      <c r="AJ81" s="951"/>
      <c r="AK81" s="951"/>
      <c r="AL81" s="920"/>
      <c r="AM81" s="144"/>
      <c r="AN81" s="144"/>
      <c r="AO81" s="144"/>
      <c r="AP81" s="144"/>
      <c r="AQ81" s="144"/>
      <c r="AR81" s="144"/>
      <c r="AS81" s="144"/>
      <c r="AT81" s="144"/>
      <c r="AU81" s="144"/>
      <c r="AV81" s="144"/>
      <c r="AW81" s="144"/>
      <c r="AX81" s="144"/>
      <c r="AY81" s="144"/>
      <c r="AZ81" s="144"/>
      <c r="BA81" s="144"/>
      <c r="BB81" s="144"/>
      <c r="BC81" s="144"/>
      <c r="BD81" s="144"/>
      <c r="BE81" s="144"/>
      <c r="BF81" s="144"/>
      <c r="BG81" s="50"/>
    </row>
    <row r="82" ht="11.25" customHeight="1">
      <c r="A82" s="125" t="s">
        <v>988</v>
      </c>
      <c r="B82" s="125"/>
      <c r="C82" s="125"/>
      <c r="D82" s="53"/>
      <c r="E82" s="91"/>
      <c r="F82" s="944"/>
      <c r="G82" s="952"/>
      <c r="H82" s="922" t="s">
        <v>89</v>
      </c>
      <c r="I82" s="945"/>
      <c r="J82" s="946"/>
      <c r="K82" s="449"/>
      <c r="L82" s="225"/>
      <c r="M82" s="219"/>
      <c r="N82" s="953"/>
      <c r="O82" s="954"/>
      <c r="P82" s="965"/>
      <c r="Q82" s="459"/>
      <c r="R82" s="459"/>
      <c r="S82" s="961"/>
      <c r="T82" s="459"/>
      <c r="U82" s="459"/>
      <c r="V82" s="459"/>
      <c r="W82" s="459"/>
      <c r="X82" s="459"/>
      <c r="Y82" s="459"/>
      <c r="Z82" s="956"/>
      <c r="AA82" s="957"/>
      <c r="AB82" s="173" t="s">
        <v>1025</v>
      </c>
      <c r="AC82" s="958"/>
      <c r="AD82" s="958"/>
      <c r="AE82" s="966"/>
      <c r="AF82" s="950"/>
      <c r="AG82" s="951"/>
      <c r="AH82" s="951"/>
      <c r="AI82" s="950"/>
      <c r="AJ82" s="951"/>
      <c r="AK82" s="951"/>
      <c r="AL82" s="920"/>
      <c r="AM82" s="144"/>
      <c r="AN82" s="144"/>
      <c r="AO82" s="144"/>
      <c r="AP82" s="144"/>
      <c r="AQ82" s="144"/>
      <c r="AR82" s="144"/>
      <c r="AS82" s="144"/>
      <c r="AT82" s="144"/>
      <c r="AU82" s="144"/>
      <c r="AV82" s="144"/>
      <c r="AW82" s="144"/>
      <c r="AX82" s="144"/>
      <c r="AY82" s="144"/>
      <c r="AZ82" s="144"/>
      <c r="BA82" s="144"/>
      <c r="BB82" s="144"/>
      <c r="BC82" s="144"/>
      <c r="BD82" s="144"/>
      <c r="BE82" s="144"/>
      <c r="BF82" s="144"/>
      <c r="BG82" s="50"/>
    </row>
    <row r="83" ht="11.25" customHeight="1">
      <c r="A83" s="125" t="s">
        <v>988</v>
      </c>
      <c r="B83" s="125"/>
      <c r="C83" s="125"/>
      <c r="D83" s="53"/>
      <c r="E83" s="91"/>
      <c r="F83" s="944"/>
      <c r="G83" s="952"/>
      <c r="H83" s="922" t="s">
        <v>89</v>
      </c>
      <c r="I83" s="945"/>
      <c r="J83" s="946"/>
      <c r="K83" s="449"/>
      <c r="L83" s="225"/>
      <c r="M83" s="219"/>
      <c r="N83" s="956"/>
      <c r="O83" s="957"/>
      <c r="P83" s="173" t="s">
        <v>1026</v>
      </c>
      <c r="Q83" s="957"/>
      <c r="R83" s="957"/>
      <c r="S83" s="957"/>
      <c r="T83" s="957"/>
      <c r="U83" s="957"/>
      <c r="V83" s="957"/>
      <c r="W83" s="957"/>
      <c r="X83" s="957"/>
      <c r="Y83" s="957"/>
      <c r="Z83" s="957"/>
      <c r="AA83" s="957"/>
      <c r="AB83" s="957"/>
      <c r="AC83" s="957"/>
      <c r="AD83" s="957"/>
      <c r="AE83" s="967"/>
      <c r="AF83" s="950"/>
      <c r="AG83" s="951"/>
      <c r="AH83" s="951"/>
      <c r="AI83" s="950"/>
      <c r="AJ83" s="951"/>
      <c r="AK83" s="951"/>
      <c r="AL83" s="920"/>
      <c r="AM83" s="144"/>
      <c r="AN83" s="144"/>
      <c r="AO83" s="144"/>
      <c r="AP83" s="144"/>
      <c r="AQ83" s="144"/>
      <c r="AR83" s="144"/>
      <c r="AS83" s="144"/>
      <c r="AT83" s="144"/>
      <c r="AU83" s="144"/>
      <c r="AV83" s="144"/>
      <c r="AW83" s="144"/>
      <c r="AX83" s="144"/>
      <c r="AY83" s="144"/>
      <c r="AZ83" s="144"/>
      <c r="BA83" s="144"/>
      <c r="BB83" s="144"/>
      <c r="BC83" s="144"/>
      <c r="BD83" s="144"/>
      <c r="BE83" s="144"/>
      <c r="BF83" s="144"/>
      <c r="BG83" s="50"/>
    </row>
    <row r="84" ht="11.25" customHeight="1">
      <c r="A84" s="125" t="s">
        <v>988</v>
      </c>
      <c r="B84" s="125" t="s">
        <v>22</v>
      </c>
      <c r="C84" s="125"/>
      <c r="D84" s="53"/>
      <c r="E84" s="91"/>
      <c r="F84" s="944"/>
      <c r="G84" s="150" t="s">
        <v>683</v>
      </c>
      <c r="H84" s="922" t="s">
        <v>107</v>
      </c>
      <c r="I84" s="945" t="s">
        <v>1020</v>
      </c>
      <c r="J84" s="946" t="s">
        <v>22</v>
      </c>
      <c r="K84" s="449" t="s">
        <v>1037</v>
      </c>
      <c r="L84" s="225" t="s">
        <v>19</v>
      </c>
      <c r="M84" s="219"/>
      <c r="N84" s="947"/>
      <c r="O84" s="948" t="s">
        <v>370</v>
      </c>
      <c r="P84" s="949"/>
      <c r="Q84" s="949"/>
      <c r="R84" s="949"/>
      <c r="S84" s="949"/>
      <c r="T84" s="949"/>
      <c r="U84" s="949"/>
      <c r="V84" s="949"/>
      <c r="W84" s="949"/>
      <c r="X84" s="949"/>
      <c r="Y84" s="949"/>
      <c r="Z84" s="949"/>
      <c r="AA84" s="949"/>
      <c r="AB84" s="949"/>
      <c r="AC84" s="949"/>
      <c r="AD84" s="949"/>
      <c r="AE84" s="949"/>
      <c r="AF84" s="950">
        <v>5</v>
      </c>
      <c r="AG84" s="951" t="s">
        <v>1022</v>
      </c>
      <c r="AH84" s="951" t="s">
        <v>1023</v>
      </c>
      <c r="AI84" s="950"/>
      <c r="AJ84" s="951"/>
      <c r="AK84" s="951"/>
      <c r="AL84" s="920"/>
      <c r="AM84" s="144"/>
      <c r="AN84" s="144"/>
      <c r="AO84" s="144"/>
      <c r="AP84" s="144"/>
      <c r="AQ84" s="144"/>
      <c r="AR84" s="144"/>
      <c r="AS84" s="144"/>
      <c r="AT84" s="144"/>
      <c r="AU84" s="144"/>
      <c r="AV84" s="144"/>
      <c r="AW84" s="144"/>
      <c r="AX84" s="144"/>
      <c r="AY84" s="144"/>
      <c r="AZ84" s="144"/>
      <c r="BA84" s="144"/>
      <c r="BB84" s="144"/>
      <c r="BC84" s="144"/>
      <c r="BD84" s="144"/>
      <c r="BE84" s="144"/>
      <c r="BF84" s="144"/>
      <c r="BG84" s="50"/>
    </row>
    <row r="85" ht="11.25" customHeight="1">
      <c r="A85" s="125" t="s">
        <v>988</v>
      </c>
      <c r="B85" s="125"/>
      <c r="C85" s="125"/>
      <c r="D85" s="53"/>
      <c r="E85" s="91"/>
      <c r="F85" s="944"/>
      <c r="G85" s="952"/>
      <c r="H85" s="922" t="s">
        <v>90</v>
      </c>
      <c r="I85" s="945"/>
      <c r="J85" s="946"/>
      <c r="K85" s="449"/>
      <c r="L85" s="225"/>
      <c r="M85" s="219"/>
      <c r="N85" s="953"/>
      <c r="O85" s="954">
        <v>1</v>
      </c>
      <c r="P85" s="955" t="s">
        <v>19</v>
      </c>
      <c r="Q85" s="459" t="s">
        <v>22</v>
      </c>
      <c r="R85" s="459" t="s">
        <v>22</v>
      </c>
      <c r="S85" s="459" t="s">
        <v>22</v>
      </c>
      <c r="T85" s="459" t="s">
        <v>22</v>
      </c>
      <c r="U85" s="459" t="s">
        <v>22</v>
      </c>
      <c r="V85" s="459" t="s">
        <v>22</v>
      </c>
      <c r="W85" s="459" t="s">
        <v>22</v>
      </c>
      <c r="X85" s="459" t="s">
        <v>22</v>
      </c>
      <c r="Y85" s="459"/>
      <c r="Z85" s="956"/>
      <c r="AA85" s="957"/>
      <c r="AB85" s="957"/>
      <c r="AC85" s="958"/>
      <c r="AD85" s="958"/>
      <c r="AE85" s="959"/>
      <c r="AF85" s="950"/>
      <c r="AG85" s="951"/>
      <c r="AH85" s="951"/>
      <c r="AI85" s="950"/>
      <c r="AJ85" s="951"/>
      <c r="AK85" s="951"/>
      <c r="AL85" s="920"/>
      <c r="AM85" s="144"/>
      <c r="AN85" s="144"/>
      <c r="AO85" s="144"/>
      <c r="AP85" s="144"/>
      <c r="AQ85" s="144"/>
      <c r="AR85" s="144"/>
      <c r="AS85" s="144"/>
      <c r="AT85" s="144"/>
      <c r="AU85" s="144"/>
      <c r="AV85" s="144"/>
      <c r="AW85" s="144"/>
      <c r="AX85" s="144"/>
      <c r="AY85" s="144"/>
      <c r="AZ85" s="144"/>
      <c r="BA85" s="144"/>
      <c r="BB85" s="144"/>
      <c r="BC85" s="144"/>
      <c r="BD85" s="144"/>
      <c r="BE85" s="144"/>
      <c r="BF85" s="144"/>
      <c r="BG85" s="50"/>
    </row>
    <row r="86" ht="11.25" customHeight="1">
      <c r="A86" s="125" t="s">
        <v>988</v>
      </c>
      <c r="B86" s="125"/>
      <c r="C86" s="125"/>
      <c r="D86" s="53"/>
      <c r="E86" s="91"/>
      <c r="F86" s="944"/>
      <c r="G86" s="952"/>
      <c r="H86" s="922" t="s">
        <v>90</v>
      </c>
      <c r="I86" s="945"/>
      <c r="J86" s="946"/>
      <c r="K86" s="449"/>
      <c r="L86" s="225"/>
      <c r="M86" s="219"/>
      <c r="N86" s="953"/>
      <c r="O86" s="954"/>
      <c r="P86" s="960"/>
      <c r="Q86" s="459"/>
      <c r="R86" s="459"/>
      <c r="S86" s="961"/>
      <c r="T86" s="459"/>
      <c r="U86" s="459"/>
      <c r="V86" s="459"/>
      <c r="W86" s="459"/>
      <c r="X86" s="459"/>
      <c r="Y86" s="459"/>
      <c r="Z86" s="962"/>
      <c r="AA86" s="963">
        <v>1</v>
      </c>
      <c r="AB86" s="964" t="s">
        <v>1029</v>
      </c>
      <c r="AC86" s="857">
        <f>0.20701*27806.11</f>
        <v>5756.1428311</v>
      </c>
      <c r="AD86" s="964" t="str">
        <f t="shared" si="48"/>
        <v xml:space="preserve">  Прочие собственные средства</v>
      </c>
      <c r="AE86" s="857"/>
      <c r="AF86" s="950"/>
      <c r="AG86" s="951"/>
      <c r="AH86" s="951"/>
      <c r="AI86" s="950"/>
      <c r="AJ86" s="951"/>
      <c r="AK86" s="951"/>
      <c r="AL86" s="920"/>
      <c r="AM86" s="144"/>
      <c r="AN86" s="144"/>
      <c r="AO86" s="144"/>
      <c r="AP86" s="144"/>
      <c r="AQ86" s="144"/>
      <c r="AR86" s="144"/>
      <c r="AS86" s="144"/>
      <c r="AT86" s="144"/>
      <c r="AU86" s="144"/>
      <c r="AV86" s="144"/>
      <c r="AW86" s="144"/>
      <c r="AX86" s="144"/>
      <c r="AY86" s="144"/>
      <c r="AZ86" s="144"/>
      <c r="BA86" s="144"/>
      <c r="BB86" s="144"/>
      <c r="BC86" s="144"/>
      <c r="BD86" s="144"/>
      <c r="BE86" s="144"/>
      <c r="BF86" s="144"/>
      <c r="BG86" s="50"/>
    </row>
    <row r="87" ht="11.25" customHeight="1">
      <c r="A87" s="125" t="s">
        <v>988</v>
      </c>
      <c r="B87" s="125"/>
      <c r="C87" s="125"/>
      <c r="D87" s="53"/>
      <c r="E87" s="91"/>
      <c r="F87" s="944"/>
      <c r="G87" s="952"/>
      <c r="H87" s="922" t="s">
        <v>90</v>
      </c>
      <c r="I87" s="945"/>
      <c r="J87" s="946"/>
      <c r="K87" s="449"/>
      <c r="L87" s="225"/>
      <c r="M87" s="219"/>
      <c r="N87" s="953"/>
      <c r="O87" s="954"/>
      <c r="P87" s="965"/>
      <c r="Q87" s="459"/>
      <c r="R87" s="459"/>
      <c r="S87" s="961"/>
      <c r="T87" s="459"/>
      <c r="U87" s="459"/>
      <c r="V87" s="459"/>
      <c r="W87" s="459"/>
      <c r="X87" s="459"/>
      <c r="Y87" s="459"/>
      <c r="Z87" s="956"/>
      <c r="AA87" s="957"/>
      <c r="AB87" s="173" t="s">
        <v>1025</v>
      </c>
      <c r="AC87" s="958"/>
      <c r="AD87" s="958"/>
      <c r="AE87" s="966"/>
      <c r="AF87" s="950"/>
      <c r="AG87" s="951"/>
      <c r="AH87" s="951"/>
      <c r="AI87" s="950"/>
      <c r="AJ87" s="951"/>
      <c r="AK87" s="951"/>
      <c r="AL87" s="920"/>
      <c r="AM87" s="144"/>
      <c r="AN87" s="144"/>
      <c r="AO87" s="144"/>
      <c r="AP87" s="144"/>
      <c r="AQ87" s="144"/>
      <c r="AR87" s="144"/>
      <c r="AS87" s="144"/>
      <c r="AT87" s="144"/>
      <c r="AU87" s="144"/>
      <c r="AV87" s="144"/>
      <c r="AW87" s="144"/>
      <c r="AX87" s="144"/>
      <c r="AY87" s="144"/>
      <c r="AZ87" s="144"/>
      <c r="BA87" s="144"/>
      <c r="BB87" s="144"/>
      <c r="BC87" s="144"/>
      <c r="BD87" s="144"/>
      <c r="BE87" s="144"/>
      <c r="BF87" s="144"/>
      <c r="BG87" s="50"/>
    </row>
    <row r="88" ht="11.25" customHeight="1">
      <c r="A88" s="125" t="s">
        <v>988</v>
      </c>
      <c r="B88" s="125"/>
      <c r="C88" s="125"/>
      <c r="D88" s="53"/>
      <c r="E88" s="91"/>
      <c r="F88" s="944"/>
      <c r="G88" s="952"/>
      <c r="H88" s="922" t="s">
        <v>90</v>
      </c>
      <c r="I88" s="945"/>
      <c r="J88" s="946"/>
      <c r="K88" s="449"/>
      <c r="L88" s="225"/>
      <c r="M88" s="219"/>
      <c r="N88" s="956"/>
      <c r="O88" s="957"/>
      <c r="P88" s="173" t="s">
        <v>1026</v>
      </c>
      <c r="Q88" s="957"/>
      <c r="R88" s="957"/>
      <c r="S88" s="957"/>
      <c r="T88" s="957"/>
      <c r="U88" s="957"/>
      <c r="V88" s="957"/>
      <c r="W88" s="957"/>
      <c r="X88" s="957"/>
      <c r="Y88" s="957"/>
      <c r="Z88" s="957"/>
      <c r="AA88" s="957"/>
      <c r="AB88" s="957"/>
      <c r="AC88" s="957"/>
      <c r="AD88" s="957"/>
      <c r="AE88" s="967"/>
      <c r="AF88" s="950"/>
      <c r="AG88" s="951"/>
      <c r="AH88" s="951"/>
      <c r="AI88" s="950"/>
      <c r="AJ88" s="951"/>
      <c r="AK88" s="951"/>
      <c r="AL88" s="920"/>
      <c r="AM88" s="144"/>
      <c r="AN88" s="144"/>
      <c r="AO88" s="144"/>
      <c r="AP88" s="144"/>
      <c r="AQ88" s="144"/>
      <c r="AR88" s="144"/>
      <c r="AS88" s="144"/>
      <c r="AT88" s="144"/>
      <c r="AU88" s="144"/>
      <c r="AV88" s="144"/>
      <c r="AW88" s="144"/>
      <c r="AX88" s="144"/>
      <c r="AY88" s="144"/>
      <c r="AZ88" s="144"/>
      <c r="BA88" s="144"/>
      <c r="BB88" s="144"/>
      <c r="BC88" s="144"/>
      <c r="BD88" s="144"/>
      <c r="BE88" s="144"/>
      <c r="BF88" s="144"/>
      <c r="BG88" s="50"/>
    </row>
    <row r="89" ht="11.25" customHeight="1">
      <c r="A89" s="125" t="s">
        <v>988</v>
      </c>
      <c r="B89" s="125" t="s">
        <v>22</v>
      </c>
      <c r="C89" s="125"/>
      <c r="D89" s="53"/>
      <c r="E89" s="91"/>
      <c r="F89" s="944"/>
      <c r="G89" s="150" t="s">
        <v>683</v>
      </c>
      <c r="H89" s="922" t="s">
        <v>91</v>
      </c>
      <c r="I89" s="945" t="s">
        <v>1020</v>
      </c>
      <c r="J89" s="946" t="s">
        <v>22</v>
      </c>
      <c r="K89" s="449" t="s">
        <v>1040</v>
      </c>
      <c r="L89" s="225" t="s">
        <v>19</v>
      </c>
      <c r="M89" s="219"/>
      <c r="N89" s="947"/>
      <c r="O89" s="948" t="s">
        <v>370</v>
      </c>
      <c r="P89" s="949"/>
      <c r="Q89" s="949"/>
      <c r="R89" s="949"/>
      <c r="S89" s="949"/>
      <c r="T89" s="949"/>
      <c r="U89" s="949"/>
      <c r="V89" s="949"/>
      <c r="W89" s="949"/>
      <c r="X89" s="949"/>
      <c r="Y89" s="949"/>
      <c r="Z89" s="949"/>
      <c r="AA89" s="949"/>
      <c r="AB89" s="949"/>
      <c r="AC89" s="949"/>
      <c r="AD89" s="949"/>
      <c r="AE89" s="949"/>
      <c r="AF89" s="950">
        <v>4</v>
      </c>
      <c r="AG89" s="951" t="s">
        <v>1022</v>
      </c>
      <c r="AH89" s="951" t="s">
        <v>1023</v>
      </c>
      <c r="AI89" s="950"/>
      <c r="AJ89" s="951"/>
      <c r="AK89" s="951"/>
      <c r="AL89" s="920"/>
      <c r="AM89" s="144"/>
      <c r="AN89" s="144"/>
      <c r="AO89" s="144"/>
      <c r="AP89" s="144"/>
      <c r="AQ89" s="144"/>
      <c r="AR89" s="144"/>
      <c r="AS89" s="144"/>
      <c r="AT89" s="144"/>
      <c r="AU89" s="144"/>
      <c r="AV89" s="144"/>
      <c r="AW89" s="144"/>
      <c r="AX89" s="144"/>
      <c r="AY89" s="144"/>
      <c r="AZ89" s="144"/>
      <c r="BA89" s="144"/>
      <c r="BB89" s="144"/>
      <c r="BC89" s="144"/>
      <c r="BD89" s="144"/>
      <c r="BE89" s="144"/>
      <c r="BF89" s="144"/>
      <c r="BG89" s="50"/>
    </row>
    <row r="90" ht="11.25" customHeight="1">
      <c r="A90" s="125" t="s">
        <v>988</v>
      </c>
      <c r="B90" s="125"/>
      <c r="C90" s="125"/>
      <c r="D90" s="53"/>
      <c r="E90" s="91"/>
      <c r="F90" s="944"/>
      <c r="G90" s="952"/>
      <c r="H90" s="922" t="s">
        <v>107</v>
      </c>
      <c r="I90" s="945"/>
      <c r="J90" s="946"/>
      <c r="K90" s="449"/>
      <c r="L90" s="225"/>
      <c r="M90" s="219"/>
      <c r="N90" s="953"/>
      <c r="O90" s="954">
        <v>1</v>
      </c>
      <c r="P90" s="955" t="s">
        <v>19</v>
      </c>
      <c r="Q90" s="459" t="s">
        <v>22</v>
      </c>
      <c r="R90" s="459" t="s">
        <v>22</v>
      </c>
      <c r="S90" s="459" t="s">
        <v>22</v>
      </c>
      <c r="T90" s="459" t="s">
        <v>22</v>
      </c>
      <c r="U90" s="459" t="s">
        <v>22</v>
      </c>
      <c r="V90" s="459" t="s">
        <v>22</v>
      </c>
      <c r="W90" s="459" t="s">
        <v>22</v>
      </c>
      <c r="X90" s="459" t="s">
        <v>22</v>
      </c>
      <c r="Y90" s="459"/>
      <c r="Z90" s="956"/>
      <c r="AA90" s="957"/>
      <c r="AB90" s="957"/>
      <c r="AC90" s="958"/>
      <c r="AD90" s="958"/>
      <c r="AE90" s="959"/>
      <c r="AF90" s="950"/>
      <c r="AG90" s="951"/>
      <c r="AH90" s="951"/>
      <c r="AI90" s="950"/>
      <c r="AJ90" s="951"/>
      <c r="AK90" s="951"/>
      <c r="AL90" s="920"/>
      <c r="AM90" s="144"/>
      <c r="AN90" s="144"/>
      <c r="AO90" s="144"/>
      <c r="AP90" s="144"/>
      <c r="AQ90" s="144"/>
      <c r="AR90" s="144"/>
      <c r="AS90" s="144"/>
      <c r="AT90" s="144"/>
      <c r="AU90" s="144"/>
      <c r="AV90" s="144"/>
      <c r="AW90" s="144"/>
      <c r="AX90" s="144"/>
      <c r="AY90" s="144"/>
      <c r="AZ90" s="144"/>
      <c r="BA90" s="144"/>
      <c r="BB90" s="144"/>
      <c r="BC90" s="144"/>
      <c r="BD90" s="144"/>
      <c r="BE90" s="144"/>
      <c r="BF90" s="144"/>
      <c r="BG90" s="50"/>
    </row>
    <row r="91" ht="11.25" customHeight="1">
      <c r="A91" s="125" t="s">
        <v>988</v>
      </c>
      <c r="B91" s="125"/>
      <c r="C91" s="125"/>
      <c r="D91" s="53"/>
      <c r="E91" s="91"/>
      <c r="F91" s="944"/>
      <c r="G91" s="952"/>
      <c r="H91" s="922" t="s">
        <v>107</v>
      </c>
      <c r="I91" s="945"/>
      <c r="J91" s="946"/>
      <c r="K91" s="449"/>
      <c r="L91" s="225"/>
      <c r="M91" s="219"/>
      <c r="N91" s="953"/>
      <c r="O91" s="954"/>
      <c r="P91" s="960"/>
      <c r="Q91" s="459"/>
      <c r="R91" s="459"/>
      <c r="S91" s="961"/>
      <c r="T91" s="459"/>
      <c r="U91" s="459"/>
      <c r="V91" s="459"/>
      <c r="W91" s="459"/>
      <c r="X91" s="459"/>
      <c r="Y91" s="459"/>
      <c r="Z91" s="962"/>
      <c r="AA91" s="963">
        <v>1</v>
      </c>
      <c r="AB91" s="964" t="s">
        <v>1024</v>
      </c>
      <c r="AC91" s="857">
        <f>0.20701*6808.63</f>
        <v>1409.4544963000001</v>
      </c>
      <c r="AD91" s="964" t="str">
        <f t="shared" ref="AD91" si="49">AB91</f>
        <v xml:space="preserve">     Амортизационные отчисления в результате переоценки основных средств и нематериальных активов</v>
      </c>
      <c r="AE91" s="857"/>
      <c r="AF91" s="950"/>
      <c r="AG91" s="951"/>
      <c r="AH91" s="951"/>
      <c r="AI91" s="950"/>
      <c r="AJ91" s="951"/>
      <c r="AK91" s="951"/>
      <c r="AL91" s="920"/>
      <c r="AM91" s="144"/>
      <c r="AN91" s="144"/>
      <c r="AO91" s="144"/>
      <c r="AP91" s="144"/>
      <c r="AQ91" s="144"/>
      <c r="AR91" s="144"/>
      <c r="AS91" s="144"/>
      <c r="AT91" s="144"/>
      <c r="AU91" s="144"/>
      <c r="AV91" s="144"/>
      <c r="AW91" s="144"/>
      <c r="AX91" s="144"/>
      <c r="AY91" s="144"/>
      <c r="AZ91" s="144"/>
      <c r="BA91" s="144"/>
      <c r="BB91" s="144"/>
      <c r="BC91" s="144"/>
      <c r="BD91" s="144"/>
      <c r="BE91" s="144"/>
      <c r="BF91" s="144"/>
      <c r="BG91" s="50"/>
    </row>
    <row r="92" ht="11.25" customHeight="1">
      <c r="A92" s="125" t="s">
        <v>988</v>
      </c>
      <c r="B92" s="125"/>
      <c r="C92" s="125"/>
      <c r="D92" s="53"/>
      <c r="E92" s="91"/>
      <c r="F92" s="944"/>
      <c r="G92" s="952"/>
      <c r="H92" s="922" t="s">
        <v>107</v>
      </c>
      <c r="I92" s="945"/>
      <c r="J92" s="946"/>
      <c r="K92" s="449"/>
      <c r="L92" s="225"/>
      <c r="M92" s="219"/>
      <c r="N92" s="953"/>
      <c r="O92" s="954"/>
      <c r="P92" s="965"/>
      <c r="Q92" s="459"/>
      <c r="R92" s="459"/>
      <c r="S92" s="961"/>
      <c r="T92" s="459"/>
      <c r="U92" s="459"/>
      <c r="V92" s="459"/>
      <c r="W92" s="459"/>
      <c r="X92" s="459"/>
      <c r="Y92" s="459"/>
      <c r="Z92" s="956"/>
      <c r="AA92" s="957"/>
      <c r="AB92" s="173" t="s">
        <v>1025</v>
      </c>
      <c r="AC92" s="958"/>
      <c r="AD92" s="958"/>
      <c r="AE92" s="966"/>
      <c r="AF92" s="950"/>
      <c r="AG92" s="951"/>
      <c r="AH92" s="951"/>
      <c r="AI92" s="950"/>
      <c r="AJ92" s="951"/>
      <c r="AK92" s="951"/>
      <c r="AL92" s="920"/>
      <c r="AM92" s="144"/>
      <c r="AN92" s="144"/>
      <c r="AO92" s="144"/>
      <c r="AP92" s="144"/>
      <c r="AQ92" s="144"/>
      <c r="AR92" s="144"/>
      <c r="AS92" s="144"/>
      <c r="AT92" s="144"/>
      <c r="AU92" s="144"/>
      <c r="AV92" s="144"/>
      <c r="AW92" s="144"/>
      <c r="AX92" s="144"/>
      <c r="AY92" s="144"/>
      <c r="AZ92" s="144"/>
      <c r="BA92" s="144"/>
      <c r="BB92" s="144"/>
      <c r="BC92" s="144"/>
      <c r="BD92" s="144"/>
      <c r="BE92" s="144"/>
      <c r="BF92" s="144"/>
      <c r="BG92" s="50"/>
    </row>
    <row r="93" ht="11.25" customHeight="1">
      <c r="A93" s="125" t="s">
        <v>988</v>
      </c>
      <c r="B93" s="125"/>
      <c r="C93" s="125"/>
      <c r="D93" s="53"/>
      <c r="E93" s="91"/>
      <c r="F93" s="944"/>
      <c r="G93" s="952"/>
      <c r="H93" s="922" t="s">
        <v>107</v>
      </c>
      <c r="I93" s="945"/>
      <c r="J93" s="946"/>
      <c r="K93" s="449"/>
      <c r="L93" s="225"/>
      <c r="M93" s="219"/>
      <c r="N93" s="956"/>
      <c r="O93" s="957"/>
      <c r="P93" s="173" t="s">
        <v>1026</v>
      </c>
      <c r="Q93" s="957"/>
      <c r="R93" s="957"/>
      <c r="S93" s="957"/>
      <c r="T93" s="957"/>
      <c r="U93" s="957"/>
      <c r="V93" s="957"/>
      <c r="W93" s="957"/>
      <c r="X93" s="957"/>
      <c r="Y93" s="957"/>
      <c r="Z93" s="957"/>
      <c r="AA93" s="957"/>
      <c r="AB93" s="957"/>
      <c r="AC93" s="957"/>
      <c r="AD93" s="957"/>
      <c r="AE93" s="967"/>
      <c r="AF93" s="950"/>
      <c r="AG93" s="951"/>
      <c r="AH93" s="951"/>
      <c r="AI93" s="950"/>
      <c r="AJ93" s="951"/>
      <c r="AK93" s="951"/>
      <c r="AL93" s="920"/>
      <c r="AM93" s="144"/>
      <c r="AN93" s="144"/>
      <c r="AO93" s="144"/>
      <c r="AP93" s="144"/>
      <c r="AQ93" s="144"/>
      <c r="AR93" s="144"/>
      <c r="AS93" s="144"/>
      <c r="AT93" s="144"/>
      <c r="AU93" s="144"/>
      <c r="AV93" s="144"/>
      <c r="AW93" s="144"/>
      <c r="AX93" s="144"/>
      <c r="AY93" s="144"/>
      <c r="AZ93" s="144"/>
      <c r="BA93" s="144"/>
      <c r="BB93" s="144"/>
      <c r="BC93" s="144"/>
      <c r="BD93" s="144"/>
      <c r="BE93" s="144"/>
      <c r="BF93" s="144"/>
      <c r="BG93" s="50"/>
    </row>
    <row r="94" ht="12" customHeight="1">
      <c r="A94" s="125" t="s">
        <v>988</v>
      </c>
      <c r="B94" s="125"/>
      <c r="C94" s="125"/>
      <c r="D94" s="53"/>
      <c r="E94" s="91"/>
      <c r="F94" s="971"/>
      <c r="G94" s="972"/>
      <c r="H94" s="972"/>
      <c r="I94" s="973" t="s">
        <v>1038</v>
      </c>
      <c r="J94" s="973"/>
      <c r="K94" s="973"/>
      <c r="L94" s="974"/>
      <c r="M94" s="974"/>
      <c r="N94" s="975"/>
      <c r="O94" s="975"/>
      <c r="P94" s="975"/>
      <c r="Q94" s="975"/>
      <c r="R94" s="975"/>
      <c r="S94" s="975"/>
      <c r="T94" s="975"/>
      <c r="U94" s="975"/>
      <c r="V94" s="975"/>
      <c r="W94" s="975"/>
      <c r="X94" s="975"/>
      <c r="Y94" s="975"/>
      <c r="Z94" s="975"/>
      <c r="AA94" s="975"/>
      <c r="AB94" s="975"/>
      <c r="AC94" s="975"/>
      <c r="AD94" s="975"/>
      <c r="AE94" s="975"/>
      <c r="AF94" s="975"/>
      <c r="AG94" s="974"/>
      <c r="AH94" s="974"/>
      <c r="AI94" s="975"/>
      <c r="AJ94" s="974"/>
      <c r="AK94" s="975"/>
      <c r="AL94" s="920"/>
      <c r="AM94" s="144"/>
      <c r="AN94" s="144"/>
      <c r="AO94" s="144"/>
      <c r="AP94" s="144"/>
      <c r="AQ94" s="144"/>
      <c r="AR94" s="144"/>
      <c r="AS94" s="144"/>
      <c r="AT94" s="144"/>
      <c r="AU94" s="144"/>
      <c r="AV94" s="144"/>
      <c r="AW94" s="144"/>
      <c r="AX94" s="144"/>
      <c r="AY94" s="144"/>
      <c r="AZ94" s="144"/>
      <c r="BA94" s="144"/>
      <c r="BB94" s="144"/>
      <c r="BC94" s="144"/>
      <c r="BD94" s="144"/>
      <c r="BE94" s="144"/>
      <c r="BF94" s="144"/>
      <c r="BG94" s="50"/>
    </row>
    <row r="95" ht="0.75" customHeight="1">
      <c r="A95" s="125" t="s">
        <v>988</v>
      </c>
      <c r="B95" s="125"/>
      <c r="C95" s="125"/>
      <c r="D95" s="53"/>
      <c r="E95" s="91"/>
      <c r="F95" s="921">
        <v>2027</v>
      </c>
      <c r="G95" s="922"/>
      <c r="H95" s="923" t="s">
        <v>370</v>
      </c>
      <c r="I95" s="924"/>
      <c r="J95" s="161"/>
      <c r="K95" s="161"/>
      <c r="L95" s="925"/>
      <c r="M95" s="537"/>
      <c r="N95" s="926"/>
      <c r="O95" s="927"/>
      <c r="P95" s="926"/>
      <c r="Q95" s="926"/>
      <c r="R95" s="926"/>
      <c r="S95" s="926"/>
      <c r="T95" s="926"/>
      <c r="U95" s="926"/>
      <c r="V95" s="926"/>
      <c r="W95" s="926"/>
      <c r="X95" s="926"/>
      <c r="Y95" s="926"/>
      <c r="Z95" s="926"/>
      <c r="AA95" s="926"/>
      <c r="AB95" s="926"/>
      <c r="AC95" s="926"/>
      <c r="AD95" s="926"/>
      <c r="AE95" s="926"/>
      <c r="AF95" s="928"/>
      <c r="AG95" s="925"/>
      <c r="AH95" s="925"/>
      <c r="AI95" s="928"/>
      <c r="AJ95" s="925"/>
      <c r="AK95" s="925"/>
      <c r="AL95" s="920"/>
      <c r="AM95" s="144"/>
      <c r="AN95" s="144"/>
      <c r="AO95" s="144"/>
      <c r="AP95" s="144"/>
      <c r="AQ95" s="144"/>
      <c r="AR95" s="144"/>
      <c r="AS95" s="144"/>
      <c r="AT95" s="144"/>
      <c r="AU95" s="144"/>
      <c r="AV95" s="144"/>
      <c r="AW95" s="144"/>
      <c r="AX95" s="144"/>
      <c r="AY95" s="144"/>
      <c r="AZ95" s="144"/>
      <c r="BA95" s="144"/>
      <c r="BB95" s="144"/>
      <c r="BC95" s="144"/>
      <c r="BD95" s="144"/>
      <c r="BE95" s="144"/>
      <c r="BF95" s="144"/>
      <c r="BG95" s="50"/>
    </row>
    <row r="96" ht="0.75" customHeight="1">
      <c r="A96" s="125" t="s">
        <v>988</v>
      </c>
      <c r="B96" s="125"/>
      <c r="C96" s="125"/>
      <c r="D96" s="53"/>
      <c r="E96" s="91"/>
      <c r="F96" s="921"/>
      <c r="G96" s="922"/>
      <c r="H96" s="923"/>
      <c r="I96" s="924"/>
      <c r="J96" s="161"/>
      <c r="K96" s="161"/>
      <c r="L96" s="925"/>
      <c r="M96" s="537"/>
      <c r="N96" s="929"/>
      <c r="O96" s="930"/>
      <c r="P96" s="931"/>
      <c r="Q96" s="161"/>
      <c r="R96" s="161"/>
      <c r="S96" s="161"/>
      <c r="T96" s="161"/>
      <c r="U96" s="161"/>
      <c r="V96" s="161"/>
      <c r="W96" s="161"/>
      <c r="X96" s="161"/>
      <c r="Y96" s="161"/>
      <c r="Z96" s="932"/>
      <c r="AA96" s="933"/>
      <c r="AB96" s="933"/>
      <c r="AC96" s="934"/>
      <c r="AD96" s="934"/>
      <c r="AE96" s="935"/>
      <c r="AF96" s="928"/>
      <c r="AG96" s="925"/>
      <c r="AH96" s="925"/>
      <c r="AI96" s="928"/>
      <c r="AJ96" s="925"/>
      <c r="AK96" s="925"/>
      <c r="AL96" s="920"/>
      <c r="AM96" s="144"/>
      <c r="AN96" s="144"/>
      <c r="AO96" s="144"/>
      <c r="AP96" s="144"/>
      <c r="AQ96" s="144"/>
      <c r="AR96" s="144"/>
      <c r="AS96" s="144"/>
      <c r="AT96" s="144"/>
      <c r="AU96" s="144"/>
      <c r="AV96" s="144"/>
      <c r="AW96" s="144"/>
      <c r="AX96" s="144"/>
      <c r="AY96" s="144"/>
      <c r="AZ96" s="144"/>
      <c r="BA96" s="144"/>
      <c r="BB96" s="144"/>
      <c r="BC96" s="144"/>
      <c r="BD96" s="144"/>
      <c r="BE96" s="144"/>
      <c r="BF96" s="144"/>
      <c r="BG96" s="50"/>
    </row>
    <row r="97" ht="0.75" customHeight="1">
      <c r="A97" s="125" t="s">
        <v>988</v>
      </c>
      <c r="B97" s="125"/>
      <c r="C97" s="125"/>
      <c r="D97" s="53"/>
      <c r="E97" s="91"/>
      <c r="F97" s="921"/>
      <c r="G97" s="922"/>
      <c r="H97" s="923"/>
      <c r="I97" s="924"/>
      <c r="J97" s="161"/>
      <c r="K97" s="161"/>
      <c r="L97" s="925"/>
      <c r="M97" s="537"/>
      <c r="N97" s="929"/>
      <c r="O97" s="930"/>
      <c r="P97" s="936"/>
      <c r="Q97" s="161"/>
      <c r="R97" s="161"/>
      <c r="S97" s="161"/>
      <c r="T97" s="161"/>
      <c r="U97" s="161"/>
      <c r="V97" s="161"/>
      <c r="W97" s="161"/>
      <c r="X97" s="161"/>
      <c r="Y97" s="161"/>
      <c r="Z97" s="937"/>
      <c r="AA97" s="930"/>
      <c r="AB97" s="938"/>
      <c r="AC97" s="939"/>
      <c r="AD97" s="938"/>
      <c r="AE97" s="939"/>
      <c r="AF97" s="928"/>
      <c r="AG97" s="925"/>
      <c r="AH97" s="925"/>
      <c r="AI97" s="928"/>
      <c r="AJ97" s="925"/>
      <c r="AK97" s="925"/>
      <c r="AL97" s="920"/>
      <c r="AM97" s="144"/>
      <c r="AN97" s="144"/>
      <c r="AO97" s="144"/>
      <c r="AP97" s="144"/>
      <c r="AQ97" s="144"/>
      <c r="AR97" s="144"/>
      <c r="AS97" s="144"/>
      <c r="AT97" s="144"/>
      <c r="AU97" s="144"/>
      <c r="AV97" s="144"/>
      <c r="AW97" s="144"/>
      <c r="AX97" s="144"/>
      <c r="AY97" s="144"/>
      <c r="AZ97" s="144"/>
      <c r="BA97" s="144"/>
      <c r="BB97" s="144"/>
      <c r="BC97" s="144"/>
      <c r="BD97" s="144"/>
      <c r="BE97" s="144"/>
      <c r="BF97" s="144"/>
      <c r="BG97" s="50"/>
    </row>
    <row r="98" ht="0.75" customHeight="1">
      <c r="A98" s="125" t="s">
        <v>988</v>
      </c>
      <c r="B98" s="125"/>
      <c r="C98" s="125"/>
      <c r="D98" s="53"/>
      <c r="E98" s="91"/>
      <c r="F98" s="921"/>
      <c r="G98" s="922"/>
      <c r="H98" s="923"/>
      <c r="I98" s="924"/>
      <c r="J98" s="161"/>
      <c r="K98" s="161"/>
      <c r="L98" s="925"/>
      <c r="M98" s="537"/>
      <c r="N98" s="929"/>
      <c r="O98" s="930"/>
      <c r="P98" s="940"/>
      <c r="Q98" s="161"/>
      <c r="R98" s="161"/>
      <c r="S98" s="161"/>
      <c r="T98" s="161"/>
      <c r="U98" s="161"/>
      <c r="V98" s="161"/>
      <c r="W98" s="161"/>
      <c r="X98" s="161"/>
      <c r="Y98" s="161"/>
      <c r="Z98" s="932"/>
      <c r="AA98" s="933"/>
      <c r="AB98" s="941"/>
      <c r="AC98" s="934"/>
      <c r="AD98" s="934"/>
      <c r="AE98" s="942"/>
      <c r="AF98" s="928"/>
      <c r="AG98" s="925"/>
      <c r="AH98" s="925"/>
      <c r="AI98" s="928"/>
      <c r="AJ98" s="925"/>
      <c r="AK98" s="925"/>
      <c r="AL98" s="920"/>
      <c r="AM98" s="144"/>
      <c r="AN98" s="144"/>
      <c r="AO98" s="144"/>
      <c r="AP98" s="144"/>
      <c r="AQ98" s="144"/>
      <c r="AR98" s="144"/>
      <c r="AS98" s="144"/>
      <c r="AT98" s="144"/>
      <c r="AU98" s="144"/>
      <c r="AV98" s="144"/>
      <c r="AW98" s="144"/>
      <c r="AX98" s="144"/>
      <c r="AY98" s="144"/>
      <c r="AZ98" s="144"/>
      <c r="BA98" s="144"/>
      <c r="BB98" s="144"/>
      <c r="BC98" s="144"/>
      <c r="BD98" s="144"/>
      <c r="BE98" s="144"/>
      <c r="BF98" s="144"/>
      <c r="BG98" s="50"/>
    </row>
    <row r="99" ht="0.75" customHeight="1">
      <c r="A99" s="125" t="s">
        <v>988</v>
      </c>
      <c r="B99" s="125"/>
      <c r="C99" s="125"/>
      <c r="D99" s="53"/>
      <c r="E99" s="91"/>
      <c r="F99" s="921"/>
      <c r="G99" s="922"/>
      <c r="H99" s="923"/>
      <c r="I99" s="924"/>
      <c r="J99" s="161"/>
      <c r="K99" s="161"/>
      <c r="L99" s="925"/>
      <c r="M99" s="537"/>
      <c r="N99" s="933"/>
      <c r="O99" s="933"/>
      <c r="P99" s="941"/>
      <c r="Q99" s="933"/>
      <c r="R99" s="933"/>
      <c r="S99" s="933"/>
      <c r="T99" s="933"/>
      <c r="U99" s="933"/>
      <c r="V99" s="933"/>
      <c r="W99" s="933"/>
      <c r="X99" s="933"/>
      <c r="Y99" s="933"/>
      <c r="Z99" s="933"/>
      <c r="AA99" s="933"/>
      <c r="AB99" s="933"/>
      <c r="AC99" s="933"/>
      <c r="AD99" s="933"/>
      <c r="AE99" s="943"/>
      <c r="AF99" s="928"/>
      <c r="AG99" s="925"/>
      <c r="AH99" s="925"/>
      <c r="AI99" s="928"/>
      <c r="AJ99" s="925"/>
      <c r="AK99" s="925"/>
      <c r="AL99" s="920"/>
      <c r="AM99" s="144"/>
      <c r="AN99" s="144"/>
      <c r="AO99" s="144"/>
      <c r="AP99" s="144"/>
      <c r="AQ99" s="144"/>
      <c r="AR99" s="144"/>
      <c r="AS99" s="144"/>
      <c r="AT99" s="144"/>
      <c r="AU99" s="144"/>
      <c r="AV99" s="144"/>
      <c r="AW99" s="144"/>
      <c r="AX99" s="144"/>
      <c r="AY99" s="144"/>
      <c r="AZ99" s="144"/>
      <c r="BA99" s="144"/>
      <c r="BB99" s="144"/>
      <c r="BC99" s="144"/>
      <c r="BD99" s="144"/>
      <c r="BE99" s="144"/>
      <c r="BF99" s="144"/>
      <c r="BG99" s="50"/>
    </row>
    <row r="100" ht="11.25" customHeight="1">
      <c r="A100" s="125" t="s">
        <v>988</v>
      </c>
      <c r="B100" s="125" t="s">
        <v>22</v>
      </c>
      <c r="C100" s="125"/>
      <c r="D100" s="53"/>
      <c r="E100" s="91"/>
      <c r="F100" s="944"/>
      <c r="G100" s="150" t="s">
        <v>683</v>
      </c>
      <c r="H100" s="922" t="s">
        <v>105</v>
      </c>
      <c r="I100" s="945" t="s">
        <v>1020</v>
      </c>
      <c r="J100" s="946" t="s">
        <v>22</v>
      </c>
      <c r="K100" s="449" t="s">
        <v>1039</v>
      </c>
      <c r="L100" s="225" t="s">
        <v>19</v>
      </c>
      <c r="M100" s="219"/>
      <c r="N100" s="947"/>
      <c r="O100" s="948" t="s">
        <v>370</v>
      </c>
      <c r="P100" s="949"/>
      <c r="Q100" s="949"/>
      <c r="R100" s="949"/>
      <c r="S100" s="949"/>
      <c r="T100" s="949"/>
      <c r="U100" s="949"/>
      <c r="V100" s="949"/>
      <c r="W100" s="949"/>
      <c r="X100" s="949"/>
      <c r="Y100" s="949"/>
      <c r="Z100" s="949"/>
      <c r="AA100" s="949"/>
      <c r="AB100" s="949"/>
      <c r="AC100" s="949"/>
      <c r="AD100" s="949"/>
      <c r="AE100" s="949"/>
      <c r="AF100" s="950">
        <v>5</v>
      </c>
      <c r="AG100" s="951" t="s">
        <v>1022</v>
      </c>
      <c r="AH100" s="951" t="s">
        <v>1023</v>
      </c>
      <c r="AI100" s="950"/>
      <c r="AJ100" s="951"/>
      <c r="AK100" s="951"/>
      <c r="AL100" s="920"/>
      <c r="AM100" s="144"/>
      <c r="AN100" s="144"/>
      <c r="AO100" s="144"/>
      <c r="AP100" s="144"/>
      <c r="AQ100" s="144"/>
      <c r="AR100" s="144"/>
      <c r="AS100" s="144"/>
      <c r="AT100" s="144"/>
      <c r="AU100" s="144"/>
      <c r="AV100" s="144"/>
      <c r="AW100" s="144"/>
      <c r="AX100" s="144"/>
      <c r="AY100" s="144"/>
      <c r="AZ100" s="144"/>
      <c r="BA100" s="144"/>
      <c r="BB100" s="144"/>
      <c r="BC100" s="144"/>
      <c r="BD100" s="144"/>
      <c r="BE100" s="144"/>
      <c r="BF100" s="144"/>
      <c r="BG100" s="50"/>
    </row>
    <row r="101" ht="11.25" customHeight="1">
      <c r="A101" s="125" t="s">
        <v>988</v>
      </c>
      <c r="B101" s="125"/>
      <c r="C101" s="125"/>
      <c r="D101" s="53"/>
      <c r="E101" s="91"/>
      <c r="F101" s="944"/>
      <c r="G101" s="952"/>
      <c r="H101" s="922" t="s">
        <v>370</v>
      </c>
      <c r="I101" s="945"/>
      <c r="J101" s="946"/>
      <c r="K101" s="449"/>
      <c r="L101" s="225"/>
      <c r="M101" s="219"/>
      <c r="N101" s="953"/>
      <c r="O101" s="954">
        <v>1</v>
      </c>
      <c r="P101" s="955" t="s">
        <v>19</v>
      </c>
      <c r="Q101" s="459" t="s">
        <v>22</v>
      </c>
      <c r="R101" s="459" t="s">
        <v>22</v>
      </c>
      <c r="S101" s="459" t="s">
        <v>22</v>
      </c>
      <c r="T101" s="459" t="s">
        <v>22</v>
      </c>
      <c r="U101" s="459" t="s">
        <v>22</v>
      </c>
      <c r="V101" s="459" t="s">
        <v>22</v>
      </c>
      <c r="W101" s="459" t="s">
        <v>22</v>
      </c>
      <c r="X101" s="459" t="s">
        <v>22</v>
      </c>
      <c r="Y101" s="459"/>
      <c r="Z101" s="956"/>
      <c r="AA101" s="957"/>
      <c r="AB101" s="957"/>
      <c r="AC101" s="958"/>
      <c r="AD101" s="958"/>
      <c r="AE101" s="959"/>
      <c r="AF101" s="950"/>
      <c r="AG101" s="951"/>
      <c r="AH101" s="951"/>
      <c r="AI101" s="950"/>
      <c r="AJ101" s="951"/>
      <c r="AK101" s="951"/>
      <c r="AL101" s="920"/>
      <c r="AM101" s="144"/>
      <c r="AN101" s="144"/>
      <c r="AO101" s="144"/>
      <c r="AP101" s="144"/>
      <c r="AQ101" s="144"/>
      <c r="AR101" s="144"/>
      <c r="AS101" s="144"/>
      <c r="AT101" s="144"/>
      <c r="AU101" s="144"/>
      <c r="AV101" s="144"/>
      <c r="AW101" s="144"/>
      <c r="AX101" s="144"/>
      <c r="AY101" s="144"/>
      <c r="AZ101" s="144"/>
      <c r="BA101" s="144"/>
      <c r="BB101" s="144"/>
      <c r="BC101" s="144"/>
      <c r="BD101" s="144"/>
      <c r="BE101" s="144"/>
      <c r="BF101" s="144"/>
      <c r="BG101" s="50"/>
    </row>
    <row r="102" ht="11.25" customHeight="1">
      <c r="A102" s="125" t="s">
        <v>988</v>
      </c>
      <c r="B102" s="125"/>
      <c r="C102" s="125"/>
      <c r="D102" s="53"/>
      <c r="E102" s="91"/>
      <c r="F102" s="944"/>
      <c r="G102" s="952"/>
      <c r="H102" s="922" t="s">
        <v>370</v>
      </c>
      <c r="I102" s="945"/>
      <c r="J102" s="946"/>
      <c r="K102" s="449"/>
      <c r="L102" s="225"/>
      <c r="M102" s="219"/>
      <c r="N102" s="953"/>
      <c r="O102" s="954"/>
      <c r="P102" s="960"/>
      <c r="Q102" s="459"/>
      <c r="R102" s="459"/>
      <c r="S102" s="961"/>
      <c r="T102" s="459"/>
      <c r="U102" s="459"/>
      <c r="V102" s="459"/>
      <c r="W102" s="459"/>
      <c r="X102" s="459"/>
      <c r="Y102" s="459"/>
      <c r="Z102" s="962"/>
      <c r="AA102" s="963">
        <v>1</v>
      </c>
      <c r="AB102" s="964" t="s">
        <v>1024</v>
      </c>
      <c r="AC102" s="857">
        <f>0.20701*5068.39</f>
        <v>1049.2074139000001</v>
      </c>
      <c r="AD102" s="964" t="str">
        <f>AB102</f>
        <v xml:space="preserve">     Амортизационные отчисления в результате переоценки основных средств и нематериальных активов</v>
      </c>
      <c r="AE102" s="857"/>
      <c r="AF102" s="950"/>
      <c r="AG102" s="951"/>
      <c r="AH102" s="951"/>
      <c r="AI102" s="950"/>
      <c r="AJ102" s="951"/>
      <c r="AK102" s="951"/>
      <c r="AL102" s="920"/>
      <c r="AM102" s="144"/>
      <c r="AN102" s="144"/>
      <c r="AO102" s="144"/>
      <c r="AP102" s="144"/>
      <c r="AQ102" s="144"/>
      <c r="AR102" s="144"/>
      <c r="AS102" s="144"/>
      <c r="AT102" s="144"/>
      <c r="AU102" s="144"/>
      <c r="AV102" s="144"/>
      <c r="AW102" s="144"/>
      <c r="AX102" s="144"/>
      <c r="AY102" s="144"/>
      <c r="AZ102" s="144"/>
      <c r="BA102" s="144"/>
      <c r="BB102" s="144"/>
      <c r="BC102" s="144"/>
      <c r="BD102" s="144"/>
      <c r="BE102" s="144"/>
      <c r="BF102" s="144"/>
      <c r="BG102" s="50"/>
    </row>
    <row r="103" ht="11.25" customHeight="1">
      <c r="A103" s="125" t="s">
        <v>988</v>
      </c>
      <c r="B103" s="125"/>
      <c r="C103" s="125"/>
      <c r="D103" s="53"/>
      <c r="E103" s="91"/>
      <c r="F103" s="944"/>
      <c r="G103" s="952"/>
      <c r="H103" s="922" t="s">
        <v>370</v>
      </c>
      <c r="I103" s="945"/>
      <c r="J103" s="946"/>
      <c r="K103" s="449"/>
      <c r="L103" s="225"/>
      <c r="M103" s="219"/>
      <c r="N103" s="953"/>
      <c r="O103" s="954"/>
      <c r="P103" s="965"/>
      <c r="Q103" s="459"/>
      <c r="R103" s="459"/>
      <c r="S103" s="961"/>
      <c r="T103" s="459"/>
      <c r="U103" s="459"/>
      <c r="V103" s="459"/>
      <c r="W103" s="459"/>
      <c r="X103" s="459"/>
      <c r="Y103" s="459"/>
      <c r="Z103" s="956"/>
      <c r="AA103" s="957"/>
      <c r="AB103" s="173" t="s">
        <v>1025</v>
      </c>
      <c r="AC103" s="958"/>
      <c r="AD103" s="958"/>
      <c r="AE103" s="966"/>
      <c r="AF103" s="950"/>
      <c r="AG103" s="951"/>
      <c r="AH103" s="951"/>
      <c r="AI103" s="950"/>
      <c r="AJ103" s="951"/>
      <c r="AK103" s="951"/>
      <c r="AL103" s="920"/>
      <c r="AM103" s="144"/>
      <c r="AN103" s="144"/>
      <c r="AO103" s="144"/>
      <c r="AP103" s="144"/>
      <c r="AQ103" s="144"/>
      <c r="AR103" s="144"/>
      <c r="AS103" s="144"/>
      <c r="AT103" s="144"/>
      <c r="AU103" s="144"/>
      <c r="AV103" s="144"/>
      <c r="AW103" s="144"/>
      <c r="AX103" s="144"/>
      <c r="AY103" s="144"/>
      <c r="AZ103" s="144"/>
      <c r="BA103" s="144"/>
      <c r="BB103" s="144"/>
      <c r="BC103" s="144"/>
      <c r="BD103" s="144"/>
      <c r="BE103" s="144"/>
      <c r="BF103" s="144"/>
      <c r="BG103" s="50"/>
    </row>
    <row r="104" ht="11.25" customHeight="1">
      <c r="A104" s="125" t="s">
        <v>988</v>
      </c>
      <c r="B104" s="125"/>
      <c r="C104" s="125"/>
      <c r="D104" s="53"/>
      <c r="E104" s="91"/>
      <c r="F104" s="944"/>
      <c r="G104" s="952"/>
      <c r="H104" s="922" t="s">
        <v>370</v>
      </c>
      <c r="I104" s="945"/>
      <c r="J104" s="946"/>
      <c r="K104" s="449"/>
      <c r="L104" s="225"/>
      <c r="M104" s="219"/>
      <c r="N104" s="956"/>
      <c r="O104" s="957"/>
      <c r="P104" s="173" t="s">
        <v>1026</v>
      </c>
      <c r="Q104" s="957"/>
      <c r="R104" s="957"/>
      <c r="S104" s="957"/>
      <c r="T104" s="957"/>
      <c r="U104" s="957"/>
      <c r="V104" s="957"/>
      <c r="W104" s="957"/>
      <c r="X104" s="957"/>
      <c r="Y104" s="957"/>
      <c r="Z104" s="957"/>
      <c r="AA104" s="957"/>
      <c r="AB104" s="957"/>
      <c r="AC104" s="957"/>
      <c r="AD104" s="957"/>
      <c r="AE104" s="967"/>
      <c r="AF104" s="950"/>
      <c r="AG104" s="951"/>
      <c r="AH104" s="951"/>
      <c r="AI104" s="950"/>
      <c r="AJ104" s="951"/>
      <c r="AK104" s="951"/>
      <c r="AL104" s="920"/>
      <c r="AM104" s="144"/>
      <c r="AN104" s="144"/>
      <c r="AO104" s="144"/>
      <c r="AP104" s="144"/>
      <c r="AQ104" s="144"/>
      <c r="AR104" s="144"/>
      <c r="AS104" s="144"/>
      <c r="AT104" s="144"/>
      <c r="AU104" s="144"/>
      <c r="AV104" s="144"/>
      <c r="AW104" s="144"/>
      <c r="AX104" s="144"/>
      <c r="AY104" s="144"/>
      <c r="AZ104" s="144"/>
      <c r="BA104" s="144"/>
      <c r="BB104" s="144"/>
      <c r="BC104" s="144"/>
      <c r="BD104" s="144"/>
      <c r="BE104" s="144"/>
      <c r="BF104" s="144"/>
      <c r="BG104" s="50"/>
    </row>
    <row r="105" ht="11.25" customHeight="1">
      <c r="A105" s="125" t="s">
        <v>988</v>
      </c>
      <c r="B105" s="125" t="s">
        <v>22</v>
      </c>
      <c r="C105" s="125"/>
      <c r="D105" s="53"/>
      <c r="E105" s="91"/>
      <c r="F105" s="944"/>
      <c r="G105" s="150" t="s">
        <v>683</v>
      </c>
      <c r="H105" s="922" t="s">
        <v>106</v>
      </c>
      <c r="I105" s="945" t="s">
        <v>1020</v>
      </c>
      <c r="J105" s="946" t="s">
        <v>22</v>
      </c>
      <c r="K105" s="449" t="s">
        <v>1041</v>
      </c>
      <c r="L105" s="225" t="s">
        <v>19</v>
      </c>
      <c r="M105" s="219"/>
      <c r="N105" s="947"/>
      <c r="O105" s="948" t="s">
        <v>370</v>
      </c>
      <c r="P105" s="949"/>
      <c r="Q105" s="949"/>
      <c r="R105" s="949"/>
      <c r="S105" s="949"/>
      <c r="T105" s="949"/>
      <c r="U105" s="949"/>
      <c r="V105" s="949"/>
      <c r="W105" s="949"/>
      <c r="X105" s="949"/>
      <c r="Y105" s="949"/>
      <c r="Z105" s="949"/>
      <c r="AA105" s="949"/>
      <c r="AB105" s="949"/>
      <c r="AC105" s="949"/>
      <c r="AD105" s="949"/>
      <c r="AE105" s="949"/>
      <c r="AF105" s="950">
        <v>3</v>
      </c>
      <c r="AG105" s="951" t="s">
        <v>1022</v>
      </c>
      <c r="AH105" s="951" t="s">
        <v>1028</v>
      </c>
      <c r="AI105" s="950"/>
      <c r="AJ105" s="951"/>
      <c r="AK105" s="951"/>
      <c r="AL105" s="920"/>
      <c r="AM105" s="144"/>
      <c r="AN105" s="144"/>
      <c r="AO105" s="144"/>
      <c r="AP105" s="144"/>
      <c r="AQ105" s="144"/>
      <c r="AR105" s="144"/>
      <c r="AS105" s="144"/>
      <c r="AT105" s="144"/>
      <c r="AU105" s="144"/>
      <c r="AV105" s="144"/>
      <c r="AW105" s="144"/>
      <c r="AX105" s="144"/>
      <c r="AY105" s="144"/>
      <c r="AZ105" s="144"/>
      <c r="BA105" s="144"/>
      <c r="BB105" s="144"/>
      <c r="BC105" s="144"/>
      <c r="BD105" s="144"/>
      <c r="BE105" s="144"/>
      <c r="BF105" s="144"/>
      <c r="BG105" s="50"/>
    </row>
    <row r="106" ht="11.25" customHeight="1">
      <c r="A106" s="125" t="s">
        <v>988</v>
      </c>
      <c r="B106" s="125"/>
      <c r="C106" s="125"/>
      <c r="D106" s="53"/>
      <c r="E106" s="91"/>
      <c r="F106" s="944"/>
      <c r="G106" s="952"/>
      <c r="H106" s="922" t="s">
        <v>105</v>
      </c>
      <c r="I106" s="945"/>
      <c r="J106" s="946"/>
      <c r="K106" s="449"/>
      <c r="L106" s="225"/>
      <c r="M106" s="219"/>
      <c r="N106" s="953"/>
      <c r="O106" s="954">
        <v>1</v>
      </c>
      <c r="P106" s="955" t="s">
        <v>19</v>
      </c>
      <c r="Q106" s="459" t="s">
        <v>22</v>
      </c>
      <c r="R106" s="459" t="s">
        <v>22</v>
      </c>
      <c r="S106" s="459" t="s">
        <v>22</v>
      </c>
      <c r="T106" s="459" t="s">
        <v>22</v>
      </c>
      <c r="U106" s="459" t="s">
        <v>22</v>
      </c>
      <c r="V106" s="459" t="s">
        <v>22</v>
      </c>
      <c r="W106" s="459" t="s">
        <v>22</v>
      </c>
      <c r="X106" s="459" t="s">
        <v>22</v>
      </c>
      <c r="Y106" s="459"/>
      <c r="Z106" s="956"/>
      <c r="AA106" s="957"/>
      <c r="AB106" s="957"/>
      <c r="AC106" s="958"/>
      <c r="AD106" s="958"/>
      <c r="AE106" s="959"/>
      <c r="AF106" s="950"/>
      <c r="AG106" s="951"/>
      <c r="AH106" s="951"/>
      <c r="AI106" s="950"/>
      <c r="AJ106" s="951"/>
      <c r="AK106" s="951"/>
      <c r="AL106" s="920"/>
      <c r="AM106" s="144"/>
      <c r="AN106" s="144"/>
      <c r="AO106" s="144"/>
      <c r="AP106" s="144"/>
      <c r="AQ106" s="144"/>
      <c r="AR106" s="144"/>
      <c r="AS106" s="144"/>
      <c r="AT106" s="144"/>
      <c r="AU106" s="144"/>
      <c r="AV106" s="144"/>
      <c r="AW106" s="144"/>
      <c r="AX106" s="144"/>
      <c r="AY106" s="144"/>
      <c r="AZ106" s="144"/>
      <c r="BA106" s="144"/>
      <c r="BB106" s="144"/>
      <c r="BC106" s="144"/>
      <c r="BD106" s="144"/>
      <c r="BE106" s="144"/>
      <c r="BF106" s="144"/>
      <c r="BG106" s="50"/>
    </row>
    <row r="107" ht="11.25" customHeight="1">
      <c r="A107" s="125" t="s">
        <v>988</v>
      </c>
      <c r="B107" s="125"/>
      <c r="C107" s="125"/>
      <c r="D107" s="53"/>
      <c r="E107" s="91"/>
      <c r="F107" s="944"/>
      <c r="G107" s="952"/>
      <c r="H107" s="922" t="s">
        <v>105</v>
      </c>
      <c r="I107" s="945"/>
      <c r="J107" s="946"/>
      <c r="K107" s="449"/>
      <c r="L107" s="225"/>
      <c r="M107" s="219"/>
      <c r="N107" s="953"/>
      <c r="O107" s="954"/>
      <c r="P107" s="960"/>
      <c r="Q107" s="459"/>
      <c r="R107" s="459"/>
      <c r="S107" s="961"/>
      <c r="T107" s="459"/>
      <c r="U107" s="459"/>
      <c r="V107" s="459"/>
      <c r="W107" s="459"/>
      <c r="X107" s="459"/>
      <c r="Y107" s="459"/>
      <c r="Z107" s="962"/>
      <c r="AA107" s="963">
        <v>1</v>
      </c>
      <c r="AB107" s="964" t="s">
        <v>1024</v>
      </c>
      <c r="AC107" s="857">
        <f>0.20701*1070.51</f>
        <v>221.6062751</v>
      </c>
      <c r="AD107" s="964" t="str">
        <f t="shared" ref="AD107:AD170" si="50">AB107</f>
        <v xml:space="preserve">     Амортизационные отчисления в результате переоценки основных средств и нематериальных активов</v>
      </c>
      <c r="AE107" s="857"/>
      <c r="AF107" s="950"/>
      <c r="AG107" s="951"/>
      <c r="AH107" s="951"/>
      <c r="AI107" s="950"/>
      <c r="AJ107" s="951"/>
      <c r="AK107" s="951"/>
      <c r="AL107" s="920"/>
      <c r="AM107" s="144"/>
      <c r="AN107" s="144"/>
      <c r="AO107" s="144"/>
      <c r="AP107" s="144"/>
      <c r="AQ107" s="144"/>
      <c r="AR107" s="144"/>
      <c r="AS107" s="144"/>
      <c r="AT107" s="144"/>
      <c r="AU107" s="144"/>
      <c r="AV107" s="144"/>
      <c r="AW107" s="144"/>
      <c r="AX107" s="144"/>
      <c r="AY107" s="144"/>
      <c r="AZ107" s="144"/>
      <c r="BA107" s="144"/>
      <c r="BB107" s="144"/>
      <c r="BC107" s="144"/>
      <c r="BD107" s="144"/>
      <c r="BE107" s="144"/>
      <c r="BF107" s="144"/>
      <c r="BG107" s="50"/>
    </row>
    <row r="108" ht="11.25" customHeight="1">
      <c r="A108" s="125" t="s">
        <v>988</v>
      </c>
      <c r="B108" s="125"/>
      <c r="C108" s="125"/>
      <c r="D108" s="53"/>
      <c r="E108" s="91"/>
      <c r="F108" s="952"/>
      <c r="G108" s="952"/>
      <c r="H108" s="952"/>
      <c r="I108" s="952"/>
      <c r="J108" s="952"/>
      <c r="K108" s="952"/>
      <c r="L108" s="952"/>
      <c r="M108" s="952"/>
      <c r="N108" s="952"/>
      <c r="O108" s="952"/>
      <c r="P108" s="952"/>
      <c r="Q108" s="952"/>
      <c r="R108" s="952"/>
      <c r="S108" s="952"/>
      <c r="T108" s="952"/>
      <c r="U108" s="952"/>
      <c r="V108" s="952"/>
      <c r="W108" s="952"/>
      <c r="X108" s="952"/>
      <c r="Y108" s="952"/>
      <c r="Z108" s="150" t="s">
        <v>683</v>
      </c>
      <c r="AA108" s="954" t="s">
        <v>106</v>
      </c>
      <c r="AB108" s="964" t="s">
        <v>1029</v>
      </c>
      <c r="AC108" s="857">
        <f>0.20701*7923.68</f>
        <v>1640.2809968000001</v>
      </c>
      <c r="AD108" s="964" t="str">
        <f t="shared" si="50"/>
        <v xml:space="preserve">  Прочие собственные средства</v>
      </c>
      <c r="AE108" s="857"/>
      <c r="AF108" s="968"/>
      <c r="AG108" s="969"/>
      <c r="AH108" s="969"/>
      <c r="AI108" s="968"/>
      <c r="AJ108" s="969"/>
      <c r="AK108" s="970"/>
      <c r="AL108" s="920"/>
      <c r="AM108" s="144"/>
      <c r="AN108" s="144"/>
      <c r="AO108" s="144"/>
      <c r="AP108" s="144"/>
      <c r="AQ108" s="144"/>
      <c r="AR108" s="144"/>
      <c r="AS108" s="144"/>
      <c r="AT108" s="144"/>
      <c r="AU108" s="144"/>
      <c r="AV108" s="144"/>
      <c r="AW108" s="144"/>
      <c r="AX108" s="144"/>
      <c r="AY108" s="144"/>
      <c r="AZ108" s="144"/>
      <c r="BA108" s="144"/>
      <c r="BB108" s="144"/>
      <c r="BC108" s="144"/>
      <c r="BD108" s="144"/>
      <c r="BE108" s="144"/>
      <c r="BF108" s="144"/>
      <c r="BG108" s="50"/>
    </row>
    <row r="109" ht="11.25" customHeight="1">
      <c r="A109" s="125" t="s">
        <v>988</v>
      </c>
      <c r="B109" s="125"/>
      <c r="C109" s="125"/>
      <c r="D109" s="53"/>
      <c r="E109" s="91"/>
      <c r="F109" s="944"/>
      <c r="G109" s="952"/>
      <c r="H109" s="922" t="s">
        <v>105</v>
      </c>
      <c r="I109" s="945"/>
      <c r="J109" s="946"/>
      <c r="K109" s="449"/>
      <c r="L109" s="225"/>
      <c r="M109" s="219"/>
      <c r="N109" s="953"/>
      <c r="O109" s="954"/>
      <c r="P109" s="965"/>
      <c r="Q109" s="459"/>
      <c r="R109" s="459"/>
      <c r="S109" s="961"/>
      <c r="T109" s="459"/>
      <c r="U109" s="459"/>
      <c r="V109" s="459"/>
      <c r="W109" s="459"/>
      <c r="X109" s="459"/>
      <c r="Y109" s="459"/>
      <c r="Z109" s="956"/>
      <c r="AA109" s="957"/>
      <c r="AB109" s="173" t="s">
        <v>1025</v>
      </c>
      <c r="AC109" s="958"/>
      <c r="AD109" s="958"/>
      <c r="AE109" s="966"/>
      <c r="AF109" s="950"/>
      <c r="AG109" s="951"/>
      <c r="AH109" s="951"/>
      <c r="AI109" s="950"/>
      <c r="AJ109" s="951"/>
      <c r="AK109" s="951"/>
      <c r="AL109" s="920"/>
      <c r="AM109" s="144"/>
      <c r="AN109" s="144"/>
      <c r="AO109" s="144"/>
      <c r="AP109" s="144"/>
      <c r="AQ109" s="144"/>
      <c r="AR109" s="144"/>
      <c r="AS109" s="144"/>
      <c r="AT109" s="144"/>
      <c r="AU109" s="144"/>
      <c r="AV109" s="144"/>
      <c r="AW109" s="144"/>
      <c r="AX109" s="144"/>
      <c r="AY109" s="144"/>
      <c r="AZ109" s="144"/>
      <c r="BA109" s="144"/>
      <c r="BB109" s="144"/>
      <c r="BC109" s="144"/>
      <c r="BD109" s="144"/>
      <c r="BE109" s="144"/>
      <c r="BF109" s="144"/>
      <c r="BG109" s="50"/>
    </row>
    <row r="110" ht="11.25" customHeight="1">
      <c r="A110" s="125" t="s">
        <v>988</v>
      </c>
      <c r="B110" s="125"/>
      <c r="C110" s="125"/>
      <c r="D110" s="53"/>
      <c r="E110" s="91"/>
      <c r="F110" s="944"/>
      <c r="G110" s="952"/>
      <c r="H110" s="922" t="s">
        <v>105</v>
      </c>
      <c r="I110" s="945"/>
      <c r="J110" s="946"/>
      <c r="K110" s="449"/>
      <c r="L110" s="225"/>
      <c r="M110" s="219"/>
      <c r="N110" s="956"/>
      <c r="O110" s="957"/>
      <c r="P110" s="173" t="s">
        <v>1026</v>
      </c>
      <c r="Q110" s="957"/>
      <c r="R110" s="957"/>
      <c r="S110" s="957"/>
      <c r="T110" s="957"/>
      <c r="U110" s="957"/>
      <c r="V110" s="957"/>
      <c r="W110" s="957"/>
      <c r="X110" s="957"/>
      <c r="Y110" s="957"/>
      <c r="Z110" s="957"/>
      <c r="AA110" s="957"/>
      <c r="AB110" s="957"/>
      <c r="AC110" s="957"/>
      <c r="AD110" s="957"/>
      <c r="AE110" s="967"/>
      <c r="AF110" s="950"/>
      <c r="AG110" s="951"/>
      <c r="AH110" s="951"/>
      <c r="AI110" s="950"/>
      <c r="AJ110" s="951"/>
      <c r="AK110" s="951"/>
      <c r="AL110" s="920"/>
      <c r="AM110" s="144"/>
      <c r="AN110" s="144"/>
      <c r="AO110" s="144"/>
      <c r="AP110" s="144"/>
      <c r="AQ110" s="144"/>
      <c r="AR110" s="144"/>
      <c r="AS110" s="144"/>
      <c r="AT110" s="144"/>
      <c r="AU110" s="144"/>
      <c r="AV110" s="144"/>
      <c r="AW110" s="144"/>
      <c r="AX110" s="144"/>
      <c r="AY110" s="144"/>
      <c r="AZ110" s="144"/>
      <c r="BA110" s="144"/>
      <c r="BB110" s="144"/>
      <c r="BC110" s="144"/>
      <c r="BD110" s="144"/>
      <c r="BE110" s="144"/>
      <c r="BF110" s="144"/>
      <c r="BG110" s="50"/>
    </row>
    <row r="111" ht="11.25" customHeight="1">
      <c r="A111" s="125" t="s">
        <v>988</v>
      </c>
      <c r="B111" s="125" t="s">
        <v>22</v>
      </c>
      <c r="C111" s="125"/>
      <c r="D111" s="53"/>
      <c r="E111" s="91"/>
      <c r="F111" s="944"/>
      <c r="G111" s="150" t="s">
        <v>683</v>
      </c>
      <c r="H111" s="922" t="s">
        <v>89</v>
      </c>
      <c r="I111" s="945" t="s">
        <v>1020</v>
      </c>
      <c r="J111" s="946" t="s">
        <v>22</v>
      </c>
      <c r="K111" s="449" t="s">
        <v>1030</v>
      </c>
      <c r="L111" s="225" t="s">
        <v>19</v>
      </c>
      <c r="M111" s="219"/>
      <c r="N111" s="947"/>
      <c r="O111" s="948" t="s">
        <v>370</v>
      </c>
      <c r="P111" s="949"/>
      <c r="Q111" s="949"/>
      <c r="R111" s="949"/>
      <c r="S111" s="949"/>
      <c r="T111" s="949"/>
      <c r="U111" s="949"/>
      <c r="V111" s="949"/>
      <c r="W111" s="949"/>
      <c r="X111" s="949"/>
      <c r="Y111" s="949"/>
      <c r="Z111" s="949"/>
      <c r="AA111" s="949"/>
      <c r="AB111" s="949"/>
      <c r="AC111" s="949"/>
      <c r="AD111" s="949"/>
      <c r="AE111" s="949"/>
      <c r="AF111" s="950">
        <v>4</v>
      </c>
      <c r="AG111" s="951" t="s">
        <v>1022</v>
      </c>
      <c r="AH111" s="951" t="s">
        <v>1031</v>
      </c>
      <c r="AI111" s="950"/>
      <c r="AJ111" s="951"/>
      <c r="AK111" s="951"/>
      <c r="AL111" s="920"/>
      <c r="AM111" s="144"/>
      <c r="AN111" s="144"/>
      <c r="AO111" s="144"/>
      <c r="AP111" s="144"/>
      <c r="AQ111" s="144"/>
      <c r="AR111" s="144"/>
      <c r="AS111" s="144"/>
      <c r="AT111" s="144"/>
      <c r="AU111" s="144"/>
      <c r="AV111" s="144"/>
      <c r="AW111" s="144"/>
      <c r="AX111" s="144"/>
      <c r="AY111" s="144"/>
      <c r="AZ111" s="144"/>
      <c r="BA111" s="144"/>
      <c r="BB111" s="144"/>
      <c r="BC111" s="144"/>
      <c r="BD111" s="144"/>
      <c r="BE111" s="144"/>
      <c r="BF111" s="144"/>
      <c r="BG111" s="50"/>
    </row>
    <row r="112" ht="11.25" customHeight="1">
      <c r="A112" s="125" t="s">
        <v>988</v>
      </c>
      <c r="B112" s="125"/>
      <c r="C112" s="125"/>
      <c r="D112" s="53"/>
      <c r="E112" s="91"/>
      <c r="F112" s="944"/>
      <c r="G112" s="952"/>
      <c r="H112" s="922" t="s">
        <v>106</v>
      </c>
      <c r="I112" s="945"/>
      <c r="J112" s="946"/>
      <c r="K112" s="449"/>
      <c r="L112" s="225"/>
      <c r="M112" s="219"/>
      <c r="N112" s="953"/>
      <c r="O112" s="954">
        <v>1</v>
      </c>
      <c r="P112" s="955" t="s">
        <v>19</v>
      </c>
      <c r="Q112" s="459" t="s">
        <v>22</v>
      </c>
      <c r="R112" s="459" t="s">
        <v>22</v>
      </c>
      <c r="S112" s="459" t="s">
        <v>22</v>
      </c>
      <c r="T112" s="459" t="s">
        <v>22</v>
      </c>
      <c r="U112" s="459" t="s">
        <v>22</v>
      </c>
      <c r="V112" s="459" t="s">
        <v>22</v>
      </c>
      <c r="W112" s="459" t="s">
        <v>22</v>
      </c>
      <c r="X112" s="459" t="s">
        <v>22</v>
      </c>
      <c r="Y112" s="459"/>
      <c r="Z112" s="956"/>
      <c r="AA112" s="957"/>
      <c r="AB112" s="957"/>
      <c r="AC112" s="958"/>
      <c r="AD112" s="958"/>
      <c r="AE112" s="959"/>
      <c r="AF112" s="950"/>
      <c r="AG112" s="951"/>
      <c r="AH112" s="951"/>
      <c r="AI112" s="950"/>
      <c r="AJ112" s="951"/>
      <c r="AK112" s="951"/>
      <c r="AL112" s="920"/>
      <c r="AM112" s="144"/>
      <c r="AN112" s="144"/>
      <c r="AO112" s="144"/>
      <c r="AP112" s="144"/>
      <c r="AQ112" s="144"/>
      <c r="AR112" s="144"/>
      <c r="AS112" s="144"/>
      <c r="AT112" s="144"/>
      <c r="AU112" s="144"/>
      <c r="AV112" s="144"/>
      <c r="AW112" s="144"/>
      <c r="AX112" s="144"/>
      <c r="AY112" s="144"/>
      <c r="AZ112" s="144"/>
      <c r="BA112" s="144"/>
      <c r="BB112" s="144"/>
      <c r="BC112" s="144"/>
      <c r="BD112" s="144"/>
      <c r="BE112" s="144"/>
      <c r="BF112" s="144"/>
      <c r="BG112" s="50"/>
    </row>
    <row r="113" ht="11.25" customHeight="1">
      <c r="A113" s="125" t="s">
        <v>988</v>
      </c>
      <c r="B113" s="125"/>
      <c r="C113" s="125"/>
      <c r="D113" s="53"/>
      <c r="E113" s="91"/>
      <c r="F113" s="944"/>
      <c r="G113" s="952"/>
      <c r="H113" s="922" t="s">
        <v>106</v>
      </c>
      <c r="I113" s="945"/>
      <c r="J113" s="946"/>
      <c r="K113" s="449"/>
      <c r="L113" s="225"/>
      <c r="M113" s="219"/>
      <c r="N113" s="953"/>
      <c r="O113" s="954"/>
      <c r="P113" s="960"/>
      <c r="Q113" s="459"/>
      <c r="R113" s="459"/>
      <c r="S113" s="961"/>
      <c r="T113" s="459"/>
      <c r="U113" s="459"/>
      <c r="V113" s="459"/>
      <c r="W113" s="459"/>
      <c r="X113" s="459"/>
      <c r="Y113" s="459"/>
      <c r="Z113" s="962"/>
      <c r="AA113" s="963">
        <v>1</v>
      </c>
      <c r="AB113" s="964" t="s">
        <v>1024</v>
      </c>
      <c r="AC113" s="857">
        <f>0.20701*6453.08</f>
        <v>1335.8520908</v>
      </c>
      <c r="AD113" s="964" t="str">
        <f t="shared" si="50"/>
        <v xml:space="preserve">     Амортизационные отчисления в результате переоценки основных средств и нематериальных активов</v>
      </c>
      <c r="AE113" s="857"/>
      <c r="AF113" s="950"/>
      <c r="AG113" s="951"/>
      <c r="AH113" s="951"/>
      <c r="AI113" s="950"/>
      <c r="AJ113" s="951"/>
      <c r="AK113" s="951"/>
      <c r="AL113" s="920"/>
      <c r="AM113" s="144"/>
      <c r="AN113" s="144"/>
      <c r="AO113" s="144"/>
      <c r="AP113" s="144"/>
      <c r="AQ113" s="144"/>
      <c r="AR113" s="144"/>
      <c r="AS113" s="144"/>
      <c r="AT113" s="144"/>
      <c r="AU113" s="144"/>
      <c r="AV113" s="144"/>
      <c r="AW113" s="144"/>
      <c r="AX113" s="144"/>
      <c r="AY113" s="144"/>
      <c r="AZ113" s="144"/>
      <c r="BA113" s="144"/>
      <c r="BB113" s="144"/>
      <c r="BC113" s="144"/>
      <c r="BD113" s="144"/>
      <c r="BE113" s="144"/>
      <c r="BF113" s="144"/>
      <c r="BG113" s="50"/>
    </row>
    <row r="114" ht="11.25" customHeight="1">
      <c r="A114" s="125" t="s">
        <v>988</v>
      </c>
      <c r="B114" s="125"/>
      <c r="C114" s="125"/>
      <c r="D114" s="53"/>
      <c r="E114" s="91"/>
      <c r="F114" s="944"/>
      <c r="G114" s="952"/>
      <c r="H114" s="922" t="s">
        <v>106</v>
      </c>
      <c r="I114" s="945"/>
      <c r="J114" s="946"/>
      <c r="K114" s="449"/>
      <c r="L114" s="225"/>
      <c r="M114" s="219"/>
      <c r="N114" s="953"/>
      <c r="O114" s="954"/>
      <c r="P114" s="965"/>
      <c r="Q114" s="459"/>
      <c r="R114" s="459"/>
      <c r="S114" s="961"/>
      <c r="T114" s="459"/>
      <c r="U114" s="459"/>
      <c r="V114" s="459"/>
      <c r="W114" s="459"/>
      <c r="X114" s="459"/>
      <c r="Y114" s="459"/>
      <c r="Z114" s="956"/>
      <c r="AA114" s="957"/>
      <c r="AB114" s="173" t="s">
        <v>1025</v>
      </c>
      <c r="AC114" s="958"/>
      <c r="AD114" s="958"/>
      <c r="AE114" s="966"/>
      <c r="AF114" s="950"/>
      <c r="AG114" s="951"/>
      <c r="AH114" s="951"/>
      <c r="AI114" s="950"/>
      <c r="AJ114" s="951"/>
      <c r="AK114" s="951"/>
      <c r="AL114" s="920"/>
      <c r="AM114" s="144"/>
      <c r="AN114" s="144"/>
      <c r="AO114" s="144"/>
      <c r="AP114" s="144"/>
      <c r="AQ114" s="144"/>
      <c r="AR114" s="144"/>
      <c r="AS114" s="144"/>
      <c r="AT114" s="144"/>
      <c r="AU114" s="144"/>
      <c r="AV114" s="144"/>
      <c r="AW114" s="144"/>
      <c r="AX114" s="144"/>
      <c r="AY114" s="144"/>
      <c r="AZ114" s="144"/>
      <c r="BA114" s="144"/>
      <c r="BB114" s="144"/>
      <c r="BC114" s="144"/>
      <c r="BD114" s="144"/>
      <c r="BE114" s="144"/>
      <c r="BF114" s="144"/>
      <c r="BG114" s="50"/>
    </row>
    <row r="115" ht="11.25" customHeight="1">
      <c r="A115" s="125" t="s">
        <v>988</v>
      </c>
      <c r="B115" s="125"/>
      <c r="C115" s="125"/>
      <c r="D115" s="53"/>
      <c r="E115" s="91"/>
      <c r="F115" s="944"/>
      <c r="G115" s="952"/>
      <c r="H115" s="922" t="s">
        <v>106</v>
      </c>
      <c r="I115" s="945"/>
      <c r="J115" s="946"/>
      <c r="K115" s="449"/>
      <c r="L115" s="225"/>
      <c r="M115" s="219"/>
      <c r="N115" s="956"/>
      <c r="O115" s="957"/>
      <c r="P115" s="173" t="s">
        <v>1026</v>
      </c>
      <c r="Q115" s="957"/>
      <c r="R115" s="957"/>
      <c r="S115" s="957"/>
      <c r="T115" s="957"/>
      <c r="U115" s="957"/>
      <c r="V115" s="957"/>
      <c r="W115" s="957"/>
      <c r="X115" s="957"/>
      <c r="Y115" s="957"/>
      <c r="Z115" s="957"/>
      <c r="AA115" s="957"/>
      <c r="AB115" s="957"/>
      <c r="AC115" s="957"/>
      <c r="AD115" s="957"/>
      <c r="AE115" s="967"/>
      <c r="AF115" s="950"/>
      <c r="AG115" s="951"/>
      <c r="AH115" s="951"/>
      <c r="AI115" s="950"/>
      <c r="AJ115" s="951"/>
      <c r="AK115" s="951"/>
      <c r="AL115" s="920"/>
      <c r="AM115" s="144"/>
      <c r="AN115" s="144"/>
      <c r="AO115" s="144"/>
      <c r="AP115" s="144"/>
      <c r="AQ115" s="144"/>
      <c r="AR115" s="144"/>
      <c r="AS115" s="144"/>
      <c r="AT115" s="144"/>
      <c r="AU115" s="144"/>
      <c r="AV115" s="144"/>
      <c r="AW115" s="144"/>
      <c r="AX115" s="144"/>
      <c r="AY115" s="144"/>
      <c r="AZ115" s="144"/>
      <c r="BA115" s="144"/>
      <c r="BB115" s="144"/>
      <c r="BC115" s="144"/>
      <c r="BD115" s="144"/>
      <c r="BE115" s="144"/>
      <c r="BF115" s="144"/>
      <c r="BG115" s="50"/>
    </row>
    <row r="116" ht="11.25" customHeight="1">
      <c r="A116" s="125" t="s">
        <v>988</v>
      </c>
      <c r="B116" s="125" t="s">
        <v>22</v>
      </c>
      <c r="C116" s="125"/>
      <c r="D116" s="53"/>
      <c r="E116" s="91"/>
      <c r="F116" s="944"/>
      <c r="G116" s="150" t="s">
        <v>683</v>
      </c>
      <c r="H116" s="922" t="s">
        <v>90</v>
      </c>
      <c r="I116" s="945" t="s">
        <v>1020</v>
      </c>
      <c r="J116" s="946" t="s">
        <v>22</v>
      </c>
      <c r="K116" s="449" t="s">
        <v>1032</v>
      </c>
      <c r="L116" s="225" t="s">
        <v>19</v>
      </c>
      <c r="M116" s="219"/>
      <c r="N116" s="947"/>
      <c r="O116" s="948" t="s">
        <v>370</v>
      </c>
      <c r="P116" s="949"/>
      <c r="Q116" s="949"/>
      <c r="R116" s="949"/>
      <c r="S116" s="949"/>
      <c r="T116" s="949"/>
      <c r="U116" s="949"/>
      <c r="V116" s="949"/>
      <c r="W116" s="949"/>
      <c r="X116" s="949"/>
      <c r="Y116" s="949"/>
      <c r="Z116" s="949"/>
      <c r="AA116" s="949"/>
      <c r="AB116" s="949"/>
      <c r="AC116" s="949"/>
      <c r="AD116" s="949"/>
      <c r="AE116" s="949"/>
      <c r="AF116" s="950">
        <v>5</v>
      </c>
      <c r="AG116" s="951" t="s">
        <v>1022</v>
      </c>
      <c r="AH116" s="951" t="s">
        <v>1023</v>
      </c>
      <c r="AI116" s="950"/>
      <c r="AJ116" s="951"/>
      <c r="AK116" s="951"/>
      <c r="AL116" s="920"/>
      <c r="AM116" s="144"/>
      <c r="AN116" s="144"/>
      <c r="AO116" s="144"/>
      <c r="AP116" s="144"/>
      <c r="AQ116" s="144"/>
      <c r="AR116" s="144"/>
      <c r="AS116" s="144"/>
      <c r="AT116" s="144"/>
      <c r="AU116" s="144"/>
      <c r="AV116" s="144"/>
      <c r="AW116" s="144"/>
      <c r="AX116" s="144"/>
      <c r="AY116" s="144"/>
      <c r="AZ116" s="144"/>
      <c r="BA116" s="144"/>
      <c r="BB116" s="144"/>
      <c r="BC116" s="144"/>
      <c r="BD116" s="144"/>
      <c r="BE116" s="144"/>
      <c r="BF116" s="144"/>
      <c r="BG116" s="50"/>
    </row>
    <row r="117" ht="11.25" customHeight="1">
      <c r="A117" s="125" t="s">
        <v>988</v>
      </c>
      <c r="B117" s="125"/>
      <c r="C117" s="125"/>
      <c r="D117" s="53"/>
      <c r="E117" s="91"/>
      <c r="F117" s="944"/>
      <c r="G117" s="952"/>
      <c r="H117" s="922" t="s">
        <v>89</v>
      </c>
      <c r="I117" s="945"/>
      <c r="J117" s="946"/>
      <c r="K117" s="449"/>
      <c r="L117" s="225"/>
      <c r="M117" s="219"/>
      <c r="N117" s="953"/>
      <c r="O117" s="954">
        <v>1</v>
      </c>
      <c r="P117" s="955" t="s">
        <v>19</v>
      </c>
      <c r="Q117" s="459" t="s">
        <v>22</v>
      </c>
      <c r="R117" s="459" t="s">
        <v>22</v>
      </c>
      <c r="S117" s="459" t="s">
        <v>22</v>
      </c>
      <c r="T117" s="459" t="s">
        <v>22</v>
      </c>
      <c r="U117" s="459" t="s">
        <v>22</v>
      </c>
      <c r="V117" s="459" t="s">
        <v>22</v>
      </c>
      <c r="W117" s="459" t="s">
        <v>22</v>
      </c>
      <c r="X117" s="459" t="s">
        <v>22</v>
      </c>
      <c r="Y117" s="459"/>
      <c r="Z117" s="956"/>
      <c r="AA117" s="957"/>
      <c r="AB117" s="957"/>
      <c r="AC117" s="958"/>
      <c r="AD117" s="958"/>
      <c r="AE117" s="959"/>
      <c r="AF117" s="950"/>
      <c r="AG117" s="951"/>
      <c r="AH117" s="951"/>
      <c r="AI117" s="950"/>
      <c r="AJ117" s="951"/>
      <c r="AK117" s="951"/>
      <c r="AL117" s="920"/>
      <c r="AM117" s="144"/>
      <c r="AN117" s="144"/>
      <c r="AO117" s="144"/>
      <c r="AP117" s="144"/>
      <c r="AQ117" s="144"/>
      <c r="AR117" s="144"/>
      <c r="AS117" s="144"/>
      <c r="AT117" s="144"/>
      <c r="AU117" s="144"/>
      <c r="AV117" s="144"/>
      <c r="AW117" s="144"/>
      <c r="AX117" s="144"/>
      <c r="AY117" s="144"/>
      <c r="AZ117" s="144"/>
      <c r="BA117" s="144"/>
      <c r="BB117" s="144"/>
      <c r="BC117" s="144"/>
      <c r="BD117" s="144"/>
      <c r="BE117" s="144"/>
      <c r="BF117" s="144"/>
      <c r="BG117" s="50"/>
    </row>
    <row r="118" ht="11.25" customHeight="1">
      <c r="A118" s="125" t="s">
        <v>988</v>
      </c>
      <c r="B118" s="125"/>
      <c r="C118" s="125"/>
      <c r="D118" s="53"/>
      <c r="E118" s="91"/>
      <c r="F118" s="944"/>
      <c r="G118" s="952"/>
      <c r="H118" s="922" t="s">
        <v>89</v>
      </c>
      <c r="I118" s="945"/>
      <c r="J118" s="946"/>
      <c r="K118" s="449"/>
      <c r="L118" s="225"/>
      <c r="M118" s="219"/>
      <c r="N118" s="953"/>
      <c r="O118" s="954"/>
      <c r="P118" s="960"/>
      <c r="Q118" s="459"/>
      <c r="R118" s="459"/>
      <c r="S118" s="961"/>
      <c r="T118" s="459"/>
      <c r="U118" s="459"/>
      <c r="V118" s="459"/>
      <c r="W118" s="459"/>
      <c r="X118" s="459"/>
      <c r="Y118" s="459"/>
      <c r="Z118" s="962"/>
      <c r="AA118" s="963">
        <v>1</v>
      </c>
      <c r="AB118" s="964" t="s">
        <v>1024</v>
      </c>
      <c r="AC118" s="857">
        <f>0.20701*20297.45</f>
        <v>4201.7751244999999</v>
      </c>
      <c r="AD118" s="964" t="str">
        <f t="shared" si="50"/>
        <v xml:space="preserve">     Амортизационные отчисления в результате переоценки основных средств и нематериальных активов</v>
      </c>
      <c r="AE118" s="857"/>
      <c r="AF118" s="950"/>
      <c r="AG118" s="951"/>
      <c r="AH118" s="951"/>
      <c r="AI118" s="950"/>
      <c r="AJ118" s="951"/>
      <c r="AK118" s="951"/>
      <c r="AL118" s="920"/>
      <c r="AM118" s="144"/>
      <c r="AN118" s="144"/>
      <c r="AO118" s="144"/>
      <c r="AP118" s="144"/>
      <c r="AQ118" s="144"/>
      <c r="AR118" s="144"/>
      <c r="AS118" s="144"/>
      <c r="AT118" s="144"/>
      <c r="AU118" s="144"/>
      <c r="AV118" s="144"/>
      <c r="AW118" s="144"/>
      <c r="AX118" s="144"/>
      <c r="AY118" s="144"/>
      <c r="AZ118" s="144"/>
      <c r="BA118" s="144"/>
      <c r="BB118" s="144"/>
      <c r="BC118" s="144"/>
      <c r="BD118" s="144"/>
      <c r="BE118" s="144"/>
      <c r="BF118" s="144"/>
      <c r="BG118" s="50"/>
    </row>
    <row r="119" ht="11.25" customHeight="1">
      <c r="A119" s="125" t="s">
        <v>988</v>
      </c>
      <c r="B119" s="125"/>
      <c r="C119" s="125"/>
      <c r="D119" s="53"/>
      <c r="E119" s="91"/>
      <c r="F119" s="944"/>
      <c r="G119" s="952"/>
      <c r="H119" s="922" t="s">
        <v>89</v>
      </c>
      <c r="I119" s="945"/>
      <c r="J119" s="946"/>
      <c r="K119" s="449"/>
      <c r="L119" s="225"/>
      <c r="M119" s="219"/>
      <c r="N119" s="953"/>
      <c r="O119" s="954"/>
      <c r="P119" s="965"/>
      <c r="Q119" s="459"/>
      <c r="R119" s="459"/>
      <c r="S119" s="961"/>
      <c r="T119" s="459"/>
      <c r="U119" s="459"/>
      <c r="V119" s="459"/>
      <c r="W119" s="459"/>
      <c r="X119" s="459"/>
      <c r="Y119" s="459"/>
      <c r="Z119" s="956"/>
      <c r="AA119" s="957"/>
      <c r="AB119" s="173" t="s">
        <v>1025</v>
      </c>
      <c r="AC119" s="958"/>
      <c r="AD119" s="958"/>
      <c r="AE119" s="966"/>
      <c r="AF119" s="950"/>
      <c r="AG119" s="951"/>
      <c r="AH119" s="951"/>
      <c r="AI119" s="950"/>
      <c r="AJ119" s="951"/>
      <c r="AK119" s="951"/>
      <c r="AL119" s="920"/>
      <c r="AM119" s="144"/>
      <c r="AN119" s="144"/>
      <c r="AO119" s="144"/>
      <c r="AP119" s="144"/>
      <c r="AQ119" s="144"/>
      <c r="AR119" s="144"/>
      <c r="AS119" s="144"/>
      <c r="AT119" s="144"/>
      <c r="AU119" s="144"/>
      <c r="AV119" s="144"/>
      <c r="AW119" s="144"/>
      <c r="AX119" s="144"/>
      <c r="AY119" s="144"/>
      <c r="AZ119" s="144"/>
      <c r="BA119" s="144"/>
      <c r="BB119" s="144"/>
      <c r="BC119" s="144"/>
      <c r="BD119" s="144"/>
      <c r="BE119" s="144"/>
      <c r="BF119" s="144"/>
      <c r="BG119" s="50"/>
    </row>
    <row r="120" ht="11.25" customHeight="1">
      <c r="A120" s="125" t="s">
        <v>988</v>
      </c>
      <c r="B120" s="125"/>
      <c r="C120" s="125"/>
      <c r="D120" s="53"/>
      <c r="E120" s="91"/>
      <c r="F120" s="944"/>
      <c r="G120" s="952"/>
      <c r="H120" s="922" t="s">
        <v>89</v>
      </c>
      <c r="I120" s="945"/>
      <c r="J120" s="946"/>
      <c r="K120" s="449"/>
      <c r="L120" s="225"/>
      <c r="M120" s="219"/>
      <c r="N120" s="956"/>
      <c r="O120" s="957"/>
      <c r="P120" s="173" t="s">
        <v>1026</v>
      </c>
      <c r="Q120" s="957"/>
      <c r="R120" s="957"/>
      <c r="S120" s="957"/>
      <c r="T120" s="957"/>
      <c r="U120" s="957"/>
      <c r="V120" s="957"/>
      <c r="W120" s="957"/>
      <c r="X120" s="957"/>
      <c r="Y120" s="957"/>
      <c r="Z120" s="957"/>
      <c r="AA120" s="957"/>
      <c r="AB120" s="957"/>
      <c r="AC120" s="957"/>
      <c r="AD120" s="957"/>
      <c r="AE120" s="967"/>
      <c r="AF120" s="950"/>
      <c r="AG120" s="951"/>
      <c r="AH120" s="951"/>
      <c r="AI120" s="950"/>
      <c r="AJ120" s="951"/>
      <c r="AK120" s="951"/>
      <c r="AL120" s="920"/>
      <c r="AM120" s="144"/>
      <c r="AN120" s="144"/>
      <c r="AO120" s="144"/>
      <c r="AP120" s="144"/>
      <c r="AQ120" s="144"/>
      <c r="AR120" s="144"/>
      <c r="AS120" s="144"/>
      <c r="AT120" s="144"/>
      <c r="AU120" s="144"/>
      <c r="AV120" s="144"/>
      <c r="AW120" s="144"/>
      <c r="AX120" s="144"/>
      <c r="AY120" s="144"/>
      <c r="AZ120" s="144"/>
      <c r="BA120" s="144"/>
      <c r="BB120" s="144"/>
      <c r="BC120" s="144"/>
      <c r="BD120" s="144"/>
      <c r="BE120" s="144"/>
      <c r="BF120" s="144"/>
      <c r="BG120" s="50"/>
    </row>
    <row r="121" ht="11.25" customHeight="1">
      <c r="A121" s="125" t="s">
        <v>988</v>
      </c>
      <c r="B121" s="125" t="s">
        <v>22</v>
      </c>
      <c r="C121" s="125"/>
      <c r="D121" s="53"/>
      <c r="E121" s="91"/>
      <c r="F121" s="944"/>
      <c r="G121" s="150" t="s">
        <v>683</v>
      </c>
      <c r="H121" s="922" t="s">
        <v>107</v>
      </c>
      <c r="I121" s="945" t="s">
        <v>1020</v>
      </c>
      <c r="J121" s="946" t="s">
        <v>22</v>
      </c>
      <c r="K121" s="449" t="s">
        <v>1036</v>
      </c>
      <c r="L121" s="225" t="s">
        <v>19</v>
      </c>
      <c r="M121" s="219"/>
      <c r="N121" s="947"/>
      <c r="O121" s="948" t="s">
        <v>370</v>
      </c>
      <c r="P121" s="949"/>
      <c r="Q121" s="949"/>
      <c r="R121" s="949"/>
      <c r="S121" s="949"/>
      <c r="T121" s="949"/>
      <c r="U121" s="949"/>
      <c r="V121" s="949"/>
      <c r="W121" s="949"/>
      <c r="X121" s="949"/>
      <c r="Y121" s="949"/>
      <c r="Z121" s="949"/>
      <c r="AA121" s="949"/>
      <c r="AB121" s="949"/>
      <c r="AC121" s="949"/>
      <c r="AD121" s="949"/>
      <c r="AE121" s="949"/>
      <c r="AF121" s="950">
        <v>5</v>
      </c>
      <c r="AG121" s="951" t="s">
        <v>1022</v>
      </c>
      <c r="AH121" s="951" t="s">
        <v>1023</v>
      </c>
      <c r="AI121" s="950"/>
      <c r="AJ121" s="951"/>
      <c r="AK121" s="951"/>
      <c r="AL121" s="920"/>
      <c r="AM121" s="144"/>
      <c r="AN121" s="144"/>
      <c r="AO121" s="144"/>
      <c r="AP121" s="144"/>
      <c r="AQ121" s="144"/>
      <c r="AR121" s="144"/>
      <c r="AS121" s="144"/>
      <c r="AT121" s="144"/>
      <c r="AU121" s="144"/>
      <c r="AV121" s="144"/>
      <c r="AW121" s="144"/>
      <c r="AX121" s="144"/>
      <c r="AY121" s="144"/>
      <c r="AZ121" s="144"/>
      <c r="BA121" s="144"/>
      <c r="BB121" s="144"/>
      <c r="BC121" s="144"/>
      <c r="BD121" s="144"/>
      <c r="BE121" s="144"/>
      <c r="BF121" s="144"/>
      <c r="BG121" s="50"/>
    </row>
    <row r="122" ht="11.25" customHeight="1">
      <c r="A122" s="125" t="s">
        <v>988</v>
      </c>
      <c r="B122" s="125"/>
      <c r="C122" s="125"/>
      <c r="D122" s="53"/>
      <c r="E122" s="91"/>
      <c r="F122" s="944"/>
      <c r="G122" s="952"/>
      <c r="H122" s="922" t="s">
        <v>90</v>
      </c>
      <c r="I122" s="945"/>
      <c r="J122" s="946"/>
      <c r="K122" s="449"/>
      <c r="L122" s="225"/>
      <c r="M122" s="219"/>
      <c r="N122" s="953"/>
      <c r="O122" s="954">
        <v>1</v>
      </c>
      <c r="P122" s="955" t="s">
        <v>19</v>
      </c>
      <c r="Q122" s="459" t="s">
        <v>22</v>
      </c>
      <c r="R122" s="459" t="s">
        <v>22</v>
      </c>
      <c r="S122" s="459" t="s">
        <v>22</v>
      </c>
      <c r="T122" s="459" t="s">
        <v>22</v>
      </c>
      <c r="U122" s="459" t="s">
        <v>22</v>
      </c>
      <c r="V122" s="459" t="s">
        <v>22</v>
      </c>
      <c r="W122" s="459" t="s">
        <v>22</v>
      </c>
      <c r="X122" s="459" t="s">
        <v>22</v>
      </c>
      <c r="Y122" s="459"/>
      <c r="Z122" s="956"/>
      <c r="AA122" s="957"/>
      <c r="AB122" s="957"/>
      <c r="AC122" s="958"/>
      <c r="AD122" s="958"/>
      <c r="AE122" s="959"/>
      <c r="AF122" s="950"/>
      <c r="AG122" s="951"/>
      <c r="AH122" s="951"/>
      <c r="AI122" s="950"/>
      <c r="AJ122" s="951"/>
      <c r="AK122" s="951"/>
      <c r="AL122" s="920"/>
      <c r="AM122" s="144"/>
      <c r="AN122" s="144"/>
      <c r="AO122" s="144"/>
      <c r="AP122" s="144"/>
      <c r="AQ122" s="144"/>
      <c r="AR122" s="144"/>
      <c r="AS122" s="144"/>
      <c r="AT122" s="144"/>
      <c r="AU122" s="144"/>
      <c r="AV122" s="144"/>
      <c r="AW122" s="144"/>
      <c r="AX122" s="144"/>
      <c r="AY122" s="144"/>
      <c r="AZ122" s="144"/>
      <c r="BA122" s="144"/>
      <c r="BB122" s="144"/>
      <c r="BC122" s="144"/>
      <c r="BD122" s="144"/>
      <c r="BE122" s="144"/>
      <c r="BF122" s="144"/>
      <c r="BG122" s="50"/>
    </row>
    <row r="123" ht="11.25" customHeight="1">
      <c r="A123" s="125" t="s">
        <v>988</v>
      </c>
      <c r="B123" s="125"/>
      <c r="C123" s="125"/>
      <c r="D123" s="53"/>
      <c r="E123" s="91"/>
      <c r="F123" s="944"/>
      <c r="G123" s="952"/>
      <c r="H123" s="922" t="s">
        <v>90</v>
      </c>
      <c r="I123" s="945"/>
      <c r="J123" s="946"/>
      <c r="K123" s="449"/>
      <c r="L123" s="225"/>
      <c r="M123" s="219"/>
      <c r="N123" s="953"/>
      <c r="O123" s="954"/>
      <c r="P123" s="960"/>
      <c r="Q123" s="459"/>
      <c r="R123" s="459"/>
      <c r="S123" s="961"/>
      <c r="T123" s="459"/>
      <c r="U123" s="459"/>
      <c r="V123" s="459"/>
      <c r="W123" s="459"/>
      <c r="X123" s="459"/>
      <c r="Y123" s="459"/>
      <c r="Z123" s="962"/>
      <c r="AA123" s="963">
        <v>1</v>
      </c>
      <c r="AB123" s="964" t="s">
        <v>1024</v>
      </c>
      <c r="AC123" s="857">
        <f>0.20701*7706.82</f>
        <v>1595.3888081999999</v>
      </c>
      <c r="AD123" s="964" t="str">
        <f t="shared" si="50"/>
        <v xml:space="preserve">     Амортизационные отчисления в результате переоценки основных средств и нематериальных активов</v>
      </c>
      <c r="AE123" s="857"/>
      <c r="AF123" s="950"/>
      <c r="AG123" s="951"/>
      <c r="AH123" s="951"/>
      <c r="AI123" s="950"/>
      <c r="AJ123" s="951"/>
      <c r="AK123" s="951"/>
      <c r="AL123" s="920"/>
      <c r="AM123" s="144"/>
      <c r="AN123" s="144"/>
      <c r="AO123" s="144"/>
      <c r="AP123" s="144"/>
      <c r="AQ123" s="144"/>
      <c r="AR123" s="144"/>
      <c r="AS123" s="144"/>
      <c r="AT123" s="144"/>
      <c r="AU123" s="144"/>
      <c r="AV123" s="144"/>
      <c r="AW123" s="144"/>
      <c r="AX123" s="144"/>
      <c r="AY123" s="144"/>
      <c r="AZ123" s="144"/>
      <c r="BA123" s="144"/>
      <c r="BB123" s="144"/>
      <c r="BC123" s="144"/>
      <c r="BD123" s="144"/>
      <c r="BE123" s="144"/>
      <c r="BF123" s="144"/>
      <c r="BG123" s="50"/>
    </row>
    <row r="124" ht="11.25" customHeight="1">
      <c r="A124" s="125" t="s">
        <v>988</v>
      </c>
      <c r="B124" s="125"/>
      <c r="C124" s="125"/>
      <c r="D124" s="53"/>
      <c r="E124" s="91"/>
      <c r="F124" s="944"/>
      <c r="G124" s="952"/>
      <c r="H124" s="922" t="s">
        <v>90</v>
      </c>
      <c r="I124" s="945"/>
      <c r="J124" s="946"/>
      <c r="K124" s="449"/>
      <c r="L124" s="225"/>
      <c r="M124" s="219"/>
      <c r="N124" s="953"/>
      <c r="O124" s="954"/>
      <c r="P124" s="965"/>
      <c r="Q124" s="459"/>
      <c r="R124" s="459"/>
      <c r="S124" s="961"/>
      <c r="T124" s="459"/>
      <c r="U124" s="459"/>
      <c r="V124" s="459"/>
      <c r="W124" s="459"/>
      <c r="X124" s="459"/>
      <c r="Y124" s="459"/>
      <c r="Z124" s="956"/>
      <c r="AA124" s="957"/>
      <c r="AB124" s="173" t="s">
        <v>1025</v>
      </c>
      <c r="AC124" s="958"/>
      <c r="AD124" s="958"/>
      <c r="AE124" s="966"/>
      <c r="AF124" s="950"/>
      <c r="AG124" s="951"/>
      <c r="AH124" s="951"/>
      <c r="AI124" s="950"/>
      <c r="AJ124" s="951"/>
      <c r="AK124" s="951"/>
      <c r="AL124" s="920"/>
      <c r="AM124" s="144"/>
      <c r="AN124" s="144"/>
      <c r="AO124" s="144"/>
      <c r="AP124" s="144"/>
      <c r="AQ124" s="144"/>
      <c r="AR124" s="144"/>
      <c r="AS124" s="144"/>
      <c r="AT124" s="144"/>
      <c r="AU124" s="144"/>
      <c r="AV124" s="144"/>
      <c r="AW124" s="144"/>
      <c r="AX124" s="144"/>
      <c r="AY124" s="144"/>
      <c r="AZ124" s="144"/>
      <c r="BA124" s="144"/>
      <c r="BB124" s="144"/>
      <c r="BC124" s="144"/>
      <c r="BD124" s="144"/>
      <c r="BE124" s="144"/>
      <c r="BF124" s="144"/>
      <c r="BG124" s="50"/>
    </row>
    <row r="125" ht="11.25" customHeight="1">
      <c r="A125" s="125" t="s">
        <v>988</v>
      </c>
      <c r="B125" s="125"/>
      <c r="C125" s="125"/>
      <c r="D125" s="53"/>
      <c r="E125" s="91"/>
      <c r="F125" s="944"/>
      <c r="G125" s="952"/>
      <c r="H125" s="922" t="s">
        <v>90</v>
      </c>
      <c r="I125" s="945"/>
      <c r="J125" s="946"/>
      <c r="K125" s="449"/>
      <c r="L125" s="225"/>
      <c r="M125" s="219"/>
      <c r="N125" s="956"/>
      <c r="O125" s="957"/>
      <c r="P125" s="173" t="s">
        <v>1026</v>
      </c>
      <c r="Q125" s="957"/>
      <c r="R125" s="957"/>
      <c r="S125" s="957"/>
      <c r="T125" s="957"/>
      <c r="U125" s="957"/>
      <c r="V125" s="957"/>
      <c r="W125" s="957"/>
      <c r="X125" s="957"/>
      <c r="Y125" s="957"/>
      <c r="Z125" s="957"/>
      <c r="AA125" s="957"/>
      <c r="AB125" s="957"/>
      <c r="AC125" s="957"/>
      <c r="AD125" s="957"/>
      <c r="AE125" s="967"/>
      <c r="AF125" s="950"/>
      <c r="AG125" s="951"/>
      <c r="AH125" s="951"/>
      <c r="AI125" s="950"/>
      <c r="AJ125" s="951"/>
      <c r="AK125" s="951"/>
      <c r="AL125" s="920"/>
      <c r="AM125" s="144"/>
      <c r="AN125" s="144"/>
      <c r="AO125" s="144"/>
      <c r="AP125" s="144"/>
      <c r="AQ125" s="144"/>
      <c r="AR125" s="144"/>
      <c r="AS125" s="144"/>
      <c r="AT125" s="144"/>
      <c r="AU125" s="144"/>
      <c r="AV125" s="144"/>
      <c r="AW125" s="144"/>
      <c r="AX125" s="144"/>
      <c r="AY125" s="144"/>
      <c r="AZ125" s="144"/>
      <c r="BA125" s="144"/>
      <c r="BB125" s="144"/>
      <c r="BC125" s="144"/>
      <c r="BD125" s="144"/>
      <c r="BE125" s="144"/>
      <c r="BF125" s="144"/>
      <c r="BG125" s="50"/>
    </row>
    <row r="126" ht="11.25" customHeight="1">
      <c r="A126" s="125" t="s">
        <v>988</v>
      </c>
      <c r="B126" s="125" t="s">
        <v>22</v>
      </c>
      <c r="C126" s="125"/>
      <c r="D126" s="53"/>
      <c r="E126" s="91"/>
      <c r="F126" s="944"/>
      <c r="G126" s="150" t="s">
        <v>683</v>
      </c>
      <c r="H126" s="922" t="s">
        <v>91</v>
      </c>
      <c r="I126" s="945" t="s">
        <v>1020</v>
      </c>
      <c r="J126" s="946" t="s">
        <v>22</v>
      </c>
      <c r="K126" s="449" t="s">
        <v>1042</v>
      </c>
      <c r="L126" s="225" t="s">
        <v>19</v>
      </c>
      <c r="M126" s="219"/>
      <c r="N126" s="947"/>
      <c r="O126" s="948" t="s">
        <v>370</v>
      </c>
      <c r="P126" s="949"/>
      <c r="Q126" s="949"/>
      <c r="R126" s="949"/>
      <c r="S126" s="949"/>
      <c r="T126" s="949"/>
      <c r="U126" s="949"/>
      <c r="V126" s="949"/>
      <c r="W126" s="949"/>
      <c r="X126" s="949"/>
      <c r="Y126" s="949"/>
      <c r="Z126" s="949"/>
      <c r="AA126" s="949"/>
      <c r="AB126" s="949"/>
      <c r="AC126" s="949"/>
      <c r="AD126" s="949"/>
      <c r="AE126" s="949"/>
      <c r="AF126" s="950">
        <v>5</v>
      </c>
      <c r="AG126" s="951" t="s">
        <v>1022</v>
      </c>
      <c r="AH126" s="951" t="s">
        <v>1023</v>
      </c>
      <c r="AI126" s="950"/>
      <c r="AJ126" s="951"/>
      <c r="AK126" s="951"/>
      <c r="AL126" s="920"/>
      <c r="AM126" s="144"/>
      <c r="AN126" s="144"/>
      <c r="AO126" s="144"/>
      <c r="AP126" s="144"/>
      <c r="AQ126" s="144"/>
      <c r="AR126" s="144"/>
      <c r="AS126" s="144"/>
      <c r="AT126" s="144"/>
      <c r="AU126" s="144"/>
      <c r="AV126" s="144"/>
      <c r="AW126" s="144"/>
      <c r="AX126" s="144"/>
      <c r="AY126" s="144"/>
      <c r="AZ126" s="144"/>
      <c r="BA126" s="144"/>
      <c r="BB126" s="144"/>
      <c r="BC126" s="144"/>
      <c r="BD126" s="144"/>
      <c r="BE126" s="144"/>
      <c r="BF126" s="144"/>
      <c r="BG126" s="50"/>
    </row>
    <row r="127" ht="11.25" customHeight="1">
      <c r="A127" s="125" t="s">
        <v>988</v>
      </c>
      <c r="B127" s="125"/>
      <c r="C127" s="125"/>
      <c r="D127" s="53"/>
      <c r="E127" s="91"/>
      <c r="F127" s="944"/>
      <c r="G127" s="952"/>
      <c r="H127" s="922" t="s">
        <v>107</v>
      </c>
      <c r="I127" s="945"/>
      <c r="J127" s="946"/>
      <c r="K127" s="449"/>
      <c r="L127" s="225"/>
      <c r="M127" s="219"/>
      <c r="N127" s="953"/>
      <c r="O127" s="954">
        <v>1</v>
      </c>
      <c r="P127" s="955" t="s">
        <v>19</v>
      </c>
      <c r="Q127" s="459" t="s">
        <v>22</v>
      </c>
      <c r="R127" s="459" t="s">
        <v>22</v>
      </c>
      <c r="S127" s="459" t="s">
        <v>22</v>
      </c>
      <c r="T127" s="459" t="s">
        <v>22</v>
      </c>
      <c r="U127" s="459" t="s">
        <v>22</v>
      </c>
      <c r="V127" s="459" t="s">
        <v>22</v>
      </c>
      <c r="W127" s="459" t="s">
        <v>22</v>
      </c>
      <c r="X127" s="459" t="s">
        <v>22</v>
      </c>
      <c r="Y127" s="459"/>
      <c r="Z127" s="956"/>
      <c r="AA127" s="957"/>
      <c r="AB127" s="957"/>
      <c r="AC127" s="958"/>
      <c r="AD127" s="958"/>
      <c r="AE127" s="959"/>
      <c r="AF127" s="950"/>
      <c r="AG127" s="951"/>
      <c r="AH127" s="951"/>
      <c r="AI127" s="950"/>
      <c r="AJ127" s="951"/>
      <c r="AK127" s="951"/>
      <c r="AL127" s="920"/>
      <c r="AM127" s="144"/>
      <c r="AN127" s="144"/>
      <c r="AO127" s="144"/>
      <c r="AP127" s="144"/>
      <c r="AQ127" s="144"/>
      <c r="AR127" s="144"/>
      <c r="AS127" s="144"/>
      <c r="AT127" s="144"/>
      <c r="AU127" s="144"/>
      <c r="AV127" s="144"/>
      <c r="AW127" s="144"/>
      <c r="AX127" s="144"/>
      <c r="AY127" s="144"/>
      <c r="AZ127" s="144"/>
      <c r="BA127" s="144"/>
      <c r="BB127" s="144"/>
      <c r="BC127" s="144"/>
      <c r="BD127" s="144"/>
      <c r="BE127" s="144"/>
      <c r="BF127" s="144"/>
      <c r="BG127" s="50"/>
    </row>
    <row r="128" ht="11.25" customHeight="1">
      <c r="A128" s="125" t="s">
        <v>988</v>
      </c>
      <c r="B128" s="125"/>
      <c r="C128" s="125"/>
      <c r="D128" s="53"/>
      <c r="E128" s="91"/>
      <c r="F128" s="944"/>
      <c r="G128" s="952"/>
      <c r="H128" s="922" t="s">
        <v>107</v>
      </c>
      <c r="I128" s="945"/>
      <c r="J128" s="946"/>
      <c r="K128" s="449"/>
      <c r="L128" s="225"/>
      <c r="M128" s="219"/>
      <c r="N128" s="953"/>
      <c r="O128" s="954"/>
      <c r="P128" s="960"/>
      <c r="Q128" s="459"/>
      <c r="R128" s="459"/>
      <c r="S128" s="961"/>
      <c r="T128" s="459"/>
      <c r="U128" s="459"/>
      <c r="V128" s="459"/>
      <c r="W128" s="459"/>
      <c r="X128" s="459"/>
      <c r="Y128" s="459"/>
      <c r="Z128" s="962"/>
      <c r="AA128" s="963">
        <v>1</v>
      </c>
      <c r="AB128" s="964" t="s">
        <v>1024</v>
      </c>
      <c r="AC128" s="857">
        <f>0.20701*26682.14</f>
        <v>5523.4698013999996</v>
      </c>
      <c r="AD128" s="964" t="str">
        <f t="shared" si="50"/>
        <v xml:space="preserve">     Амортизационные отчисления в результате переоценки основных средств и нематериальных активов</v>
      </c>
      <c r="AE128" s="857"/>
      <c r="AF128" s="950"/>
      <c r="AG128" s="951"/>
      <c r="AH128" s="951"/>
      <c r="AI128" s="950"/>
      <c r="AJ128" s="951"/>
      <c r="AK128" s="951"/>
      <c r="AL128" s="920"/>
      <c r="AM128" s="144"/>
      <c r="AN128" s="144"/>
      <c r="AO128" s="144"/>
      <c r="AP128" s="144"/>
      <c r="AQ128" s="144"/>
      <c r="AR128" s="144"/>
      <c r="AS128" s="144"/>
      <c r="AT128" s="144"/>
      <c r="AU128" s="144"/>
      <c r="AV128" s="144"/>
      <c r="AW128" s="144"/>
      <c r="AX128" s="144"/>
      <c r="AY128" s="144"/>
      <c r="AZ128" s="144"/>
      <c r="BA128" s="144"/>
      <c r="BB128" s="144"/>
      <c r="BC128" s="144"/>
      <c r="BD128" s="144"/>
      <c r="BE128" s="144"/>
      <c r="BF128" s="144"/>
      <c r="BG128" s="50"/>
    </row>
    <row r="129" ht="11.25" customHeight="1">
      <c r="A129" s="125" t="s">
        <v>988</v>
      </c>
      <c r="B129" s="125"/>
      <c r="C129" s="125"/>
      <c r="D129" s="53"/>
      <c r="E129" s="91"/>
      <c r="F129" s="944"/>
      <c r="G129" s="952"/>
      <c r="H129" s="922" t="s">
        <v>107</v>
      </c>
      <c r="I129" s="945"/>
      <c r="J129" s="946"/>
      <c r="K129" s="449"/>
      <c r="L129" s="225"/>
      <c r="M129" s="219"/>
      <c r="N129" s="953"/>
      <c r="O129" s="954"/>
      <c r="P129" s="965"/>
      <c r="Q129" s="459"/>
      <c r="R129" s="459"/>
      <c r="S129" s="961"/>
      <c r="T129" s="459"/>
      <c r="U129" s="459"/>
      <c r="V129" s="459"/>
      <c r="W129" s="459"/>
      <c r="X129" s="459"/>
      <c r="Y129" s="459"/>
      <c r="Z129" s="956"/>
      <c r="AA129" s="957"/>
      <c r="AB129" s="173" t="s">
        <v>1025</v>
      </c>
      <c r="AC129" s="958"/>
      <c r="AD129" s="958"/>
      <c r="AE129" s="966"/>
      <c r="AF129" s="950"/>
      <c r="AG129" s="951"/>
      <c r="AH129" s="951"/>
      <c r="AI129" s="950"/>
      <c r="AJ129" s="951"/>
      <c r="AK129" s="951"/>
      <c r="AL129" s="920"/>
      <c r="AM129" s="144"/>
      <c r="AN129" s="144"/>
      <c r="AO129" s="144"/>
      <c r="AP129" s="144"/>
      <c r="AQ129" s="144"/>
      <c r="AR129" s="144"/>
      <c r="AS129" s="144"/>
      <c r="AT129" s="144"/>
      <c r="AU129" s="144"/>
      <c r="AV129" s="144"/>
      <c r="AW129" s="144"/>
      <c r="AX129" s="144"/>
      <c r="AY129" s="144"/>
      <c r="AZ129" s="144"/>
      <c r="BA129" s="144"/>
      <c r="BB129" s="144"/>
      <c r="BC129" s="144"/>
      <c r="BD129" s="144"/>
      <c r="BE129" s="144"/>
      <c r="BF129" s="144"/>
      <c r="BG129" s="50"/>
    </row>
    <row r="130" ht="11.25" customHeight="1">
      <c r="A130" s="125" t="s">
        <v>988</v>
      </c>
      <c r="B130" s="125"/>
      <c r="C130" s="125"/>
      <c r="D130" s="53"/>
      <c r="E130" s="91"/>
      <c r="F130" s="944"/>
      <c r="G130" s="952"/>
      <c r="H130" s="922" t="s">
        <v>107</v>
      </c>
      <c r="I130" s="945"/>
      <c r="J130" s="946"/>
      <c r="K130" s="449"/>
      <c r="L130" s="225"/>
      <c r="M130" s="219"/>
      <c r="N130" s="956"/>
      <c r="O130" s="957"/>
      <c r="P130" s="173" t="s">
        <v>1026</v>
      </c>
      <c r="Q130" s="957"/>
      <c r="R130" s="957"/>
      <c r="S130" s="957"/>
      <c r="T130" s="957"/>
      <c r="U130" s="957"/>
      <c r="V130" s="957"/>
      <c r="W130" s="957"/>
      <c r="X130" s="957"/>
      <c r="Y130" s="957"/>
      <c r="Z130" s="957"/>
      <c r="AA130" s="957"/>
      <c r="AB130" s="957"/>
      <c r="AC130" s="957"/>
      <c r="AD130" s="957"/>
      <c r="AE130" s="967"/>
      <c r="AF130" s="950"/>
      <c r="AG130" s="951"/>
      <c r="AH130" s="951"/>
      <c r="AI130" s="950"/>
      <c r="AJ130" s="951"/>
      <c r="AK130" s="951"/>
      <c r="AL130" s="920"/>
      <c r="AM130" s="144"/>
      <c r="AN130" s="144"/>
      <c r="AO130" s="144"/>
      <c r="AP130" s="144"/>
      <c r="AQ130" s="144"/>
      <c r="AR130" s="144"/>
      <c r="AS130" s="144"/>
      <c r="AT130" s="144"/>
      <c r="AU130" s="144"/>
      <c r="AV130" s="144"/>
      <c r="AW130" s="144"/>
      <c r="AX130" s="144"/>
      <c r="AY130" s="144"/>
      <c r="AZ130" s="144"/>
      <c r="BA130" s="144"/>
      <c r="BB130" s="144"/>
      <c r="BC130" s="144"/>
      <c r="BD130" s="144"/>
      <c r="BE130" s="144"/>
      <c r="BF130" s="144"/>
      <c r="BG130" s="50"/>
    </row>
    <row r="131" ht="11.25" customHeight="1">
      <c r="A131" s="125" t="s">
        <v>988</v>
      </c>
      <c r="B131" s="125" t="s">
        <v>22</v>
      </c>
      <c r="C131" s="125"/>
      <c r="D131" s="53"/>
      <c r="E131" s="91"/>
      <c r="F131" s="944"/>
      <c r="G131" s="150" t="s">
        <v>683</v>
      </c>
      <c r="H131" s="922" t="s">
        <v>92</v>
      </c>
      <c r="I131" s="945" t="s">
        <v>1020</v>
      </c>
      <c r="J131" s="946" t="s">
        <v>22</v>
      </c>
      <c r="K131" s="449" t="s">
        <v>1040</v>
      </c>
      <c r="L131" s="225" t="s">
        <v>19</v>
      </c>
      <c r="M131" s="219"/>
      <c r="N131" s="947"/>
      <c r="O131" s="948" t="s">
        <v>370</v>
      </c>
      <c r="P131" s="949"/>
      <c r="Q131" s="949"/>
      <c r="R131" s="949"/>
      <c r="S131" s="949"/>
      <c r="T131" s="949"/>
      <c r="U131" s="949"/>
      <c r="V131" s="949"/>
      <c r="W131" s="949"/>
      <c r="X131" s="949"/>
      <c r="Y131" s="949"/>
      <c r="Z131" s="949"/>
      <c r="AA131" s="949"/>
      <c r="AB131" s="949"/>
      <c r="AC131" s="949"/>
      <c r="AD131" s="949"/>
      <c r="AE131" s="949"/>
      <c r="AF131" s="950">
        <v>4</v>
      </c>
      <c r="AG131" s="951" t="s">
        <v>1022</v>
      </c>
      <c r="AH131" s="951" t="s">
        <v>1023</v>
      </c>
      <c r="AI131" s="950"/>
      <c r="AJ131" s="951"/>
      <c r="AK131" s="951"/>
      <c r="AL131" s="920"/>
      <c r="AM131" s="144"/>
      <c r="AN131" s="144"/>
      <c r="AO131" s="144"/>
      <c r="AP131" s="144"/>
      <c r="AQ131" s="144"/>
      <c r="AR131" s="144"/>
      <c r="AS131" s="144"/>
      <c r="AT131" s="144"/>
      <c r="AU131" s="144"/>
      <c r="AV131" s="144"/>
      <c r="AW131" s="144"/>
      <c r="AX131" s="144"/>
      <c r="AY131" s="144"/>
      <c r="AZ131" s="144"/>
      <c r="BA131" s="144"/>
      <c r="BB131" s="144"/>
      <c r="BC131" s="144"/>
      <c r="BD131" s="144"/>
      <c r="BE131" s="144"/>
      <c r="BF131" s="144"/>
      <c r="BG131" s="50"/>
    </row>
    <row r="132" ht="11.25" customHeight="1">
      <c r="A132" s="125" t="s">
        <v>988</v>
      </c>
      <c r="B132" s="125"/>
      <c r="C132" s="125"/>
      <c r="D132" s="53"/>
      <c r="E132" s="91"/>
      <c r="F132" s="944"/>
      <c r="G132" s="952"/>
      <c r="H132" s="922" t="s">
        <v>91</v>
      </c>
      <c r="I132" s="945"/>
      <c r="J132" s="946"/>
      <c r="K132" s="449"/>
      <c r="L132" s="225"/>
      <c r="M132" s="219"/>
      <c r="N132" s="953"/>
      <c r="O132" s="954">
        <v>1</v>
      </c>
      <c r="P132" s="955" t="s">
        <v>19</v>
      </c>
      <c r="Q132" s="459" t="s">
        <v>22</v>
      </c>
      <c r="R132" s="459" t="s">
        <v>22</v>
      </c>
      <c r="S132" s="459" t="s">
        <v>22</v>
      </c>
      <c r="T132" s="459" t="s">
        <v>22</v>
      </c>
      <c r="U132" s="459" t="s">
        <v>22</v>
      </c>
      <c r="V132" s="459" t="s">
        <v>22</v>
      </c>
      <c r="W132" s="459" t="s">
        <v>22</v>
      </c>
      <c r="X132" s="459" t="s">
        <v>22</v>
      </c>
      <c r="Y132" s="459"/>
      <c r="Z132" s="956"/>
      <c r="AA132" s="957"/>
      <c r="AB132" s="957"/>
      <c r="AC132" s="958"/>
      <c r="AD132" s="958"/>
      <c r="AE132" s="959"/>
      <c r="AF132" s="950"/>
      <c r="AG132" s="951"/>
      <c r="AH132" s="951"/>
      <c r="AI132" s="950"/>
      <c r="AJ132" s="951"/>
      <c r="AK132" s="951"/>
      <c r="AL132" s="920"/>
      <c r="AM132" s="144"/>
      <c r="AN132" s="144"/>
      <c r="AO132" s="144"/>
      <c r="AP132" s="144"/>
      <c r="AQ132" s="144"/>
      <c r="AR132" s="144"/>
      <c r="AS132" s="144"/>
      <c r="AT132" s="144"/>
      <c r="AU132" s="144"/>
      <c r="AV132" s="144"/>
      <c r="AW132" s="144"/>
      <c r="AX132" s="144"/>
      <c r="AY132" s="144"/>
      <c r="AZ132" s="144"/>
      <c r="BA132" s="144"/>
      <c r="BB132" s="144"/>
      <c r="BC132" s="144"/>
      <c r="BD132" s="144"/>
      <c r="BE132" s="144"/>
      <c r="BF132" s="144"/>
      <c r="BG132" s="50"/>
    </row>
    <row r="133" ht="11.25" customHeight="1">
      <c r="A133" s="125" t="s">
        <v>988</v>
      </c>
      <c r="B133" s="125"/>
      <c r="C133" s="125"/>
      <c r="D133" s="53"/>
      <c r="E133" s="91"/>
      <c r="F133" s="944"/>
      <c r="G133" s="952"/>
      <c r="H133" s="922" t="s">
        <v>91</v>
      </c>
      <c r="I133" s="945"/>
      <c r="J133" s="946"/>
      <c r="K133" s="449"/>
      <c r="L133" s="225"/>
      <c r="M133" s="219"/>
      <c r="N133" s="953"/>
      <c r="O133" s="954"/>
      <c r="P133" s="960"/>
      <c r="Q133" s="459"/>
      <c r="R133" s="459"/>
      <c r="S133" s="961"/>
      <c r="T133" s="459"/>
      <c r="U133" s="459"/>
      <c r="V133" s="459"/>
      <c r="W133" s="459"/>
      <c r="X133" s="459"/>
      <c r="Y133" s="459"/>
      <c r="Z133" s="962"/>
      <c r="AA133" s="963">
        <v>1</v>
      </c>
      <c r="AB133" s="964" t="s">
        <v>1024</v>
      </c>
      <c r="AC133" s="857">
        <f>0.20701*15886.81</f>
        <v>3288.7285380999997</v>
      </c>
      <c r="AD133" s="964" t="str">
        <f t="shared" si="50"/>
        <v xml:space="preserve">     Амортизационные отчисления в результате переоценки основных средств и нематериальных активов</v>
      </c>
      <c r="AE133" s="857"/>
      <c r="AF133" s="950"/>
      <c r="AG133" s="951"/>
      <c r="AH133" s="951"/>
      <c r="AI133" s="950"/>
      <c r="AJ133" s="951"/>
      <c r="AK133" s="951"/>
      <c r="AL133" s="920"/>
      <c r="AM133" s="144"/>
      <c r="AN133" s="144"/>
      <c r="AO133" s="144"/>
      <c r="AP133" s="144"/>
      <c r="AQ133" s="144"/>
      <c r="AR133" s="144"/>
      <c r="AS133" s="144"/>
      <c r="AT133" s="144"/>
      <c r="AU133" s="144"/>
      <c r="AV133" s="144"/>
      <c r="AW133" s="144"/>
      <c r="AX133" s="144"/>
      <c r="AY133" s="144"/>
      <c r="AZ133" s="144"/>
      <c r="BA133" s="144"/>
      <c r="BB133" s="144"/>
      <c r="BC133" s="144"/>
      <c r="BD133" s="144"/>
      <c r="BE133" s="144"/>
      <c r="BF133" s="144"/>
      <c r="BG133" s="50"/>
    </row>
    <row r="134" ht="11.25" customHeight="1">
      <c r="A134" s="125" t="s">
        <v>988</v>
      </c>
      <c r="B134" s="125"/>
      <c r="C134" s="125"/>
      <c r="D134" s="53"/>
      <c r="E134" s="91"/>
      <c r="F134" s="944"/>
      <c r="G134" s="952"/>
      <c r="H134" s="922" t="s">
        <v>91</v>
      </c>
      <c r="I134" s="945"/>
      <c r="J134" s="946"/>
      <c r="K134" s="449"/>
      <c r="L134" s="225"/>
      <c r="M134" s="219"/>
      <c r="N134" s="953"/>
      <c r="O134" s="954"/>
      <c r="P134" s="965"/>
      <c r="Q134" s="459"/>
      <c r="R134" s="459"/>
      <c r="S134" s="961"/>
      <c r="T134" s="459"/>
      <c r="U134" s="459"/>
      <c r="V134" s="459"/>
      <c r="W134" s="459"/>
      <c r="X134" s="459"/>
      <c r="Y134" s="459"/>
      <c r="Z134" s="956"/>
      <c r="AA134" s="957"/>
      <c r="AB134" s="173" t="s">
        <v>1025</v>
      </c>
      <c r="AC134" s="958"/>
      <c r="AD134" s="958"/>
      <c r="AE134" s="966"/>
      <c r="AF134" s="950"/>
      <c r="AG134" s="951"/>
      <c r="AH134" s="951"/>
      <c r="AI134" s="950"/>
      <c r="AJ134" s="951"/>
      <c r="AK134" s="951"/>
      <c r="AL134" s="920"/>
      <c r="AM134" s="144"/>
      <c r="AN134" s="144"/>
      <c r="AO134" s="144"/>
      <c r="AP134" s="144"/>
      <c r="AQ134" s="144"/>
      <c r="AR134" s="144"/>
      <c r="AS134" s="144"/>
      <c r="AT134" s="144"/>
      <c r="AU134" s="144"/>
      <c r="AV134" s="144"/>
      <c r="AW134" s="144"/>
      <c r="AX134" s="144"/>
      <c r="AY134" s="144"/>
      <c r="AZ134" s="144"/>
      <c r="BA134" s="144"/>
      <c r="BB134" s="144"/>
      <c r="BC134" s="144"/>
      <c r="BD134" s="144"/>
      <c r="BE134" s="144"/>
      <c r="BF134" s="144"/>
      <c r="BG134" s="50"/>
    </row>
    <row r="135" ht="11.25" customHeight="1">
      <c r="A135" s="125" t="s">
        <v>988</v>
      </c>
      <c r="B135" s="125"/>
      <c r="C135" s="125"/>
      <c r="D135" s="53"/>
      <c r="E135" s="91"/>
      <c r="F135" s="944"/>
      <c r="G135" s="952"/>
      <c r="H135" s="922" t="s">
        <v>91</v>
      </c>
      <c r="I135" s="945"/>
      <c r="J135" s="946"/>
      <c r="K135" s="449"/>
      <c r="L135" s="225"/>
      <c r="M135" s="219"/>
      <c r="N135" s="956"/>
      <c r="O135" s="957"/>
      <c r="P135" s="173" t="s">
        <v>1026</v>
      </c>
      <c r="Q135" s="957"/>
      <c r="R135" s="957"/>
      <c r="S135" s="957"/>
      <c r="T135" s="957"/>
      <c r="U135" s="957"/>
      <c r="V135" s="957"/>
      <c r="W135" s="957"/>
      <c r="X135" s="957"/>
      <c r="Y135" s="957"/>
      <c r="Z135" s="957"/>
      <c r="AA135" s="957"/>
      <c r="AB135" s="957"/>
      <c r="AC135" s="957"/>
      <c r="AD135" s="957"/>
      <c r="AE135" s="967"/>
      <c r="AF135" s="950"/>
      <c r="AG135" s="951"/>
      <c r="AH135" s="951"/>
      <c r="AI135" s="950"/>
      <c r="AJ135" s="951"/>
      <c r="AK135" s="951"/>
      <c r="AL135" s="920"/>
      <c r="AM135" s="144"/>
      <c r="AN135" s="144"/>
      <c r="AO135" s="144"/>
      <c r="AP135" s="144"/>
      <c r="AQ135" s="144"/>
      <c r="AR135" s="144"/>
      <c r="AS135" s="144"/>
      <c r="AT135" s="144"/>
      <c r="AU135" s="144"/>
      <c r="AV135" s="144"/>
      <c r="AW135" s="144"/>
      <c r="AX135" s="144"/>
      <c r="AY135" s="144"/>
      <c r="AZ135" s="144"/>
      <c r="BA135" s="144"/>
      <c r="BB135" s="144"/>
      <c r="BC135" s="144"/>
      <c r="BD135" s="144"/>
      <c r="BE135" s="144"/>
      <c r="BF135" s="144"/>
      <c r="BG135" s="50"/>
    </row>
    <row r="136" ht="12" customHeight="1">
      <c r="A136" s="125" t="s">
        <v>988</v>
      </c>
      <c r="B136" s="125"/>
      <c r="C136" s="125"/>
      <c r="D136" s="53"/>
      <c r="E136" s="91"/>
      <c r="F136" s="971"/>
      <c r="G136" s="972"/>
      <c r="H136" s="972"/>
      <c r="I136" s="973" t="s">
        <v>1038</v>
      </c>
      <c r="J136" s="973"/>
      <c r="K136" s="973"/>
      <c r="L136" s="974"/>
      <c r="M136" s="974"/>
      <c r="N136" s="975"/>
      <c r="O136" s="975"/>
      <c r="P136" s="975"/>
      <c r="Q136" s="975"/>
      <c r="R136" s="975"/>
      <c r="S136" s="975"/>
      <c r="T136" s="975"/>
      <c r="U136" s="975"/>
      <c r="V136" s="975"/>
      <c r="W136" s="975"/>
      <c r="X136" s="975"/>
      <c r="Y136" s="975"/>
      <c r="Z136" s="975"/>
      <c r="AA136" s="975"/>
      <c r="AB136" s="975"/>
      <c r="AC136" s="975"/>
      <c r="AD136" s="975"/>
      <c r="AE136" s="975"/>
      <c r="AF136" s="975"/>
      <c r="AG136" s="974"/>
      <c r="AH136" s="974"/>
      <c r="AI136" s="975"/>
      <c r="AJ136" s="974"/>
      <c r="AK136" s="975"/>
      <c r="AL136" s="920"/>
      <c r="AM136" s="144"/>
      <c r="AN136" s="144"/>
      <c r="AO136" s="144"/>
      <c r="AP136" s="144"/>
      <c r="AQ136" s="144"/>
      <c r="AR136" s="144"/>
      <c r="AS136" s="144"/>
      <c r="AT136" s="144"/>
      <c r="AU136" s="144"/>
      <c r="AV136" s="144"/>
      <c r="AW136" s="144"/>
      <c r="AX136" s="144"/>
      <c r="AY136" s="144"/>
      <c r="AZ136" s="144"/>
      <c r="BA136" s="144"/>
      <c r="BB136" s="144"/>
      <c r="BC136" s="144"/>
      <c r="BD136" s="144"/>
      <c r="BE136" s="144"/>
      <c r="BF136" s="144"/>
      <c r="BG136" s="50"/>
    </row>
    <row r="137" ht="0.75" customHeight="1">
      <c r="A137" s="125" t="s">
        <v>988</v>
      </c>
      <c r="B137" s="125"/>
      <c r="C137" s="125"/>
      <c r="D137" s="53"/>
      <c r="E137" s="91"/>
      <c r="F137" s="921">
        <v>2028</v>
      </c>
      <c r="G137" s="922"/>
      <c r="H137" s="923" t="s">
        <v>370</v>
      </c>
      <c r="I137" s="924"/>
      <c r="J137" s="161"/>
      <c r="K137" s="161"/>
      <c r="L137" s="925"/>
      <c r="M137" s="537"/>
      <c r="N137" s="926"/>
      <c r="O137" s="927"/>
      <c r="P137" s="926"/>
      <c r="Q137" s="926"/>
      <c r="R137" s="926"/>
      <c r="S137" s="926"/>
      <c r="T137" s="926"/>
      <c r="U137" s="926"/>
      <c r="V137" s="926"/>
      <c r="W137" s="926"/>
      <c r="X137" s="926"/>
      <c r="Y137" s="926"/>
      <c r="Z137" s="926"/>
      <c r="AA137" s="926"/>
      <c r="AB137" s="926"/>
      <c r="AC137" s="926"/>
      <c r="AD137" s="926"/>
      <c r="AE137" s="926"/>
      <c r="AF137" s="928"/>
      <c r="AG137" s="925"/>
      <c r="AH137" s="925"/>
      <c r="AI137" s="928"/>
      <c r="AJ137" s="925"/>
      <c r="AK137" s="925"/>
      <c r="AL137" s="920"/>
      <c r="AM137" s="144"/>
      <c r="AN137" s="144"/>
      <c r="AO137" s="144"/>
      <c r="AP137" s="144"/>
      <c r="AQ137" s="144"/>
      <c r="AR137" s="144"/>
      <c r="AS137" s="144"/>
      <c r="AT137" s="144"/>
      <c r="AU137" s="144"/>
      <c r="AV137" s="144"/>
      <c r="AW137" s="144"/>
      <c r="AX137" s="144"/>
      <c r="AY137" s="144"/>
      <c r="AZ137" s="144"/>
      <c r="BA137" s="144"/>
      <c r="BB137" s="144"/>
      <c r="BC137" s="144"/>
      <c r="BD137" s="144"/>
      <c r="BE137" s="144"/>
      <c r="BF137" s="144"/>
      <c r="BG137" s="50"/>
    </row>
    <row r="138" ht="0.75" customHeight="1">
      <c r="A138" s="125" t="s">
        <v>988</v>
      </c>
      <c r="B138" s="125"/>
      <c r="C138" s="125"/>
      <c r="D138" s="53"/>
      <c r="E138" s="91"/>
      <c r="F138" s="921"/>
      <c r="G138" s="922"/>
      <c r="H138" s="923"/>
      <c r="I138" s="924"/>
      <c r="J138" s="161"/>
      <c r="K138" s="161"/>
      <c r="L138" s="925"/>
      <c r="M138" s="537"/>
      <c r="N138" s="929"/>
      <c r="O138" s="930"/>
      <c r="P138" s="931"/>
      <c r="Q138" s="161"/>
      <c r="R138" s="161"/>
      <c r="S138" s="161"/>
      <c r="T138" s="161"/>
      <c r="U138" s="161"/>
      <c r="V138" s="161"/>
      <c r="W138" s="161"/>
      <c r="X138" s="161"/>
      <c r="Y138" s="161"/>
      <c r="Z138" s="932"/>
      <c r="AA138" s="933"/>
      <c r="AB138" s="933"/>
      <c r="AC138" s="934"/>
      <c r="AD138" s="934"/>
      <c r="AE138" s="935"/>
      <c r="AF138" s="928"/>
      <c r="AG138" s="925"/>
      <c r="AH138" s="925"/>
      <c r="AI138" s="928"/>
      <c r="AJ138" s="925"/>
      <c r="AK138" s="925"/>
      <c r="AL138" s="920"/>
      <c r="AM138" s="144"/>
      <c r="AN138" s="144"/>
      <c r="AO138" s="144"/>
      <c r="AP138" s="144"/>
      <c r="AQ138" s="144"/>
      <c r="AR138" s="144"/>
      <c r="AS138" s="144"/>
      <c r="AT138" s="144"/>
      <c r="AU138" s="144"/>
      <c r="AV138" s="144"/>
      <c r="AW138" s="144"/>
      <c r="AX138" s="144"/>
      <c r="AY138" s="144"/>
      <c r="AZ138" s="144"/>
      <c r="BA138" s="144"/>
      <c r="BB138" s="144"/>
      <c r="BC138" s="144"/>
      <c r="BD138" s="144"/>
      <c r="BE138" s="144"/>
      <c r="BF138" s="144"/>
      <c r="BG138" s="50"/>
    </row>
    <row r="139" ht="0.75" customHeight="1">
      <c r="A139" s="125" t="s">
        <v>988</v>
      </c>
      <c r="B139" s="125"/>
      <c r="C139" s="125"/>
      <c r="D139" s="53"/>
      <c r="E139" s="91"/>
      <c r="F139" s="921"/>
      <c r="G139" s="922"/>
      <c r="H139" s="923"/>
      <c r="I139" s="924"/>
      <c r="J139" s="161"/>
      <c r="K139" s="161"/>
      <c r="L139" s="925"/>
      <c r="M139" s="537"/>
      <c r="N139" s="929"/>
      <c r="O139" s="930"/>
      <c r="P139" s="936"/>
      <c r="Q139" s="161"/>
      <c r="R139" s="161"/>
      <c r="S139" s="161"/>
      <c r="T139" s="161"/>
      <c r="U139" s="161"/>
      <c r="V139" s="161"/>
      <c r="W139" s="161"/>
      <c r="X139" s="161"/>
      <c r="Y139" s="161"/>
      <c r="Z139" s="937"/>
      <c r="AA139" s="930"/>
      <c r="AB139" s="938"/>
      <c r="AC139" s="939"/>
      <c r="AD139" s="938"/>
      <c r="AE139" s="939"/>
      <c r="AF139" s="928"/>
      <c r="AG139" s="925"/>
      <c r="AH139" s="925"/>
      <c r="AI139" s="928"/>
      <c r="AJ139" s="925"/>
      <c r="AK139" s="925"/>
      <c r="AL139" s="920"/>
      <c r="AM139" s="144"/>
      <c r="AN139" s="144"/>
      <c r="AO139" s="144"/>
      <c r="AP139" s="144"/>
      <c r="AQ139" s="144"/>
      <c r="AR139" s="144"/>
      <c r="AS139" s="144"/>
      <c r="AT139" s="144"/>
      <c r="AU139" s="144"/>
      <c r="AV139" s="144"/>
      <c r="AW139" s="144"/>
      <c r="AX139" s="144"/>
      <c r="AY139" s="144"/>
      <c r="AZ139" s="144"/>
      <c r="BA139" s="144"/>
      <c r="BB139" s="144"/>
      <c r="BC139" s="144"/>
      <c r="BD139" s="144"/>
      <c r="BE139" s="144"/>
      <c r="BF139" s="144"/>
      <c r="BG139" s="50"/>
    </row>
    <row r="140" ht="0.75" customHeight="1">
      <c r="A140" s="125" t="s">
        <v>988</v>
      </c>
      <c r="B140" s="125"/>
      <c r="C140" s="125"/>
      <c r="D140" s="53"/>
      <c r="E140" s="91"/>
      <c r="F140" s="921"/>
      <c r="G140" s="922"/>
      <c r="H140" s="923"/>
      <c r="I140" s="924"/>
      <c r="J140" s="161"/>
      <c r="K140" s="161"/>
      <c r="L140" s="925"/>
      <c r="M140" s="537"/>
      <c r="N140" s="929"/>
      <c r="O140" s="930"/>
      <c r="P140" s="940"/>
      <c r="Q140" s="161"/>
      <c r="R140" s="161"/>
      <c r="S140" s="161"/>
      <c r="T140" s="161"/>
      <c r="U140" s="161"/>
      <c r="V140" s="161"/>
      <c r="W140" s="161"/>
      <c r="X140" s="161"/>
      <c r="Y140" s="161"/>
      <c r="Z140" s="932"/>
      <c r="AA140" s="933"/>
      <c r="AB140" s="941"/>
      <c r="AC140" s="934"/>
      <c r="AD140" s="934"/>
      <c r="AE140" s="942"/>
      <c r="AF140" s="928"/>
      <c r="AG140" s="925"/>
      <c r="AH140" s="925"/>
      <c r="AI140" s="928"/>
      <c r="AJ140" s="925"/>
      <c r="AK140" s="925"/>
      <c r="AL140" s="920"/>
      <c r="AM140" s="144"/>
      <c r="AN140" s="144"/>
      <c r="AO140" s="144"/>
      <c r="AP140" s="144"/>
      <c r="AQ140" s="144"/>
      <c r="AR140" s="144"/>
      <c r="AS140" s="144"/>
      <c r="AT140" s="144"/>
      <c r="AU140" s="144"/>
      <c r="AV140" s="144"/>
      <c r="AW140" s="144"/>
      <c r="AX140" s="144"/>
      <c r="AY140" s="144"/>
      <c r="AZ140" s="144"/>
      <c r="BA140" s="144"/>
      <c r="BB140" s="144"/>
      <c r="BC140" s="144"/>
      <c r="BD140" s="144"/>
      <c r="BE140" s="144"/>
      <c r="BF140" s="144"/>
      <c r="BG140" s="50"/>
    </row>
    <row r="141" ht="0.75" customHeight="1">
      <c r="A141" s="125" t="s">
        <v>988</v>
      </c>
      <c r="B141" s="125"/>
      <c r="C141" s="125"/>
      <c r="D141" s="53"/>
      <c r="E141" s="91"/>
      <c r="F141" s="921"/>
      <c r="G141" s="922"/>
      <c r="H141" s="923"/>
      <c r="I141" s="924"/>
      <c r="J141" s="161"/>
      <c r="K141" s="161"/>
      <c r="L141" s="925"/>
      <c r="M141" s="537"/>
      <c r="N141" s="933"/>
      <c r="O141" s="933"/>
      <c r="P141" s="941"/>
      <c r="Q141" s="933"/>
      <c r="R141" s="933"/>
      <c r="S141" s="933"/>
      <c r="T141" s="933"/>
      <c r="U141" s="933"/>
      <c r="V141" s="933"/>
      <c r="W141" s="933"/>
      <c r="X141" s="933"/>
      <c r="Y141" s="933"/>
      <c r="Z141" s="933"/>
      <c r="AA141" s="933"/>
      <c r="AB141" s="933"/>
      <c r="AC141" s="933"/>
      <c r="AD141" s="933"/>
      <c r="AE141" s="943"/>
      <c r="AF141" s="928"/>
      <c r="AG141" s="925"/>
      <c r="AH141" s="925"/>
      <c r="AI141" s="928"/>
      <c r="AJ141" s="925"/>
      <c r="AK141" s="925"/>
      <c r="AL141" s="920"/>
      <c r="AM141" s="144"/>
      <c r="AN141" s="144"/>
      <c r="AO141" s="144"/>
      <c r="AP141" s="144"/>
      <c r="AQ141" s="144"/>
      <c r="AR141" s="144"/>
      <c r="AS141" s="144"/>
      <c r="AT141" s="144"/>
      <c r="AU141" s="144"/>
      <c r="AV141" s="144"/>
      <c r="AW141" s="144"/>
      <c r="AX141" s="144"/>
      <c r="AY141" s="144"/>
      <c r="AZ141" s="144"/>
      <c r="BA141" s="144"/>
      <c r="BB141" s="144"/>
      <c r="BC141" s="144"/>
      <c r="BD141" s="144"/>
      <c r="BE141" s="144"/>
      <c r="BF141" s="144"/>
      <c r="BG141" s="50"/>
    </row>
    <row r="142" ht="11.25" customHeight="1">
      <c r="A142" s="125" t="s">
        <v>988</v>
      </c>
      <c r="B142" s="125" t="s">
        <v>22</v>
      </c>
      <c r="C142" s="125"/>
      <c r="D142" s="53"/>
      <c r="E142" s="91"/>
      <c r="F142" s="944"/>
      <c r="G142" s="150" t="s">
        <v>683</v>
      </c>
      <c r="H142" s="922" t="s">
        <v>105</v>
      </c>
      <c r="I142" s="945" t="s">
        <v>1020</v>
      </c>
      <c r="J142" s="946" t="s">
        <v>22</v>
      </c>
      <c r="K142" s="449" t="s">
        <v>1039</v>
      </c>
      <c r="L142" s="225" t="s">
        <v>19</v>
      </c>
      <c r="M142" s="219"/>
      <c r="N142" s="947"/>
      <c r="O142" s="948" t="s">
        <v>370</v>
      </c>
      <c r="P142" s="949"/>
      <c r="Q142" s="949"/>
      <c r="R142" s="949"/>
      <c r="S142" s="949"/>
      <c r="T142" s="949"/>
      <c r="U142" s="949"/>
      <c r="V142" s="949"/>
      <c r="W142" s="949"/>
      <c r="X142" s="949"/>
      <c r="Y142" s="949"/>
      <c r="Z142" s="949"/>
      <c r="AA142" s="949"/>
      <c r="AB142" s="949"/>
      <c r="AC142" s="949"/>
      <c r="AD142" s="949"/>
      <c r="AE142" s="949"/>
      <c r="AF142" s="950">
        <v>5</v>
      </c>
      <c r="AG142" s="951" t="s">
        <v>1022</v>
      </c>
      <c r="AH142" s="951" t="s">
        <v>1023</v>
      </c>
      <c r="AI142" s="950"/>
      <c r="AJ142" s="951"/>
      <c r="AK142" s="951"/>
      <c r="AL142" s="920"/>
      <c r="AM142" s="144"/>
      <c r="AN142" s="144"/>
      <c r="AO142" s="144"/>
      <c r="AP142" s="144"/>
      <c r="AQ142" s="144"/>
      <c r="AR142" s="144"/>
      <c r="AS142" s="144"/>
      <c r="AT142" s="144"/>
      <c r="AU142" s="144"/>
      <c r="AV142" s="144"/>
      <c r="AW142" s="144"/>
      <c r="AX142" s="144"/>
      <c r="AY142" s="144"/>
      <c r="AZ142" s="144"/>
      <c r="BA142" s="144"/>
      <c r="BB142" s="144"/>
      <c r="BC142" s="144"/>
      <c r="BD142" s="144"/>
      <c r="BE142" s="144"/>
      <c r="BF142" s="144"/>
      <c r="BG142" s="50"/>
    </row>
    <row r="143" ht="11.25" customHeight="1">
      <c r="A143" s="125" t="s">
        <v>988</v>
      </c>
      <c r="B143" s="125"/>
      <c r="C143" s="125"/>
      <c r="D143" s="53"/>
      <c r="E143" s="91"/>
      <c r="F143" s="944"/>
      <c r="G143" s="952"/>
      <c r="H143" s="922" t="s">
        <v>370</v>
      </c>
      <c r="I143" s="945"/>
      <c r="J143" s="946"/>
      <c r="K143" s="449"/>
      <c r="L143" s="225"/>
      <c r="M143" s="219"/>
      <c r="N143" s="953"/>
      <c r="O143" s="954">
        <v>1</v>
      </c>
      <c r="P143" s="955" t="s">
        <v>19</v>
      </c>
      <c r="Q143" s="459" t="s">
        <v>22</v>
      </c>
      <c r="R143" s="459" t="s">
        <v>22</v>
      </c>
      <c r="S143" s="459" t="s">
        <v>22</v>
      </c>
      <c r="T143" s="459" t="s">
        <v>22</v>
      </c>
      <c r="U143" s="459" t="s">
        <v>22</v>
      </c>
      <c r="V143" s="459" t="s">
        <v>22</v>
      </c>
      <c r="W143" s="459" t="s">
        <v>22</v>
      </c>
      <c r="X143" s="459" t="s">
        <v>22</v>
      </c>
      <c r="Y143" s="459"/>
      <c r="Z143" s="956"/>
      <c r="AA143" s="957"/>
      <c r="AB143" s="957"/>
      <c r="AC143" s="958"/>
      <c r="AD143" s="958"/>
      <c r="AE143" s="959"/>
      <c r="AF143" s="950"/>
      <c r="AG143" s="951"/>
      <c r="AH143" s="951"/>
      <c r="AI143" s="950"/>
      <c r="AJ143" s="951"/>
      <c r="AK143" s="951"/>
      <c r="AL143" s="920"/>
      <c r="AM143" s="144"/>
      <c r="AN143" s="144"/>
      <c r="AO143" s="144"/>
      <c r="AP143" s="144"/>
      <c r="AQ143" s="144"/>
      <c r="AR143" s="144"/>
      <c r="AS143" s="144"/>
      <c r="AT143" s="144"/>
      <c r="AU143" s="144"/>
      <c r="AV143" s="144"/>
      <c r="AW143" s="144"/>
      <c r="AX143" s="144"/>
      <c r="AY143" s="144"/>
      <c r="AZ143" s="144"/>
      <c r="BA143" s="144"/>
      <c r="BB143" s="144"/>
      <c r="BC143" s="144"/>
      <c r="BD143" s="144"/>
      <c r="BE143" s="144"/>
      <c r="BF143" s="144"/>
      <c r="BG143" s="50"/>
    </row>
    <row r="144" ht="11.25" customHeight="1">
      <c r="A144" s="125" t="s">
        <v>988</v>
      </c>
      <c r="B144" s="125"/>
      <c r="C144" s="125"/>
      <c r="D144" s="53"/>
      <c r="E144" s="91"/>
      <c r="F144" s="944"/>
      <c r="G144" s="952"/>
      <c r="H144" s="922" t="s">
        <v>370</v>
      </c>
      <c r="I144" s="945"/>
      <c r="J144" s="946"/>
      <c r="K144" s="449"/>
      <c r="L144" s="225"/>
      <c r="M144" s="219"/>
      <c r="N144" s="953"/>
      <c r="O144" s="954"/>
      <c r="P144" s="960"/>
      <c r="Q144" s="459"/>
      <c r="R144" s="459"/>
      <c r="S144" s="961"/>
      <c r="T144" s="459"/>
      <c r="U144" s="459"/>
      <c r="V144" s="459"/>
      <c r="W144" s="459"/>
      <c r="X144" s="459"/>
      <c r="Y144" s="459"/>
      <c r="Z144" s="962"/>
      <c r="AA144" s="963">
        <v>1</v>
      </c>
      <c r="AB144" s="964" t="s">
        <v>1024</v>
      </c>
      <c r="AC144" s="857">
        <f>0.20701*1562</f>
        <v>323.34962000000002</v>
      </c>
      <c r="AD144" s="964" t="str">
        <f t="shared" si="50"/>
        <v xml:space="preserve">     Амортизационные отчисления в результате переоценки основных средств и нематериальных активов</v>
      </c>
      <c r="AE144" s="857"/>
      <c r="AF144" s="950"/>
      <c r="AG144" s="951"/>
      <c r="AH144" s="951"/>
      <c r="AI144" s="950"/>
      <c r="AJ144" s="951"/>
      <c r="AK144" s="951"/>
      <c r="AL144" s="920"/>
      <c r="AM144" s="144"/>
      <c r="AN144" s="144"/>
      <c r="AO144" s="144"/>
      <c r="AP144" s="144"/>
      <c r="AQ144" s="144"/>
      <c r="AR144" s="144"/>
      <c r="AS144" s="144"/>
      <c r="AT144" s="144"/>
      <c r="AU144" s="144"/>
      <c r="AV144" s="144"/>
      <c r="AW144" s="144"/>
      <c r="AX144" s="144"/>
      <c r="AY144" s="144"/>
      <c r="AZ144" s="144"/>
      <c r="BA144" s="144"/>
      <c r="BB144" s="144"/>
      <c r="BC144" s="144"/>
      <c r="BD144" s="144"/>
      <c r="BE144" s="144"/>
      <c r="BF144" s="144"/>
      <c r="BG144" s="50"/>
    </row>
    <row r="145" ht="11.25" customHeight="1">
      <c r="A145" s="125" t="s">
        <v>988</v>
      </c>
      <c r="B145" s="125"/>
      <c r="C145" s="125"/>
      <c r="D145" s="53"/>
      <c r="E145" s="91"/>
      <c r="F145" s="944"/>
      <c r="G145" s="952"/>
      <c r="H145" s="922" t="s">
        <v>370</v>
      </c>
      <c r="I145" s="945"/>
      <c r="J145" s="946"/>
      <c r="K145" s="449"/>
      <c r="L145" s="225"/>
      <c r="M145" s="219"/>
      <c r="N145" s="953"/>
      <c r="O145" s="954"/>
      <c r="P145" s="965"/>
      <c r="Q145" s="459"/>
      <c r="R145" s="459"/>
      <c r="S145" s="961"/>
      <c r="T145" s="459"/>
      <c r="U145" s="459"/>
      <c r="V145" s="459"/>
      <c r="W145" s="459"/>
      <c r="X145" s="459"/>
      <c r="Y145" s="459"/>
      <c r="Z145" s="956"/>
      <c r="AA145" s="957"/>
      <c r="AB145" s="173" t="s">
        <v>1025</v>
      </c>
      <c r="AC145" s="958"/>
      <c r="AD145" s="958"/>
      <c r="AE145" s="966"/>
      <c r="AF145" s="950"/>
      <c r="AG145" s="951"/>
      <c r="AH145" s="951"/>
      <c r="AI145" s="950"/>
      <c r="AJ145" s="951"/>
      <c r="AK145" s="951"/>
      <c r="AL145" s="920"/>
      <c r="AM145" s="144"/>
      <c r="AN145" s="144"/>
      <c r="AO145" s="144"/>
      <c r="AP145" s="144"/>
      <c r="AQ145" s="144"/>
      <c r="AR145" s="144"/>
      <c r="AS145" s="144"/>
      <c r="AT145" s="144"/>
      <c r="AU145" s="144"/>
      <c r="AV145" s="144"/>
      <c r="AW145" s="144"/>
      <c r="AX145" s="144"/>
      <c r="AY145" s="144"/>
      <c r="AZ145" s="144"/>
      <c r="BA145" s="144"/>
      <c r="BB145" s="144"/>
      <c r="BC145" s="144"/>
      <c r="BD145" s="144"/>
      <c r="BE145" s="144"/>
      <c r="BF145" s="144"/>
      <c r="BG145" s="50"/>
    </row>
    <row r="146" ht="11.25" customHeight="1">
      <c r="A146" s="125" t="s">
        <v>988</v>
      </c>
      <c r="B146" s="125"/>
      <c r="C146" s="125"/>
      <c r="D146" s="53"/>
      <c r="E146" s="91"/>
      <c r="F146" s="944"/>
      <c r="G146" s="952"/>
      <c r="H146" s="922" t="s">
        <v>370</v>
      </c>
      <c r="I146" s="945"/>
      <c r="J146" s="946"/>
      <c r="K146" s="449"/>
      <c r="L146" s="225"/>
      <c r="M146" s="219"/>
      <c r="N146" s="956"/>
      <c r="O146" s="957"/>
      <c r="P146" s="173" t="s">
        <v>1026</v>
      </c>
      <c r="Q146" s="957"/>
      <c r="R146" s="957"/>
      <c r="S146" s="957"/>
      <c r="T146" s="957"/>
      <c r="U146" s="957"/>
      <c r="V146" s="957"/>
      <c r="W146" s="957"/>
      <c r="X146" s="957"/>
      <c r="Y146" s="957"/>
      <c r="Z146" s="957"/>
      <c r="AA146" s="957"/>
      <c r="AB146" s="957"/>
      <c r="AC146" s="957"/>
      <c r="AD146" s="957"/>
      <c r="AE146" s="967"/>
      <c r="AF146" s="950"/>
      <c r="AG146" s="951"/>
      <c r="AH146" s="951"/>
      <c r="AI146" s="950"/>
      <c r="AJ146" s="951"/>
      <c r="AK146" s="951"/>
      <c r="AL146" s="920"/>
      <c r="AM146" s="144"/>
      <c r="AN146" s="144"/>
      <c r="AO146" s="144"/>
      <c r="AP146" s="144"/>
      <c r="AQ146" s="144"/>
      <c r="AR146" s="144"/>
      <c r="AS146" s="144"/>
      <c r="AT146" s="144"/>
      <c r="AU146" s="144"/>
      <c r="AV146" s="144"/>
      <c r="AW146" s="144"/>
      <c r="AX146" s="144"/>
      <c r="AY146" s="144"/>
      <c r="AZ146" s="144"/>
      <c r="BA146" s="144"/>
      <c r="BB146" s="144"/>
      <c r="BC146" s="144"/>
      <c r="BD146" s="144"/>
      <c r="BE146" s="144"/>
      <c r="BF146" s="144"/>
      <c r="BG146" s="50"/>
    </row>
    <row r="147" ht="11.25" customHeight="1">
      <c r="A147" s="125" t="s">
        <v>988</v>
      </c>
      <c r="B147" s="125" t="s">
        <v>22</v>
      </c>
      <c r="C147" s="125"/>
      <c r="D147" s="53"/>
      <c r="E147" s="91"/>
      <c r="F147" s="944"/>
      <c r="G147" s="150" t="s">
        <v>683</v>
      </c>
      <c r="H147" s="922" t="s">
        <v>106</v>
      </c>
      <c r="I147" s="945" t="s">
        <v>1020</v>
      </c>
      <c r="J147" s="946" t="s">
        <v>22</v>
      </c>
      <c r="K147" s="449" t="s">
        <v>1041</v>
      </c>
      <c r="L147" s="225" t="s">
        <v>19</v>
      </c>
      <c r="M147" s="219"/>
      <c r="N147" s="947"/>
      <c r="O147" s="948" t="s">
        <v>370</v>
      </c>
      <c r="P147" s="949"/>
      <c r="Q147" s="949"/>
      <c r="R147" s="949"/>
      <c r="S147" s="949"/>
      <c r="T147" s="949"/>
      <c r="U147" s="949"/>
      <c r="V147" s="949"/>
      <c r="W147" s="949"/>
      <c r="X147" s="949"/>
      <c r="Y147" s="949"/>
      <c r="Z147" s="949"/>
      <c r="AA147" s="949"/>
      <c r="AB147" s="949"/>
      <c r="AC147" s="949"/>
      <c r="AD147" s="949"/>
      <c r="AE147" s="949"/>
      <c r="AF147" s="950">
        <v>3</v>
      </c>
      <c r="AG147" s="951" t="s">
        <v>1022</v>
      </c>
      <c r="AH147" s="951" t="s">
        <v>1028</v>
      </c>
      <c r="AI147" s="950"/>
      <c r="AJ147" s="951"/>
      <c r="AK147" s="951"/>
      <c r="AL147" s="920"/>
      <c r="AM147" s="144"/>
      <c r="AN147" s="144"/>
      <c r="AO147" s="144"/>
      <c r="AP147" s="144"/>
      <c r="AQ147" s="144"/>
      <c r="AR147" s="144"/>
      <c r="AS147" s="144"/>
      <c r="AT147" s="144"/>
      <c r="AU147" s="144"/>
      <c r="AV147" s="144"/>
      <c r="AW147" s="144"/>
      <c r="AX147" s="144"/>
      <c r="AY147" s="144"/>
      <c r="AZ147" s="144"/>
      <c r="BA147" s="144"/>
      <c r="BB147" s="144"/>
      <c r="BC147" s="144"/>
      <c r="BD147" s="144"/>
      <c r="BE147" s="144"/>
      <c r="BF147" s="144"/>
      <c r="BG147" s="50"/>
    </row>
    <row r="148" ht="11.25" customHeight="1">
      <c r="A148" s="125" t="s">
        <v>988</v>
      </c>
      <c r="B148" s="125"/>
      <c r="C148" s="125"/>
      <c r="D148" s="53"/>
      <c r="E148" s="91"/>
      <c r="F148" s="944"/>
      <c r="G148" s="952"/>
      <c r="H148" s="922" t="s">
        <v>105</v>
      </c>
      <c r="I148" s="945"/>
      <c r="J148" s="946"/>
      <c r="K148" s="449"/>
      <c r="L148" s="225"/>
      <c r="M148" s="219"/>
      <c r="N148" s="953"/>
      <c r="O148" s="954">
        <v>1</v>
      </c>
      <c r="P148" s="955" t="s">
        <v>19</v>
      </c>
      <c r="Q148" s="459" t="s">
        <v>22</v>
      </c>
      <c r="R148" s="459" t="s">
        <v>22</v>
      </c>
      <c r="S148" s="459" t="s">
        <v>22</v>
      </c>
      <c r="T148" s="459" t="s">
        <v>22</v>
      </c>
      <c r="U148" s="459" t="s">
        <v>22</v>
      </c>
      <c r="V148" s="459" t="s">
        <v>22</v>
      </c>
      <c r="W148" s="459" t="s">
        <v>22</v>
      </c>
      <c r="X148" s="459" t="s">
        <v>22</v>
      </c>
      <c r="Y148" s="459"/>
      <c r="Z148" s="956"/>
      <c r="AA148" s="957"/>
      <c r="AB148" s="957"/>
      <c r="AC148" s="958"/>
      <c r="AD148" s="958"/>
      <c r="AE148" s="959"/>
      <c r="AF148" s="950"/>
      <c r="AG148" s="951"/>
      <c r="AH148" s="951"/>
      <c r="AI148" s="950"/>
      <c r="AJ148" s="951"/>
      <c r="AK148" s="951"/>
      <c r="AL148" s="920"/>
      <c r="AM148" s="144"/>
      <c r="AN148" s="144"/>
      <c r="AO148" s="144"/>
      <c r="AP148" s="144"/>
      <c r="AQ148" s="144"/>
      <c r="AR148" s="144"/>
      <c r="AS148" s="144"/>
      <c r="AT148" s="144"/>
      <c r="AU148" s="144"/>
      <c r="AV148" s="144"/>
      <c r="AW148" s="144"/>
      <c r="AX148" s="144"/>
      <c r="AY148" s="144"/>
      <c r="AZ148" s="144"/>
      <c r="BA148" s="144"/>
      <c r="BB148" s="144"/>
      <c r="BC148" s="144"/>
      <c r="BD148" s="144"/>
      <c r="BE148" s="144"/>
      <c r="BF148" s="144"/>
      <c r="BG148" s="50"/>
    </row>
    <row r="149" ht="11.25" customHeight="1">
      <c r="A149" s="125" t="s">
        <v>988</v>
      </c>
      <c r="B149" s="125"/>
      <c r="C149" s="125"/>
      <c r="D149" s="53"/>
      <c r="E149" s="91"/>
      <c r="F149" s="944"/>
      <c r="G149" s="952"/>
      <c r="H149" s="922" t="s">
        <v>105</v>
      </c>
      <c r="I149" s="945"/>
      <c r="J149" s="946"/>
      <c r="K149" s="449"/>
      <c r="L149" s="225"/>
      <c r="M149" s="219"/>
      <c r="N149" s="953"/>
      <c r="O149" s="954"/>
      <c r="P149" s="960"/>
      <c r="Q149" s="459"/>
      <c r="R149" s="459"/>
      <c r="S149" s="961"/>
      <c r="T149" s="459"/>
      <c r="U149" s="459"/>
      <c r="V149" s="459"/>
      <c r="W149" s="459"/>
      <c r="X149" s="459"/>
      <c r="Y149" s="459"/>
      <c r="Z149" s="962"/>
      <c r="AA149" s="963">
        <v>1</v>
      </c>
      <c r="AB149" s="964" t="s">
        <v>1024</v>
      </c>
      <c r="AC149" s="857">
        <f>0.20701*712.74</f>
        <v>147.54430740000001</v>
      </c>
      <c r="AD149" s="964" t="str">
        <f t="shared" si="50"/>
        <v xml:space="preserve">     Амортизационные отчисления в результате переоценки основных средств и нематериальных активов</v>
      </c>
      <c r="AE149" s="857"/>
      <c r="AF149" s="950"/>
      <c r="AG149" s="951"/>
      <c r="AH149" s="951"/>
      <c r="AI149" s="950"/>
      <c r="AJ149" s="951"/>
      <c r="AK149" s="951"/>
      <c r="AL149" s="920"/>
      <c r="AM149" s="144"/>
      <c r="AN149" s="144"/>
      <c r="AO149" s="144"/>
      <c r="AP149" s="144"/>
      <c r="AQ149" s="144"/>
      <c r="AR149" s="144"/>
      <c r="AS149" s="144"/>
      <c r="AT149" s="144"/>
      <c r="AU149" s="144"/>
      <c r="AV149" s="144"/>
      <c r="AW149" s="144"/>
      <c r="AX149" s="144"/>
      <c r="AY149" s="144"/>
      <c r="AZ149" s="144"/>
      <c r="BA149" s="144"/>
      <c r="BB149" s="144"/>
      <c r="BC149" s="144"/>
      <c r="BD149" s="144"/>
      <c r="BE149" s="144"/>
      <c r="BF149" s="144"/>
      <c r="BG149" s="50"/>
    </row>
    <row r="150" ht="11.25" customHeight="1">
      <c r="A150" s="125" t="s">
        <v>988</v>
      </c>
      <c r="B150" s="125"/>
      <c r="C150" s="125"/>
      <c r="D150" s="53"/>
      <c r="E150" s="91"/>
      <c r="F150" s="952"/>
      <c r="G150" s="952"/>
      <c r="H150" s="952"/>
      <c r="I150" s="952"/>
      <c r="J150" s="952"/>
      <c r="K150" s="952"/>
      <c r="L150" s="952"/>
      <c r="M150" s="952"/>
      <c r="N150" s="952"/>
      <c r="O150" s="952"/>
      <c r="P150" s="952"/>
      <c r="Q150" s="952"/>
      <c r="R150" s="952"/>
      <c r="S150" s="952"/>
      <c r="T150" s="952"/>
      <c r="U150" s="952"/>
      <c r="V150" s="952"/>
      <c r="W150" s="952"/>
      <c r="X150" s="952"/>
      <c r="Y150" s="952"/>
      <c r="Z150" s="150" t="s">
        <v>683</v>
      </c>
      <c r="AA150" s="954" t="s">
        <v>106</v>
      </c>
      <c r="AB150" s="964" t="s">
        <v>1029</v>
      </c>
      <c r="AC150" s="857">
        <f>0.20701*7327.69</f>
        <v>1516.9051069</v>
      </c>
      <c r="AD150" s="964" t="str">
        <f t="shared" si="50"/>
        <v xml:space="preserve">  Прочие собственные средства</v>
      </c>
      <c r="AE150" s="857"/>
      <c r="AF150" s="968"/>
      <c r="AG150" s="969"/>
      <c r="AH150" s="969"/>
      <c r="AI150" s="968"/>
      <c r="AJ150" s="969"/>
      <c r="AK150" s="970"/>
      <c r="AL150" s="920"/>
      <c r="AM150" s="144"/>
      <c r="AN150" s="144"/>
      <c r="AO150" s="144"/>
      <c r="AP150" s="144"/>
      <c r="AQ150" s="144"/>
      <c r="AR150" s="144"/>
      <c r="AS150" s="144"/>
      <c r="AT150" s="144"/>
      <c r="AU150" s="144"/>
      <c r="AV150" s="144"/>
      <c r="AW150" s="144"/>
      <c r="AX150" s="144"/>
      <c r="AY150" s="144"/>
      <c r="AZ150" s="144"/>
      <c r="BA150" s="144"/>
      <c r="BB150" s="144"/>
      <c r="BC150" s="144"/>
      <c r="BD150" s="144"/>
      <c r="BE150" s="144"/>
      <c r="BF150" s="144"/>
      <c r="BG150" s="50"/>
    </row>
    <row r="151" ht="11.25" customHeight="1">
      <c r="A151" s="125" t="s">
        <v>988</v>
      </c>
      <c r="B151" s="125"/>
      <c r="C151" s="125"/>
      <c r="D151" s="53"/>
      <c r="E151" s="91"/>
      <c r="F151" s="944"/>
      <c r="G151" s="952"/>
      <c r="H151" s="922" t="s">
        <v>105</v>
      </c>
      <c r="I151" s="945"/>
      <c r="J151" s="946"/>
      <c r="K151" s="449"/>
      <c r="L151" s="225"/>
      <c r="M151" s="219"/>
      <c r="N151" s="953"/>
      <c r="O151" s="954"/>
      <c r="P151" s="965"/>
      <c r="Q151" s="459"/>
      <c r="R151" s="459"/>
      <c r="S151" s="961"/>
      <c r="T151" s="459"/>
      <c r="U151" s="459"/>
      <c r="V151" s="459"/>
      <c r="W151" s="459"/>
      <c r="X151" s="459"/>
      <c r="Y151" s="459"/>
      <c r="Z151" s="956"/>
      <c r="AA151" s="957"/>
      <c r="AB151" s="173" t="s">
        <v>1025</v>
      </c>
      <c r="AC151" s="958"/>
      <c r="AD151" s="958"/>
      <c r="AE151" s="966"/>
      <c r="AF151" s="950"/>
      <c r="AG151" s="951"/>
      <c r="AH151" s="951"/>
      <c r="AI151" s="950"/>
      <c r="AJ151" s="951"/>
      <c r="AK151" s="951"/>
      <c r="AL151" s="920"/>
      <c r="AM151" s="144"/>
      <c r="AN151" s="144"/>
      <c r="AO151" s="144"/>
      <c r="AP151" s="144"/>
      <c r="AQ151" s="144"/>
      <c r="AR151" s="144"/>
      <c r="AS151" s="144"/>
      <c r="AT151" s="144"/>
      <c r="AU151" s="144"/>
      <c r="AV151" s="144"/>
      <c r="AW151" s="144"/>
      <c r="AX151" s="144"/>
      <c r="AY151" s="144"/>
      <c r="AZ151" s="144"/>
      <c r="BA151" s="144"/>
      <c r="BB151" s="144"/>
      <c r="BC151" s="144"/>
      <c r="BD151" s="144"/>
      <c r="BE151" s="144"/>
      <c r="BF151" s="144"/>
      <c r="BG151" s="50"/>
    </row>
    <row r="152" ht="11.25" customHeight="1">
      <c r="A152" s="125" t="s">
        <v>988</v>
      </c>
      <c r="B152" s="125"/>
      <c r="C152" s="125"/>
      <c r="D152" s="53"/>
      <c r="E152" s="91"/>
      <c r="F152" s="944"/>
      <c r="G152" s="952"/>
      <c r="H152" s="922" t="s">
        <v>105</v>
      </c>
      <c r="I152" s="945"/>
      <c r="J152" s="946"/>
      <c r="K152" s="449"/>
      <c r="L152" s="225"/>
      <c r="M152" s="219"/>
      <c r="N152" s="956"/>
      <c r="O152" s="957"/>
      <c r="P152" s="173" t="s">
        <v>1026</v>
      </c>
      <c r="Q152" s="957"/>
      <c r="R152" s="957"/>
      <c r="S152" s="957"/>
      <c r="T152" s="957"/>
      <c r="U152" s="957"/>
      <c r="V152" s="957"/>
      <c r="W152" s="957"/>
      <c r="X152" s="957"/>
      <c r="Y152" s="957"/>
      <c r="Z152" s="957"/>
      <c r="AA152" s="957"/>
      <c r="AB152" s="957"/>
      <c r="AC152" s="957"/>
      <c r="AD152" s="957"/>
      <c r="AE152" s="967"/>
      <c r="AF152" s="950"/>
      <c r="AG152" s="951"/>
      <c r="AH152" s="951"/>
      <c r="AI152" s="950"/>
      <c r="AJ152" s="951"/>
      <c r="AK152" s="951"/>
      <c r="AL152" s="920"/>
      <c r="AM152" s="144"/>
      <c r="AN152" s="144"/>
      <c r="AO152" s="144"/>
      <c r="AP152" s="144"/>
      <c r="AQ152" s="144"/>
      <c r="AR152" s="144"/>
      <c r="AS152" s="144"/>
      <c r="AT152" s="144"/>
      <c r="AU152" s="144"/>
      <c r="AV152" s="144"/>
      <c r="AW152" s="144"/>
      <c r="AX152" s="144"/>
      <c r="AY152" s="144"/>
      <c r="AZ152" s="144"/>
      <c r="BA152" s="144"/>
      <c r="BB152" s="144"/>
      <c r="BC152" s="144"/>
      <c r="BD152" s="144"/>
      <c r="BE152" s="144"/>
      <c r="BF152" s="144"/>
      <c r="BG152" s="50"/>
    </row>
    <row r="153" ht="11.25" customHeight="1">
      <c r="A153" s="125" t="s">
        <v>988</v>
      </c>
      <c r="B153" s="125" t="s">
        <v>22</v>
      </c>
      <c r="C153" s="125"/>
      <c r="D153" s="53"/>
      <c r="E153" s="91"/>
      <c r="F153" s="944"/>
      <c r="G153" s="150" t="s">
        <v>683</v>
      </c>
      <c r="H153" s="922" t="s">
        <v>89</v>
      </c>
      <c r="I153" s="945" t="s">
        <v>1020</v>
      </c>
      <c r="J153" s="946" t="s">
        <v>22</v>
      </c>
      <c r="K153" s="449" t="s">
        <v>1030</v>
      </c>
      <c r="L153" s="225" t="s">
        <v>19</v>
      </c>
      <c r="M153" s="219"/>
      <c r="N153" s="947"/>
      <c r="O153" s="948" t="s">
        <v>370</v>
      </c>
      <c r="P153" s="949"/>
      <c r="Q153" s="949"/>
      <c r="R153" s="949"/>
      <c r="S153" s="949"/>
      <c r="T153" s="949"/>
      <c r="U153" s="949"/>
      <c r="V153" s="949"/>
      <c r="W153" s="949"/>
      <c r="X153" s="949"/>
      <c r="Y153" s="949"/>
      <c r="Z153" s="949"/>
      <c r="AA153" s="949"/>
      <c r="AB153" s="949"/>
      <c r="AC153" s="949"/>
      <c r="AD153" s="949"/>
      <c r="AE153" s="949"/>
      <c r="AF153" s="950">
        <v>4</v>
      </c>
      <c r="AG153" s="951" t="s">
        <v>1022</v>
      </c>
      <c r="AH153" s="951" t="s">
        <v>1031</v>
      </c>
      <c r="AI153" s="950"/>
      <c r="AJ153" s="951"/>
      <c r="AK153" s="951"/>
      <c r="AL153" s="920"/>
      <c r="AM153" s="144"/>
      <c r="AN153" s="144"/>
      <c r="AO153" s="144"/>
      <c r="AP153" s="144"/>
      <c r="AQ153" s="144"/>
      <c r="AR153" s="144"/>
      <c r="AS153" s="144"/>
      <c r="AT153" s="144"/>
      <c r="AU153" s="144"/>
      <c r="AV153" s="144"/>
      <c r="AW153" s="144"/>
      <c r="AX153" s="144"/>
      <c r="AY153" s="144"/>
      <c r="AZ153" s="144"/>
      <c r="BA153" s="144"/>
      <c r="BB153" s="144"/>
      <c r="BC153" s="144"/>
      <c r="BD153" s="144"/>
      <c r="BE153" s="144"/>
      <c r="BF153" s="144"/>
      <c r="BG153" s="50"/>
    </row>
    <row r="154" ht="11.25" customHeight="1">
      <c r="A154" s="125" t="s">
        <v>988</v>
      </c>
      <c r="B154" s="125"/>
      <c r="C154" s="125"/>
      <c r="D154" s="53"/>
      <c r="E154" s="91"/>
      <c r="F154" s="944"/>
      <c r="G154" s="952"/>
      <c r="H154" s="922" t="s">
        <v>106</v>
      </c>
      <c r="I154" s="945"/>
      <c r="J154" s="946"/>
      <c r="K154" s="449"/>
      <c r="L154" s="225"/>
      <c r="M154" s="219"/>
      <c r="N154" s="953"/>
      <c r="O154" s="954">
        <v>1</v>
      </c>
      <c r="P154" s="955" t="s">
        <v>19</v>
      </c>
      <c r="Q154" s="459" t="s">
        <v>22</v>
      </c>
      <c r="R154" s="459" t="s">
        <v>22</v>
      </c>
      <c r="S154" s="459" t="s">
        <v>22</v>
      </c>
      <c r="T154" s="459" t="s">
        <v>22</v>
      </c>
      <c r="U154" s="459" t="s">
        <v>22</v>
      </c>
      <c r="V154" s="459" t="s">
        <v>22</v>
      </c>
      <c r="W154" s="459" t="s">
        <v>22</v>
      </c>
      <c r="X154" s="459" t="s">
        <v>22</v>
      </c>
      <c r="Y154" s="459"/>
      <c r="Z154" s="956"/>
      <c r="AA154" s="957"/>
      <c r="AB154" s="957"/>
      <c r="AC154" s="958"/>
      <c r="AD154" s="958"/>
      <c r="AE154" s="959"/>
      <c r="AF154" s="950"/>
      <c r="AG154" s="951"/>
      <c r="AH154" s="951"/>
      <c r="AI154" s="950"/>
      <c r="AJ154" s="951"/>
      <c r="AK154" s="951"/>
      <c r="AL154" s="920"/>
      <c r="AM154" s="144"/>
      <c r="AN154" s="144"/>
      <c r="AO154" s="144"/>
      <c r="AP154" s="144"/>
      <c r="AQ154" s="144"/>
      <c r="AR154" s="144"/>
      <c r="AS154" s="144"/>
      <c r="AT154" s="144"/>
      <c r="AU154" s="144"/>
      <c r="AV154" s="144"/>
      <c r="AW154" s="144"/>
      <c r="AX154" s="144"/>
      <c r="AY154" s="144"/>
      <c r="AZ154" s="144"/>
      <c r="BA154" s="144"/>
      <c r="BB154" s="144"/>
      <c r="BC154" s="144"/>
      <c r="BD154" s="144"/>
      <c r="BE154" s="144"/>
      <c r="BF154" s="144"/>
      <c r="BG154" s="50"/>
    </row>
    <row r="155" ht="11.25" customHeight="1">
      <c r="A155" s="125" t="s">
        <v>988</v>
      </c>
      <c r="B155" s="125"/>
      <c r="C155" s="125"/>
      <c r="D155" s="53"/>
      <c r="E155" s="91"/>
      <c r="F155" s="944"/>
      <c r="G155" s="952"/>
      <c r="H155" s="922" t="s">
        <v>106</v>
      </c>
      <c r="I155" s="945"/>
      <c r="J155" s="946"/>
      <c r="K155" s="449"/>
      <c r="L155" s="225"/>
      <c r="M155" s="219"/>
      <c r="N155" s="953"/>
      <c r="O155" s="954"/>
      <c r="P155" s="960"/>
      <c r="Q155" s="459"/>
      <c r="R155" s="459"/>
      <c r="S155" s="961"/>
      <c r="T155" s="459"/>
      <c r="U155" s="459"/>
      <c r="V155" s="459"/>
      <c r="W155" s="459"/>
      <c r="X155" s="459"/>
      <c r="Y155" s="459"/>
      <c r="Z155" s="962"/>
      <c r="AA155" s="963">
        <v>1</v>
      </c>
      <c r="AB155" s="964" t="s">
        <v>1024</v>
      </c>
      <c r="AC155" s="857">
        <f>0.20701*21101.57</f>
        <v>4368.2360056999996</v>
      </c>
      <c r="AD155" s="964" t="str">
        <f t="shared" si="50"/>
        <v xml:space="preserve">     Амортизационные отчисления в результате переоценки основных средств и нематериальных активов</v>
      </c>
      <c r="AE155" s="857"/>
      <c r="AF155" s="950"/>
      <c r="AG155" s="951"/>
      <c r="AH155" s="951"/>
      <c r="AI155" s="950"/>
      <c r="AJ155" s="951"/>
      <c r="AK155" s="951"/>
      <c r="AL155" s="920"/>
      <c r="AM155" s="144"/>
      <c r="AN155" s="144"/>
      <c r="AO155" s="144"/>
      <c r="AP155" s="144"/>
      <c r="AQ155" s="144"/>
      <c r="AR155" s="144"/>
      <c r="AS155" s="144"/>
      <c r="AT155" s="144"/>
      <c r="AU155" s="144"/>
      <c r="AV155" s="144"/>
      <c r="AW155" s="144"/>
      <c r="AX155" s="144"/>
      <c r="AY155" s="144"/>
      <c r="AZ155" s="144"/>
      <c r="BA155" s="144"/>
      <c r="BB155" s="144"/>
      <c r="BC155" s="144"/>
      <c r="BD155" s="144"/>
      <c r="BE155" s="144"/>
      <c r="BF155" s="144"/>
      <c r="BG155" s="50"/>
    </row>
    <row r="156" ht="11.25" customHeight="1">
      <c r="A156" s="125" t="s">
        <v>988</v>
      </c>
      <c r="B156" s="125"/>
      <c r="C156" s="125"/>
      <c r="D156" s="53"/>
      <c r="E156" s="91"/>
      <c r="F156" s="944"/>
      <c r="G156" s="952"/>
      <c r="H156" s="922" t="s">
        <v>106</v>
      </c>
      <c r="I156" s="945"/>
      <c r="J156" s="946"/>
      <c r="K156" s="449"/>
      <c r="L156" s="225"/>
      <c r="M156" s="219"/>
      <c r="N156" s="953"/>
      <c r="O156" s="954"/>
      <c r="P156" s="965"/>
      <c r="Q156" s="459"/>
      <c r="R156" s="459"/>
      <c r="S156" s="961"/>
      <c r="T156" s="459"/>
      <c r="U156" s="459"/>
      <c r="V156" s="459"/>
      <c r="W156" s="459"/>
      <c r="X156" s="459"/>
      <c r="Y156" s="459"/>
      <c r="Z156" s="956"/>
      <c r="AA156" s="957"/>
      <c r="AB156" s="173" t="s">
        <v>1025</v>
      </c>
      <c r="AC156" s="958"/>
      <c r="AD156" s="958"/>
      <c r="AE156" s="966"/>
      <c r="AF156" s="950"/>
      <c r="AG156" s="951"/>
      <c r="AH156" s="951"/>
      <c r="AI156" s="950"/>
      <c r="AJ156" s="951"/>
      <c r="AK156" s="951"/>
      <c r="AL156" s="920"/>
      <c r="AM156" s="144"/>
      <c r="AN156" s="144"/>
      <c r="AO156" s="144"/>
      <c r="AP156" s="144"/>
      <c r="AQ156" s="144"/>
      <c r="AR156" s="144"/>
      <c r="AS156" s="144"/>
      <c r="AT156" s="144"/>
      <c r="AU156" s="144"/>
      <c r="AV156" s="144"/>
      <c r="AW156" s="144"/>
      <c r="AX156" s="144"/>
      <c r="AY156" s="144"/>
      <c r="AZ156" s="144"/>
      <c r="BA156" s="144"/>
      <c r="BB156" s="144"/>
      <c r="BC156" s="144"/>
      <c r="BD156" s="144"/>
      <c r="BE156" s="144"/>
      <c r="BF156" s="144"/>
      <c r="BG156" s="50"/>
    </row>
    <row r="157" ht="11.25" customHeight="1">
      <c r="A157" s="125" t="s">
        <v>988</v>
      </c>
      <c r="B157" s="125"/>
      <c r="C157" s="125"/>
      <c r="D157" s="53"/>
      <c r="E157" s="91"/>
      <c r="F157" s="944"/>
      <c r="G157" s="952"/>
      <c r="H157" s="922" t="s">
        <v>106</v>
      </c>
      <c r="I157" s="945"/>
      <c r="J157" s="946"/>
      <c r="K157" s="449"/>
      <c r="L157" s="225"/>
      <c r="M157" s="219"/>
      <c r="N157" s="956"/>
      <c r="O157" s="957"/>
      <c r="P157" s="173" t="s">
        <v>1026</v>
      </c>
      <c r="Q157" s="957"/>
      <c r="R157" s="957"/>
      <c r="S157" s="957"/>
      <c r="T157" s="957"/>
      <c r="U157" s="957"/>
      <c r="V157" s="957"/>
      <c r="W157" s="957"/>
      <c r="X157" s="957"/>
      <c r="Y157" s="957"/>
      <c r="Z157" s="957"/>
      <c r="AA157" s="957"/>
      <c r="AB157" s="957"/>
      <c r="AC157" s="957"/>
      <c r="AD157" s="957"/>
      <c r="AE157" s="967"/>
      <c r="AF157" s="950"/>
      <c r="AG157" s="951"/>
      <c r="AH157" s="951"/>
      <c r="AI157" s="950"/>
      <c r="AJ157" s="951"/>
      <c r="AK157" s="951"/>
      <c r="AL157" s="920"/>
      <c r="AM157" s="144"/>
      <c r="AN157" s="144"/>
      <c r="AO157" s="144"/>
      <c r="AP157" s="144"/>
      <c r="AQ157" s="144"/>
      <c r="AR157" s="144"/>
      <c r="AS157" s="144"/>
      <c r="AT157" s="144"/>
      <c r="AU157" s="144"/>
      <c r="AV157" s="144"/>
      <c r="AW157" s="144"/>
      <c r="AX157" s="144"/>
      <c r="AY157" s="144"/>
      <c r="AZ157" s="144"/>
      <c r="BA157" s="144"/>
      <c r="BB157" s="144"/>
      <c r="BC157" s="144"/>
      <c r="BD157" s="144"/>
      <c r="BE157" s="144"/>
      <c r="BF157" s="144"/>
      <c r="BG157" s="50"/>
    </row>
    <row r="158" ht="11.25" customHeight="1">
      <c r="A158" s="125" t="s">
        <v>988</v>
      </c>
      <c r="B158" s="125" t="s">
        <v>22</v>
      </c>
      <c r="C158" s="125"/>
      <c r="D158" s="53"/>
      <c r="E158" s="91"/>
      <c r="F158" s="944"/>
      <c r="G158" s="150" t="s">
        <v>683</v>
      </c>
      <c r="H158" s="922" t="s">
        <v>90</v>
      </c>
      <c r="I158" s="945" t="s">
        <v>1020</v>
      </c>
      <c r="J158" s="946" t="s">
        <v>22</v>
      </c>
      <c r="K158" s="449" t="s">
        <v>1032</v>
      </c>
      <c r="L158" s="225" t="s">
        <v>19</v>
      </c>
      <c r="M158" s="219"/>
      <c r="N158" s="947"/>
      <c r="O158" s="948" t="s">
        <v>370</v>
      </c>
      <c r="P158" s="949"/>
      <c r="Q158" s="949"/>
      <c r="R158" s="949"/>
      <c r="S158" s="949"/>
      <c r="T158" s="949"/>
      <c r="U158" s="949"/>
      <c r="V158" s="949"/>
      <c r="W158" s="949"/>
      <c r="X158" s="949"/>
      <c r="Y158" s="949"/>
      <c r="Z158" s="949"/>
      <c r="AA158" s="949"/>
      <c r="AB158" s="949"/>
      <c r="AC158" s="949"/>
      <c r="AD158" s="949"/>
      <c r="AE158" s="949"/>
      <c r="AF158" s="950">
        <v>5</v>
      </c>
      <c r="AG158" s="951" t="s">
        <v>1022</v>
      </c>
      <c r="AH158" s="951" t="s">
        <v>1023</v>
      </c>
      <c r="AI158" s="950"/>
      <c r="AJ158" s="951"/>
      <c r="AK158" s="951"/>
      <c r="AL158" s="920"/>
      <c r="AM158" s="144"/>
      <c r="AN158" s="144"/>
      <c r="AO158" s="144"/>
      <c r="AP158" s="144"/>
      <c r="AQ158" s="144"/>
      <c r="AR158" s="144"/>
      <c r="AS158" s="144"/>
      <c r="AT158" s="144"/>
      <c r="AU158" s="144"/>
      <c r="AV158" s="144"/>
      <c r="AW158" s="144"/>
      <c r="AX158" s="144"/>
      <c r="AY158" s="144"/>
      <c r="AZ158" s="144"/>
      <c r="BA158" s="144"/>
      <c r="BB158" s="144"/>
      <c r="BC158" s="144"/>
      <c r="BD158" s="144"/>
      <c r="BE158" s="144"/>
      <c r="BF158" s="144"/>
      <c r="BG158" s="50"/>
    </row>
    <row r="159" ht="11.25" customHeight="1">
      <c r="A159" s="125" t="s">
        <v>988</v>
      </c>
      <c r="B159" s="125"/>
      <c r="C159" s="125"/>
      <c r="D159" s="53"/>
      <c r="E159" s="91"/>
      <c r="F159" s="944"/>
      <c r="G159" s="952"/>
      <c r="H159" s="922" t="s">
        <v>89</v>
      </c>
      <c r="I159" s="945"/>
      <c r="J159" s="946"/>
      <c r="K159" s="449"/>
      <c r="L159" s="225"/>
      <c r="M159" s="219"/>
      <c r="N159" s="953"/>
      <c r="O159" s="954">
        <v>1</v>
      </c>
      <c r="P159" s="955" t="s">
        <v>19</v>
      </c>
      <c r="Q159" s="459" t="s">
        <v>22</v>
      </c>
      <c r="R159" s="459" t="s">
        <v>22</v>
      </c>
      <c r="S159" s="459" t="s">
        <v>22</v>
      </c>
      <c r="T159" s="459" t="s">
        <v>22</v>
      </c>
      <c r="U159" s="459" t="s">
        <v>22</v>
      </c>
      <c r="V159" s="459" t="s">
        <v>22</v>
      </c>
      <c r="W159" s="459" t="s">
        <v>22</v>
      </c>
      <c r="X159" s="459" t="s">
        <v>22</v>
      </c>
      <c r="Y159" s="459"/>
      <c r="Z159" s="956"/>
      <c r="AA159" s="957"/>
      <c r="AB159" s="957"/>
      <c r="AC159" s="958"/>
      <c r="AD159" s="958"/>
      <c r="AE159" s="959"/>
      <c r="AF159" s="950"/>
      <c r="AG159" s="951"/>
      <c r="AH159" s="951"/>
      <c r="AI159" s="950"/>
      <c r="AJ159" s="951"/>
      <c r="AK159" s="951"/>
      <c r="AL159" s="920"/>
      <c r="AM159" s="144"/>
      <c r="AN159" s="144"/>
      <c r="AO159" s="144"/>
      <c r="AP159" s="144"/>
      <c r="AQ159" s="144"/>
      <c r="AR159" s="144"/>
      <c r="AS159" s="144"/>
      <c r="AT159" s="144"/>
      <c r="AU159" s="144"/>
      <c r="AV159" s="144"/>
      <c r="AW159" s="144"/>
      <c r="AX159" s="144"/>
      <c r="AY159" s="144"/>
      <c r="AZ159" s="144"/>
      <c r="BA159" s="144"/>
      <c r="BB159" s="144"/>
      <c r="BC159" s="144"/>
      <c r="BD159" s="144"/>
      <c r="BE159" s="144"/>
      <c r="BF159" s="144"/>
      <c r="BG159" s="50"/>
    </row>
    <row r="160" ht="11.25" customHeight="1">
      <c r="A160" s="125" t="s">
        <v>988</v>
      </c>
      <c r="B160" s="125"/>
      <c r="C160" s="125"/>
      <c r="D160" s="53"/>
      <c r="E160" s="91"/>
      <c r="F160" s="944"/>
      <c r="G160" s="952"/>
      <c r="H160" s="922" t="s">
        <v>89</v>
      </c>
      <c r="I160" s="945"/>
      <c r="J160" s="946"/>
      <c r="K160" s="449"/>
      <c r="L160" s="225"/>
      <c r="M160" s="219"/>
      <c r="N160" s="953"/>
      <c r="O160" s="954"/>
      <c r="P160" s="960"/>
      <c r="Q160" s="459"/>
      <c r="R160" s="459"/>
      <c r="S160" s="961"/>
      <c r="T160" s="459"/>
      <c r="U160" s="459"/>
      <c r="V160" s="459"/>
      <c r="W160" s="459"/>
      <c r="X160" s="459"/>
      <c r="Y160" s="459"/>
      <c r="Z160" s="962"/>
      <c r="AA160" s="963">
        <v>1</v>
      </c>
      <c r="AB160" s="964" t="s">
        <v>1043</v>
      </c>
      <c r="AC160" s="857">
        <f>0.20701*26287.28</f>
        <v>5441.7298327999997</v>
      </c>
      <c r="AD160" s="964" t="str">
        <f t="shared" si="50"/>
        <v xml:space="preserve">     Амортизационные отчисления за исключением переоценки основных средств и нематериальных активов</v>
      </c>
      <c r="AE160" s="857"/>
      <c r="AF160" s="950"/>
      <c r="AG160" s="951"/>
      <c r="AH160" s="951"/>
      <c r="AI160" s="950"/>
      <c r="AJ160" s="951"/>
      <c r="AK160" s="951"/>
      <c r="AL160" s="920"/>
      <c r="AM160" s="144"/>
      <c r="AN160" s="144"/>
      <c r="AO160" s="144"/>
      <c r="AP160" s="144"/>
      <c r="AQ160" s="144"/>
      <c r="AR160" s="144"/>
      <c r="AS160" s="144"/>
      <c r="AT160" s="144"/>
      <c r="AU160" s="144"/>
      <c r="AV160" s="144"/>
      <c r="AW160" s="144"/>
      <c r="AX160" s="144"/>
      <c r="AY160" s="144"/>
      <c r="AZ160" s="144"/>
      <c r="BA160" s="144"/>
      <c r="BB160" s="144"/>
      <c r="BC160" s="144"/>
      <c r="BD160" s="144"/>
      <c r="BE160" s="144"/>
      <c r="BF160" s="144"/>
      <c r="BG160" s="50"/>
    </row>
    <row r="161" ht="11.25" customHeight="1">
      <c r="A161" s="125" t="s">
        <v>988</v>
      </c>
      <c r="B161" s="125"/>
      <c r="C161" s="125"/>
      <c r="D161" s="53"/>
      <c r="E161" s="91"/>
      <c r="F161" s="944"/>
      <c r="G161" s="952"/>
      <c r="H161" s="922" t="s">
        <v>89</v>
      </c>
      <c r="I161" s="945"/>
      <c r="J161" s="946"/>
      <c r="K161" s="449"/>
      <c r="L161" s="225"/>
      <c r="M161" s="219"/>
      <c r="N161" s="953"/>
      <c r="O161" s="954"/>
      <c r="P161" s="965"/>
      <c r="Q161" s="459"/>
      <c r="R161" s="459"/>
      <c r="S161" s="961"/>
      <c r="T161" s="459"/>
      <c r="U161" s="459"/>
      <c r="V161" s="459"/>
      <c r="W161" s="459"/>
      <c r="X161" s="459"/>
      <c r="Y161" s="459"/>
      <c r="Z161" s="956"/>
      <c r="AA161" s="957"/>
      <c r="AB161" s="173" t="s">
        <v>1025</v>
      </c>
      <c r="AC161" s="958"/>
      <c r="AD161" s="958"/>
      <c r="AE161" s="966"/>
      <c r="AF161" s="950"/>
      <c r="AG161" s="951"/>
      <c r="AH161" s="951"/>
      <c r="AI161" s="950"/>
      <c r="AJ161" s="951"/>
      <c r="AK161" s="951"/>
      <c r="AL161" s="920"/>
      <c r="AM161" s="144"/>
      <c r="AN161" s="144"/>
      <c r="AO161" s="144"/>
      <c r="AP161" s="144"/>
      <c r="AQ161" s="144"/>
      <c r="AR161" s="144"/>
      <c r="AS161" s="144"/>
      <c r="AT161" s="144"/>
      <c r="AU161" s="144"/>
      <c r="AV161" s="144"/>
      <c r="AW161" s="144"/>
      <c r="AX161" s="144"/>
      <c r="AY161" s="144"/>
      <c r="AZ161" s="144"/>
      <c r="BA161" s="144"/>
      <c r="BB161" s="144"/>
      <c r="BC161" s="144"/>
      <c r="BD161" s="144"/>
      <c r="BE161" s="144"/>
      <c r="BF161" s="144"/>
      <c r="BG161" s="50"/>
    </row>
    <row r="162" ht="11.25" customHeight="1">
      <c r="A162" s="125" t="s">
        <v>988</v>
      </c>
      <c r="B162" s="125"/>
      <c r="C162" s="125"/>
      <c r="D162" s="53"/>
      <c r="E162" s="91"/>
      <c r="F162" s="944"/>
      <c r="G162" s="952"/>
      <c r="H162" s="922" t="s">
        <v>89</v>
      </c>
      <c r="I162" s="945"/>
      <c r="J162" s="946"/>
      <c r="K162" s="449"/>
      <c r="L162" s="225"/>
      <c r="M162" s="219"/>
      <c r="N162" s="956"/>
      <c r="O162" s="957"/>
      <c r="P162" s="173" t="s">
        <v>1026</v>
      </c>
      <c r="Q162" s="957"/>
      <c r="R162" s="957"/>
      <c r="S162" s="957"/>
      <c r="T162" s="957"/>
      <c r="U162" s="957"/>
      <c r="V162" s="957"/>
      <c r="W162" s="957"/>
      <c r="X162" s="957"/>
      <c r="Y162" s="957"/>
      <c r="Z162" s="957"/>
      <c r="AA162" s="957"/>
      <c r="AB162" s="957"/>
      <c r="AC162" s="957"/>
      <c r="AD162" s="957"/>
      <c r="AE162" s="967"/>
      <c r="AF162" s="950"/>
      <c r="AG162" s="951"/>
      <c r="AH162" s="951"/>
      <c r="AI162" s="950"/>
      <c r="AJ162" s="951"/>
      <c r="AK162" s="951"/>
      <c r="AL162" s="920"/>
      <c r="AM162" s="144"/>
      <c r="AN162" s="144"/>
      <c r="AO162" s="144"/>
      <c r="AP162" s="144"/>
      <c r="AQ162" s="144"/>
      <c r="AR162" s="144"/>
      <c r="AS162" s="144"/>
      <c r="AT162" s="144"/>
      <c r="AU162" s="144"/>
      <c r="AV162" s="144"/>
      <c r="AW162" s="144"/>
      <c r="AX162" s="144"/>
      <c r="AY162" s="144"/>
      <c r="AZ162" s="144"/>
      <c r="BA162" s="144"/>
      <c r="BB162" s="144"/>
      <c r="BC162" s="144"/>
      <c r="BD162" s="144"/>
      <c r="BE162" s="144"/>
      <c r="BF162" s="144"/>
      <c r="BG162" s="50"/>
    </row>
    <row r="163" ht="11.25" customHeight="1">
      <c r="A163" s="125" t="s">
        <v>988</v>
      </c>
      <c r="B163" s="125" t="s">
        <v>22</v>
      </c>
      <c r="C163" s="125"/>
      <c r="D163" s="53"/>
      <c r="E163" s="91"/>
      <c r="F163" s="944"/>
      <c r="G163" s="150" t="s">
        <v>683</v>
      </c>
      <c r="H163" s="922" t="s">
        <v>107</v>
      </c>
      <c r="I163" s="945" t="s">
        <v>1020</v>
      </c>
      <c r="J163" s="946" t="s">
        <v>22</v>
      </c>
      <c r="K163" s="449" t="s">
        <v>1036</v>
      </c>
      <c r="L163" s="225" t="s">
        <v>19</v>
      </c>
      <c r="M163" s="219"/>
      <c r="N163" s="947"/>
      <c r="O163" s="948" t="s">
        <v>370</v>
      </c>
      <c r="P163" s="949"/>
      <c r="Q163" s="949"/>
      <c r="R163" s="949"/>
      <c r="S163" s="949"/>
      <c r="T163" s="949"/>
      <c r="U163" s="949"/>
      <c r="V163" s="949"/>
      <c r="W163" s="949"/>
      <c r="X163" s="949"/>
      <c r="Y163" s="949"/>
      <c r="Z163" s="949"/>
      <c r="AA163" s="949"/>
      <c r="AB163" s="949"/>
      <c r="AC163" s="949"/>
      <c r="AD163" s="949"/>
      <c r="AE163" s="949"/>
      <c r="AF163" s="950">
        <v>5</v>
      </c>
      <c r="AG163" s="951" t="s">
        <v>1022</v>
      </c>
      <c r="AH163" s="951" t="s">
        <v>1023</v>
      </c>
      <c r="AI163" s="950"/>
      <c r="AJ163" s="951"/>
      <c r="AK163" s="951"/>
      <c r="AL163" s="920"/>
      <c r="AM163" s="144"/>
      <c r="AN163" s="144"/>
      <c r="AO163" s="144"/>
      <c r="AP163" s="144"/>
      <c r="AQ163" s="144"/>
      <c r="AR163" s="144"/>
      <c r="AS163" s="144"/>
      <c r="AT163" s="144"/>
      <c r="AU163" s="144"/>
      <c r="AV163" s="144"/>
      <c r="AW163" s="144"/>
      <c r="AX163" s="144"/>
      <c r="AY163" s="144"/>
      <c r="AZ163" s="144"/>
      <c r="BA163" s="144"/>
      <c r="BB163" s="144"/>
      <c r="BC163" s="144"/>
      <c r="BD163" s="144"/>
      <c r="BE163" s="144"/>
      <c r="BF163" s="144"/>
      <c r="BG163" s="50"/>
    </row>
    <row r="164" ht="11.25" customHeight="1">
      <c r="A164" s="125" t="s">
        <v>988</v>
      </c>
      <c r="B164" s="125"/>
      <c r="C164" s="125"/>
      <c r="D164" s="53"/>
      <c r="E164" s="91"/>
      <c r="F164" s="944"/>
      <c r="G164" s="952"/>
      <c r="H164" s="922" t="s">
        <v>90</v>
      </c>
      <c r="I164" s="945"/>
      <c r="J164" s="946"/>
      <c r="K164" s="449"/>
      <c r="L164" s="225"/>
      <c r="M164" s="219"/>
      <c r="N164" s="953"/>
      <c r="O164" s="954">
        <v>1</v>
      </c>
      <c r="P164" s="955" t="s">
        <v>19</v>
      </c>
      <c r="Q164" s="459" t="s">
        <v>22</v>
      </c>
      <c r="R164" s="459" t="s">
        <v>22</v>
      </c>
      <c r="S164" s="459" t="s">
        <v>22</v>
      </c>
      <c r="T164" s="459" t="s">
        <v>22</v>
      </c>
      <c r="U164" s="459" t="s">
        <v>22</v>
      </c>
      <c r="V164" s="459" t="s">
        <v>22</v>
      </c>
      <c r="W164" s="459" t="s">
        <v>22</v>
      </c>
      <c r="X164" s="459" t="s">
        <v>22</v>
      </c>
      <c r="Y164" s="459"/>
      <c r="Z164" s="956"/>
      <c r="AA164" s="957"/>
      <c r="AB164" s="957"/>
      <c r="AC164" s="958"/>
      <c r="AD164" s="958"/>
      <c r="AE164" s="959"/>
      <c r="AF164" s="950"/>
      <c r="AG164" s="951"/>
      <c r="AH164" s="951"/>
      <c r="AI164" s="950"/>
      <c r="AJ164" s="951"/>
      <c r="AK164" s="951"/>
      <c r="AL164" s="920"/>
      <c r="AM164" s="144"/>
      <c r="AN164" s="144"/>
      <c r="AO164" s="144"/>
      <c r="AP164" s="144"/>
      <c r="AQ164" s="144"/>
      <c r="AR164" s="144"/>
      <c r="AS164" s="144"/>
      <c r="AT164" s="144"/>
      <c r="AU164" s="144"/>
      <c r="AV164" s="144"/>
      <c r="AW164" s="144"/>
      <c r="AX164" s="144"/>
      <c r="AY164" s="144"/>
      <c r="AZ164" s="144"/>
      <c r="BA164" s="144"/>
      <c r="BB164" s="144"/>
      <c r="BC164" s="144"/>
      <c r="BD164" s="144"/>
      <c r="BE164" s="144"/>
      <c r="BF164" s="144"/>
      <c r="BG164" s="50"/>
    </row>
    <row r="165" ht="11.25" customHeight="1">
      <c r="A165" s="125" t="s">
        <v>988</v>
      </c>
      <c r="B165" s="125"/>
      <c r="C165" s="125"/>
      <c r="D165" s="53"/>
      <c r="E165" s="91"/>
      <c r="F165" s="944"/>
      <c r="G165" s="952"/>
      <c r="H165" s="922" t="s">
        <v>90</v>
      </c>
      <c r="I165" s="945"/>
      <c r="J165" s="946"/>
      <c r="K165" s="449"/>
      <c r="L165" s="225"/>
      <c r="M165" s="219"/>
      <c r="N165" s="953"/>
      <c r="O165" s="954"/>
      <c r="P165" s="960"/>
      <c r="Q165" s="459"/>
      <c r="R165" s="459"/>
      <c r="S165" s="961"/>
      <c r="T165" s="459"/>
      <c r="U165" s="459"/>
      <c r="V165" s="459"/>
      <c r="W165" s="459"/>
      <c r="X165" s="459"/>
      <c r="Y165" s="459"/>
      <c r="Z165" s="962"/>
      <c r="AA165" s="963">
        <v>1</v>
      </c>
      <c r="AB165" s="964" t="s">
        <v>1024</v>
      </c>
      <c r="AC165" s="857">
        <f>0.20701*6819.48</f>
        <v>1411.7005548</v>
      </c>
      <c r="AD165" s="964" t="str">
        <f t="shared" si="50"/>
        <v xml:space="preserve">     Амортизационные отчисления в результате переоценки основных средств и нематериальных активов</v>
      </c>
      <c r="AE165" s="857"/>
      <c r="AF165" s="950"/>
      <c r="AG165" s="951"/>
      <c r="AH165" s="951"/>
      <c r="AI165" s="950"/>
      <c r="AJ165" s="951"/>
      <c r="AK165" s="951"/>
      <c r="AL165" s="920"/>
      <c r="AM165" s="144"/>
      <c r="AN165" s="144"/>
      <c r="AO165" s="144"/>
      <c r="AP165" s="144"/>
      <c r="AQ165" s="144"/>
      <c r="AR165" s="144"/>
      <c r="AS165" s="144"/>
      <c r="AT165" s="144"/>
      <c r="AU165" s="144"/>
      <c r="AV165" s="144"/>
      <c r="AW165" s="144"/>
      <c r="AX165" s="144"/>
      <c r="AY165" s="144"/>
      <c r="AZ165" s="144"/>
      <c r="BA165" s="144"/>
      <c r="BB165" s="144"/>
      <c r="BC165" s="144"/>
      <c r="BD165" s="144"/>
      <c r="BE165" s="144"/>
      <c r="BF165" s="144"/>
      <c r="BG165" s="50"/>
    </row>
    <row r="166" ht="11.25" customHeight="1">
      <c r="A166" s="125" t="s">
        <v>988</v>
      </c>
      <c r="B166" s="125"/>
      <c r="C166" s="125"/>
      <c r="D166" s="53"/>
      <c r="E166" s="91"/>
      <c r="F166" s="944"/>
      <c r="G166" s="952"/>
      <c r="H166" s="922" t="s">
        <v>90</v>
      </c>
      <c r="I166" s="945"/>
      <c r="J166" s="946"/>
      <c r="K166" s="449"/>
      <c r="L166" s="225"/>
      <c r="M166" s="219"/>
      <c r="N166" s="953"/>
      <c r="O166" s="954"/>
      <c r="P166" s="965"/>
      <c r="Q166" s="459"/>
      <c r="R166" s="459"/>
      <c r="S166" s="961"/>
      <c r="T166" s="459"/>
      <c r="U166" s="459"/>
      <c r="V166" s="459"/>
      <c r="W166" s="459"/>
      <c r="X166" s="459"/>
      <c r="Y166" s="459"/>
      <c r="Z166" s="956"/>
      <c r="AA166" s="957"/>
      <c r="AB166" s="173" t="s">
        <v>1025</v>
      </c>
      <c r="AC166" s="958"/>
      <c r="AD166" s="958"/>
      <c r="AE166" s="966"/>
      <c r="AF166" s="950"/>
      <c r="AG166" s="951"/>
      <c r="AH166" s="951"/>
      <c r="AI166" s="950"/>
      <c r="AJ166" s="951"/>
      <c r="AK166" s="951"/>
      <c r="AL166" s="920"/>
      <c r="AM166" s="144"/>
      <c r="AN166" s="144"/>
      <c r="AO166" s="144"/>
      <c r="AP166" s="144"/>
      <c r="AQ166" s="144"/>
      <c r="AR166" s="144"/>
      <c r="AS166" s="144"/>
      <c r="AT166" s="144"/>
      <c r="AU166" s="144"/>
      <c r="AV166" s="144"/>
      <c r="AW166" s="144"/>
      <c r="AX166" s="144"/>
      <c r="AY166" s="144"/>
      <c r="AZ166" s="144"/>
      <c r="BA166" s="144"/>
      <c r="BB166" s="144"/>
      <c r="BC166" s="144"/>
      <c r="BD166" s="144"/>
      <c r="BE166" s="144"/>
      <c r="BF166" s="144"/>
      <c r="BG166" s="50"/>
    </row>
    <row r="167" ht="11.25" customHeight="1">
      <c r="A167" s="125" t="s">
        <v>988</v>
      </c>
      <c r="B167" s="125"/>
      <c r="C167" s="125"/>
      <c r="D167" s="53"/>
      <c r="E167" s="91"/>
      <c r="F167" s="944"/>
      <c r="G167" s="952"/>
      <c r="H167" s="922" t="s">
        <v>90</v>
      </c>
      <c r="I167" s="945"/>
      <c r="J167" s="946"/>
      <c r="K167" s="449"/>
      <c r="L167" s="225"/>
      <c r="M167" s="219"/>
      <c r="N167" s="956"/>
      <c r="O167" s="957"/>
      <c r="P167" s="173" t="s">
        <v>1026</v>
      </c>
      <c r="Q167" s="957"/>
      <c r="R167" s="957"/>
      <c r="S167" s="957"/>
      <c r="T167" s="957"/>
      <c r="U167" s="957"/>
      <c r="V167" s="957"/>
      <c r="W167" s="957"/>
      <c r="X167" s="957"/>
      <c r="Y167" s="957"/>
      <c r="Z167" s="957"/>
      <c r="AA167" s="957"/>
      <c r="AB167" s="957"/>
      <c r="AC167" s="957"/>
      <c r="AD167" s="957"/>
      <c r="AE167" s="967"/>
      <c r="AF167" s="950"/>
      <c r="AG167" s="951"/>
      <c r="AH167" s="951"/>
      <c r="AI167" s="950"/>
      <c r="AJ167" s="951"/>
      <c r="AK167" s="951"/>
      <c r="AL167" s="920"/>
      <c r="AM167" s="144"/>
      <c r="AN167" s="144"/>
      <c r="AO167" s="144"/>
      <c r="AP167" s="144"/>
      <c r="AQ167" s="144"/>
      <c r="AR167" s="144"/>
      <c r="AS167" s="144"/>
      <c r="AT167" s="144"/>
      <c r="AU167" s="144"/>
      <c r="AV167" s="144"/>
      <c r="AW167" s="144"/>
      <c r="AX167" s="144"/>
      <c r="AY167" s="144"/>
      <c r="AZ167" s="144"/>
      <c r="BA167" s="144"/>
      <c r="BB167" s="144"/>
      <c r="BC167" s="144"/>
      <c r="BD167" s="144"/>
      <c r="BE167" s="144"/>
      <c r="BF167" s="144"/>
      <c r="BG167" s="50"/>
    </row>
    <row r="168" ht="12" customHeight="1">
      <c r="A168" s="125" t="s">
        <v>988</v>
      </c>
      <c r="B168" s="125"/>
      <c r="C168" s="125"/>
      <c r="D168" s="53"/>
      <c r="E168" s="91"/>
      <c r="F168" s="971"/>
      <c r="G168" s="972"/>
      <c r="H168" s="972"/>
      <c r="I168" s="973" t="s">
        <v>1038</v>
      </c>
      <c r="J168" s="973"/>
      <c r="K168" s="973"/>
      <c r="L168" s="974"/>
      <c r="M168" s="974"/>
      <c r="N168" s="975"/>
      <c r="O168" s="975"/>
      <c r="P168" s="975"/>
      <c r="Q168" s="975"/>
      <c r="R168" s="975"/>
      <c r="S168" s="975"/>
      <c r="T168" s="975"/>
      <c r="U168" s="975"/>
      <c r="V168" s="975"/>
      <c r="W168" s="975"/>
      <c r="X168" s="975"/>
      <c r="Y168" s="975"/>
      <c r="Z168" s="975"/>
      <c r="AA168" s="975"/>
      <c r="AB168" s="975"/>
      <c r="AC168" s="975"/>
      <c r="AD168" s="975"/>
      <c r="AE168" s="975"/>
      <c r="AF168" s="975"/>
      <c r="AG168" s="974"/>
      <c r="AH168" s="974"/>
      <c r="AI168" s="975"/>
      <c r="AJ168" s="974"/>
      <c r="AK168" s="975"/>
      <c r="AL168" s="920"/>
      <c r="AM168" s="144"/>
      <c r="AN168" s="144"/>
      <c r="AO168" s="144"/>
      <c r="AP168" s="144"/>
      <c r="AQ168" s="144"/>
      <c r="AR168" s="144"/>
      <c r="AS168" s="144"/>
      <c r="AT168" s="144"/>
      <c r="AU168" s="144"/>
      <c r="AV168" s="144"/>
      <c r="AW168" s="144"/>
      <c r="AX168" s="144"/>
      <c r="AY168" s="144"/>
      <c r="AZ168" s="144"/>
      <c r="BA168" s="144"/>
      <c r="BB168" s="144"/>
      <c r="BC168" s="144"/>
      <c r="BD168" s="144"/>
      <c r="BE168" s="144"/>
      <c r="BF168" s="144"/>
      <c r="BG168" s="50"/>
    </row>
    <row r="169" ht="0.75" customHeight="1">
      <c r="A169" s="125" t="s">
        <v>988</v>
      </c>
      <c r="B169" s="125"/>
      <c r="C169" s="125"/>
      <c r="D169" s="53"/>
      <c r="E169" s="91"/>
      <c r="F169" s="921">
        <v>2029</v>
      </c>
      <c r="G169" s="922"/>
      <c r="H169" s="923" t="s">
        <v>370</v>
      </c>
      <c r="I169" s="924"/>
      <c r="J169" s="161"/>
      <c r="K169" s="161"/>
      <c r="L169" s="925"/>
      <c r="M169" s="537"/>
      <c r="N169" s="926"/>
      <c r="O169" s="927"/>
      <c r="P169" s="926"/>
      <c r="Q169" s="926"/>
      <c r="R169" s="926"/>
      <c r="S169" s="926"/>
      <c r="T169" s="926"/>
      <c r="U169" s="926"/>
      <c r="V169" s="926"/>
      <c r="W169" s="926"/>
      <c r="X169" s="926"/>
      <c r="Y169" s="926"/>
      <c r="Z169" s="926"/>
      <c r="AA169" s="926"/>
      <c r="AB169" s="926"/>
      <c r="AC169" s="926"/>
      <c r="AD169" s="926"/>
      <c r="AE169" s="926"/>
      <c r="AF169" s="928"/>
      <c r="AG169" s="925"/>
      <c r="AH169" s="925"/>
      <c r="AI169" s="928"/>
      <c r="AJ169" s="925"/>
      <c r="AK169" s="925"/>
      <c r="AL169" s="920"/>
      <c r="AM169" s="144"/>
      <c r="AN169" s="144"/>
      <c r="AO169" s="144"/>
      <c r="AP169" s="144"/>
      <c r="AQ169" s="144"/>
      <c r="AR169" s="144"/>
      <c r="AS169" s="144"/>
      <c r="AT169" s="144"/>
      <c r="AU169" s="144"/>
      <c r="AV169" s="144"/>
      <c r="AW169" s="144"/>
      <c r="AX169" s="144"/>
      <c r="AY169" s="144"/>
      <c r="AZ169" s="144"/>
      <c r="BA169" s="144"/>
      <c r="BB169" s="144"/>
      <c r="BC169" s="144"/>
      <c r="BD169" s="144"/>
      <c r="BE169" s="144"/>
      <c r="BF169" s="144"/>
      <c r="BG169" s="50"/>
    </row>
    <row r="170" ht="0.75" customHeight="1">
      <c r="A170" s="125" t="s">
        <v>988</v>
      </c>
      <c r="B170" s="125"/>
      <c r="C170" s="125"/>
      <c r="D170" s="53"/>
      <c r="E170" s="91"/>
      <c r="F170" s="921"/>
      <c r="G170" s="922"/>
      <c r="H170" s="923"/>
      <c r="I170" s="924"/>
      <c r="J170" s="161"/>
      <c r="K170" s="161"/>
      <c r="L170" s="925"/>
      <c r="M170" s="537"/>
      <c r="N170" s="929"/>
      <c r="O170" s="930"/>
      <c r="P170" s="931"/>
      <c r="Q170" s="161"/>
      <c r="R170" s="161"/>
      <c r="S170" s="161"/>
      <c r="T170" s="161"/>
      <c r="U170" s="161"/>
      <c r="V170" s="161"/>
      <c r="W170" s="161"/>
      <c r="X170" s="161"/>
      <c r="Y170" s="161"/>
      <c r="Z170" s="932"/>
      <c r="AA170" s="933"/>
      <c r="AB170" s="933"/>
      <c r="AC170" s="934"/>
      <c r="AD170" s="934"/>
      <c r="AE170" s="935"/>
      <c r="AF170" s="928"/>
      <c r="AG170" s="925"/>
      <c r="AH170" s="925"/>
      <c r="AI170" s="928"/>
      <c r="AJ170" s="925"/>
      <c r="AK170" s="925"/>
      <c r="AL170" s="920"/>
      <c r="AM170" s="144"/>
      <c r="AN170" s="144"/>
      <c r="AO170" s="144"/>
      <c r="AP170" s="144"/>
      <c r="AQ170" s="144"/>
      <c r="AR170" s="144"/>
      <c r="AS170" s="144"/>
      <c r="AT170" s="144"/>
      <c r="AU170" s="144"/>
      <c r="AV170" s="144"/>
      <c r="AW170" s="144"/>
      <c r="AX170" s="144"/>
      <c r="AY170" s="144"/>
      <c r="AZ170" s="144"/>
      <c r="BA170" s="144"/>
      <c r="BB170" s="144"/>
      <c r="BC170" s="144"/>
      <c r="BD170" s="144"/>
      <c r="BE170" s="144"/>
      <c r="BF170" s="144"/>
      <c r="BG170" s="50"/>
    </row>
    <row r="171" ht="0.75" customHeight="1">
      <c r="A171" s="125" t="s">
        <v>988</v>
      </c>
      <c r="B171" s="125"/>
      <c r="C171" s="125"/>
      <c r="D171" s="53"/>
      <c r="E171" s="91"/>
      <c r="F171" s="921"/>
      <c r="G171" s="922"/>
      <c r="H171" s="923"/>
      <c r="I171" s="924"/>
      <c r="J171" s="161"/>
      <c r="K171" s="161"/>
      <c r="L171" s="925"/>
      <c r="M171" s="537"/>
      <c r="N171" s="929"/>
      <c r="O171" s="930"/>
      <c r="P171" s="936"/>
      <c r="Q171" s="161"/>
      <c r="R171" s="161"/>
      <c r="S171" s="161"/>
      <c r="T171" s="161"/>
      <c r="U171" s="161"/>
      <c r="V171" s="161"/>
      <c r="W171" s="161"/>
      <c r="X171" s="161"/>
      <c r="Y171" s="161"/>
      <c r="Z171" s="937"/>
      <c r="AA171" s="930"/>
      <c r="AB171" s="938"/>
      <c r="AC171" s="939"/>
      <c r="AD171" s="938"/>
      <c r="AE171" s="939"/>
      <c r="AF171" s="928"/>
      <c r="AG171" s="925"/>
      <c r="AH171" s="925"/>
      <c r="AI171" s="928"/>
      <c r="AJ171" s="925"/>
      <c r="AK171" s="925"/>
      <c r="AL171" s="920"/>
      <c r="AM171" s="144"/>
      <c r="AN171" s="144"/>
      <c r="AO171" s="144"/>
      <c r="AP171" s="144"/>
      <c r="AQ171" s="144"/>
      <c r="AR171" s="144"/>
      <c r="AS171" s="144"/>
      <c r="AT171" s="144"/>
      <c r="AU171" s="144"/>
      <c r="AV171" s="144"/>
      <c r="AW171" s="144"/>
      <c r="AX171" s="144"/>
      <c r="AY171" s="144"/>
      <c r="AZ171" s="144"/>
      <c r="BA171" s="144"/>
      <c r="BB171" s="144"/>
      <c r="BC171" s="144"/>
      <c r="BD171" s="144"/>
      <c r="BE171" s="144"/>
      <c r="BF171" s="144"/>
      <c r="BG171" s="50"/>
    </row>
    <row r="172" ht="0.75" customHeight="1">
      <c r="A172" s="125" t="s">
        <v>988</v>
      </c>
      <c r="B172" s="125"/>
      <c r="C172" s="125"/>
      <c r="D172" s="53"/>
      <c r="E172" s="91"/>
      <c r="F172" s="921"/>
      <c r="G172" s="922"/>
      <c r="H172" s="923"/>
      <c r="I172" s="924"/>
      <c r="J172" s="161"/>
      <c r="K172" s="161"/>
      <c r="L172" s="925"/>
      <c r="M172" s="537"/>
      <c r="N172" s="929"/>
      <c r="O172" s="930"/>
      <c r="P172" s="940"/>
      <c r="Q172" s="161"/>
      <c r="R172" s="161"/>
      <c r="S172" s="161"/>
      <c r="T172" s="161"/>
      <c r="U172" s="161"/>
      <c r="V172" s="161"/>
      <c r="W172" s="161"/>
      <c r="X172" s="161"/>
      <c r="Y172" s="161"/>
      <c r="Z172" s="932"/>
      <c r="AA172" s="933"/>
      <c r="AB172" s="941"/>
      <c r="AC172" s="934"/>
      <c r="AD172" s="934"/>
      <c r="AE172" s="942"/>
      <c r="AF172" s="928"/>
      <c r="AG172" s="925"/>
      <c r="AH172" s="925"/>
      <c r="AI172" s="928"/>
      <c r="AJ172" s="925"/>
      <c r="AK172" s="925"/>
      <c r="AL172" s="920"/>
      <c r="AM172" s="144"/>
      <c r="AN172" s="144"/>
      <c r="AO172" s="144"/>
      <c r="AP172" s="144"/>
      <c r="AQ172" s="144"/>
      <c r="AR172" s="144"/>
      <c r="AS172" s="144"/>
      <c r="AT172" s="144"/>
      <c r="AU172" s="144"/>
      <c r="AV172" s="144"/>
      <c r="AW172" s="144"/>
      <c r="AX172" s="144"/>
      <c r="AY172" s="144"/>
      <c r="AZ172" s="144"/>
      <c r="BA172" s="144"/>
      <c r="BB172" s="144"/>
      <c r="BC172" s="144"/>
      <c r="BD172" s="144"/>
      <c r="BE172" s="144"/>
      <c r="BF172" s="144"/>
      <c r="BG172" s="50"/>
    </row>
    <row r="173" ht="0.75" customHeight="1">
      <c r="A173" s="125" t="s">
        <v>988</v>
      </c>
      <c r="B173" s="125"/>
      <c r="C173" s="125"/>
      <c r="D173" s="53"/>
      <c r="E173" s="91"/>
      <c r="F173" s="921"/>
      <c r="G173" s="922"/>
      <c r="H173" s="923"/>
      <c r="I173" s="924"/>
      <c r="J173" s="161"/>
      <c r="K173" s="161"/>
      <c r="L173" s="925"/>
      <c r="M173" s="537"/>
      <c r="N173" s="933"/>
      <c r="O173" s="933"/>
      <c r="P173" s="941"/>
      <c r="Q173" s="933"/>
      <c r="R173" s="933"/>
      <c r="S173" s="933"/>
      <c r="T173" s="933"/>
      <c r="U173" s="933"/>
      <c r="V173" s="933"/>
      <c r="W173" s="933"/>
      <c r="X173" s="933"/>
      <c r="Y173" s="933"/>
      <c r="Z173" s="933"/>
      <c r="AA173" s="933"/>
      <c r="AB173" s="933"/>
      <c r="AC173" s="933"/>
      <c r="AD173" s="933"/>
      <c r="AE173" s="943"/>
      <c r="AF173" s="928"/>
      <c r="AG173" s="925"/>
      <c r="AH173" s="925"/>
      <c r="AI173" s="928"/>
      <c r="AJ173" s="925"/>
      <c r="AK173" s="925"/>
      <c r="AL173" s="920"/>
      <c r="AM173" s="144"/>
      <c r="AN173" s="144"/>
      <c r="AO173" s="144"/>
      <c r="AP173" s="144"/>
      <c r="AQ173" s="144"/>
      <c r="AR173" s="144"/>
      <c r="AS173" s="144"/>
      <c r="AT173" s="144"/>
      <c r="AU173" s="144"/>
      <c r="AV173" s="144"/>
      <c r="AW173" s="144"/>
      <c r="AX173" s="144"/>
      <c r="AY173" s="144"/>
      <c r="AZ173" s="144"/>
      <c r="BA173" s="144"/>
      <c r="BB173" s="144"/>
      <c r="BC173" s="144"/>
      <c r="BD173" s="144"/>
      <c r="BE173" s="144"/>
      <c r="BF173" s="144"/>
      <c r="BG173" s="50"/>
    </row>
    <row r="174" ht="11.25" customHeight="1">
      <c r="A174" s="125" t="s">
        <v>988</v>
      </c>
      <c r="B174" s="125" t="s">
        <v>22</v>
      </c>
      <c r="C174" s="125"/>
      <c r="D174" s="53"/>
      <c r="E174" s="91"/>
      <c r="F174" s="944"/>
      <c r="G174" s="150" t="s">
        <v>683</v>
      </c>
      <c r="H174" s="922" t="s">
        <v>105</v>
      </c>
      <c r="I174" s="945" t="s">
        <v>1020</v>
      </c>
      <c r="J174" s="946" t="s">
        <v>22</v>
      </c>
      <c r="K174" s="449" t="s">
        <v>1039</v>
      </c>
      <c r="L174" s="225" t="s">
        <v>19</v>
      </c>
      <c r="M174" s="219"/>
      <c r="N174" s="947"/>
      <c r="O174" s="948" t="s">
        <v>370</v>
      </c>
      <c r="P174" s="949"/>
      <c r="Q174" s="949"/>
      <c r="R174" s="949"/>
      <c r="S174" s="949"/>
      <c r="T174" s="949"/>
      <c r="U174" s="949"/>
      <c r="V174" s="949"/>
      <c r="W174" s="949"/>
      <c r="X174" s="949"/>
      <c r="Y174" s="949"/>
      <c r="Z174" s="949"/>
      <c r="AA174" s="949"/>
      <c r="AB174" s="949"/>
      <c r="AC174" s="949"/>
      <c r="AD174" s="949"/>
      <c r="AE174" s="949"/>
      <c r="AF174" s="950">
        <v>5</v>
      </c>
      <c r="AG174" s="951" t="s">
        <v>1022</v>
      </c>
      <c r="AH174" s="951" t="s">
        <v>1023</v>
      </c>
      <c r="AI174" s="950"/>
      <c r="AJ174" s="951"/>
      <c r="AK174" s="951"/>
      <c r="AL174" s="920"/>
      <c r="AM174" s="144"/>
      <c r="AN174" s="144"/>
      <c r="AO174" s="144"/>
      <c r="AP174" s="144"/>
      <c r="AQ174" s="144"/>
      <c r="AR174" s="144"/>
      <c r="AS174" s="144"/>
      <c r="AT174" s="144"/>
      <c r="AU174" s="144"/>
      <c r="AV174" s="144"/>
      <c r="AW174" s="144"/>
      <c r="AX174" s="144"/>
      <c r="AY174" s="144"/>
      <c r="AZ174" s="144"/>
      <c r="BA174" s="144"/>
      <c r="BB174" s="144"/>
      <c r="BC174" s="144"/>
      <c r="BD174" s="144"/>
      <c r="BE174" s="144"/>
      <c r="BF174" s="144"/>
      <c r="BG174" s="50"/>
    </row>
    <row r="175" ht="11.25" customHeight="1">
      <c r="A175" s="125" t="s">
        <v>988</v>
      </c>
      <c r="B175" s="125"/>
      <c r="C175" s="125"/>
      <c r="D175" s="53"/>
      <c r="E175" s="91"/>
      <c r="F175" s="944"/>
      <c r="G175" s="952"/>
      <c r="H175" s="922" t="s">
        <v>370</v>
      </c>
      <c r="I175" s="945"/>
      <c r="J175" s="946"/>
      <c r="K175" s="449"/>
      <c r="L175" s="225"/>
      <c r="M175" s="219"/>
      <c r="N175" s="953"/>
      <c r="O175" s="954">
        <v>1</v>
      </c>
      <c r="P175" s="955" t="s">
        <v>19</v>
      </c>
      <c r="Q175" s="459" t="s">
        <v>22</v>
      </c>
      <c r="R175" s="459" t="s">
        <v>22</v>
      </c>
      <c r="S175" s="459" t="s">
        <v>22</v>
      </c>
      <c r="T175" s="459" t="s">
        <v>22</v>
      </c>
      <c r="U175" s="459" t="s">
        <v>22</v>
      </c>
      <c r="V175" s="459" t="s">
        <v>22</v>
      </c>
      <c r="W175" s="459" t="s">
        <v>22</v>
      </c>
      <c r="X175" s="459" t="s">
        <v>22</v>
      </c>
      <c r="Y175" s="459"/>
      <c r="Z175" s="956"/>
      <c r="AA175" s="957"/>
      <c r="AB175" s="957"/>
      <c r="AC175" s="958"/>
      <c r="AD175" s="958"/>
      <c r="AE175" s="959"/>
      <c r="AF175" s="950"/>
      <c r="AG175" s="951"/>
      <c r="AH175" s="951"/>
      <c r="AI175" s="950"/>
      <c r="AJ175" s="951"/>
      <c r="AK175" s="951"/>
      <c r="AL175" s="920"/>
      <c r="AM175" s="144"/>
      <c r="AN175" s="144"/>
      <c r="AO175" s="144"/>
      <c r="AP175" s="144"/>
      <c r="AQ175" s="144"/>
      <c r="AR175" s="144"/>
      <c r="AS175" s="144"/>
      <c r="AT175" s="144"/>
      <c r="AU175" s="144"/>
      <c r="AV175" s="144"/>
      <c r="AW175" s="144"/>
      <c r="AX175" s="144"/>
      <c r="AY175" s="144"/>
      <c r="AZ175" s="144"/>
      <c r="BA175" s="144"/>
      <c r="BB175" s="144"/>
      <c r="BC175" s="144"/>
      <c r="BD175" s="144"/>
      <c r="BE175" s="144"/>
      <c r="BF175" s="144"/>
      <c r="BG175" s="50"/>
    </row>
    <row r="176" ht="11.25" customHeight="1">
      <c r="A176" s="125" t="s">
        <v>988</v>
      </c>
      <c r="B176" s="125"/>
      <c r="C176" s="125"/>
      <c r="D176" s="53"/>
      <c r="E176" s="91"/>
      <c r="F176" s="944"/>
      <c r="G176" s="952"/>
      <c r="H176" s="922" t="s">
        <v>370</v>
      </c>
      <c r="I176" s="945"/>
      <c r="J176" s="946"/>
      <c r="K176" s="449"/>
      <c r="L176" s="225"/>
      <c r="M176" s="219"/>
      <c r="N176" s="953"/>
      <c r="O176" s="954"/>
      <c r="P176" s="960"/>
      <c r="Q176" s="459"/>
      <c r="R176" s="459"/>
      <c r="S176" s="961"/>
      <c r="T176" s="459"/>
      <c r="U176" s="459"/>
      <c r="V176" s="459"/>
      <c r="W176" s="459"/>
      <c r="X176" s="459"/>
      <c r="Y176" s="459"/>
      <c r="Z176" s="962"/>
      <c r="AA176" s="963">
        <v>1</v>
      </c>
      <c r="AB176" s="964" t="s">
        <v>1024</v>
      </c>
      <c r="AC176" s="857">
        <f>0.20701*19202.87</f>
        <v>3975.1861187</v>
      </c>
      <c r="AD176" s="964" t="str">
        <f t="shared" ref="AD171:AD222" si="51">AB176</f>
        <v xml:space="preserve">     Амортизационные отчисления в результате переоценки основных средств и нематериальных активов</v>
      </c>
      <c r="AE176" s="857"/>
      <c r="AF176" s="950"/>
      <c r="AG176" s="951"/>
      <c r="AH176" s="951"/>
      <c r="AI176" s="950"/>
      <c r="AJ176" s="951"/>
      <c r="AK176" s="951"/>
      <c r="AL176" s="920"/>
      <c r="AM176" s="144"/>
      <c r="AN176" s="144"/>
      <c r="AO176" s="144"/>
      <c r="AP176" s="144"/>
      <c r="AQ176" s="144"/>
      <c r="AR176" s="144"/>
      <c r="AS176" s="144"/>
      <c r="AT176" s="144"/>
      <c r="AU176" s="144"/>
      <c r="AV176" s="144"/>
      <c r="AW176" s="144"/>
      <c r="AX176" s="144"/>
      <c r="AY176" s="144"/>
      <c r="AZ176" s="144"/>
      <c r="BA176" s="144"/>
      <c r="BB176" s="144"/>
      <c r="BC176" s="144"/>
      <c r="BD176" s="144"/>
      <c r="BE176" s="144"/>
      <c r="BF176" s="144"/>
      <c r="BG176" s="50"/>
    </row>
    <row r="177" ht="11.25" customHeight="1">
      <c r="A177" s="125" t="s">
        <v>988</v>
      </c>
      <c r="B177" s="125"/>
      <c r="C177" s="125"/>
      <c r="D177" s="53"/>
      <c r="E177" s="91"/>
      <c r="F177" s="944"/>
      <c r="G177" s="952"/>
      <c r="H177" s="922" t="s">
        <v>370</v>
      </c>
      <c r="I177" s="945"/>
      <c r="J177" s="946"/>
      <c r="K177" s="449"/>
      <c r="L177" s="225"/>
      <c r="M177" s="219"/>
      <c r="N177" s="953"/>
      <c r="O177" s="954"/>
      <c r="P177" s="965"/>
      <c r="Q177" s="459"/>
      <c r="R177" s="459"/>
      <c r="S177" s="961"/>
      <c r="T177" s="459"/>
      <c r="U177" s="459"/>
      <c r="V177" s="459"/>
      <c r="W177" s="459"/>
      <c r="X177" s="459"/>
      <c r="Y177" s="459"/>
      <c r="Z177" s="956"/>
      <c r="AA177" s="957"/>
      <c r="AB177" s="173" t="s">
        <v>1025</v>
      </c>
      <c r="AC177" s="958"/>
      <c r="AD177" s="958"/>
      <c r="AE177" s="966"/>
      <c r="AF177" s="950"/>
      <c r="AG177" s="951"/>
      <c r="AH177" s="951"/>
      <c r="AI177" s="950"/>
      <c r="AJ177" s="951"/>
      <c r="AK177" s="951"/>
      <c r="AL177" s="920"/>
      <c r="AM177" s="144"/>
      <c r="AN177" s="144"/>
      <c r="AO177" s="144"/>
      <c r="AP177" s="144"/>
      <c r="AQ177" s="144"/>
      <c r="AR177" s="144"/>
      <c r="AS177" s="144"/>
      <c r="AT177" s="144"/>
      <c r="AU177" s="144"/>
      <c r="AV177" s="144"/>
      <c r="AW177" s="144"/>
      <c r="AX177" s="144"/>
      <c r="AY177" s="144"/>
      <c r="AZ177" s="144"/>
      <c r="BA177" s="144"/>
      <c r="BB177" s="144"/>
      <c r="BC177" s="144"/>
      <c r="BD177" s="144"/>
      <c r="BE177" s="144"/>
      <c r="BF177" s="144"/>
      <c r="BG177" s="50"/>
    </row>
    <row r="178" ht="11.25" customHeight="1">
      <c r="A178" s="125" t="s">
        <v>988</v>
      </c>
      <c r="B178" s="125"/>
      <c r="C178" s="125"/>
      <c r="D178" s="53"/>
      <c r="E178" s="91"/>
      <c r="F178" s="944"/>
      <c r="G178" s="952"/>
      <c r="H178" s="922" t="s">
        <v>370</v>
      </c>
      <c r="I178" s="945"/>
      <c r="J178" s="946"/>
      <c r="K178" s="449"/>
      <c r="L178" s="225"/>
      <c r="M178" s="219"/>
      <c r="N178" s="956"/>
      <c r="O178" s="957"/>
      <c r="P178" s="173" t="s">
        <v>1026</v>
      </c>
      <c r="Q178" s="957"/>
      <c r="R178" s="957"/>
      <c r="S178" s="957"/>
      <c r="T178" s="957"/>
      <c r="U178" s="957"/>
      <c r="V178" s="957"/>
      <c r="W178" s="957"/>
      <c r="X178" s="957"/>
      <c r="Y178" s="957"/>
      <c r="Z178" s="957"/>
      <c r="AA178" s="957"/>
      <c r="AB178" s="957"/>
      <c r="AC178" s="957"/>
      <c r="AD178" s="957"/>
      <c r="AE178" s="967"/>
      <c r="AF178" s="950"/>
      <c r="AG178" s="951"/>
      <c r="AH178" s="951"/>
      <c r="AI178" s="950"/>
      <c r="AJ178" s="951"/>
      <c r="AK178" s="951"/>
      <c r="AL178" s="920"/>
      <c r="AM178" s="144"/>
      <c r="AN178" s="144"/>
      <c r="AO178" s="144"/>
      <c r="AP178" s="144"/>
      <c r="AQ178" s="144"/>
      <c r="AR178" s="144"/>
      <c r="AS178" s="144"/>
      <c r="AT178" s="144"/>
      <c r="AU178" s="144"/>
      <c r="AV178" s="144"/>
      <c r="AW178" s="144"/>
      <c r="AX178" s="144"/>
      <c r="AY178" s="144"/>
      <c r="AZ178" s="144"/>
      <c r="BA178" s="144"/>
      <c r="BB178" s="144"/>
      <c r="BC178" s="144"/>
      <c r="BD178" s="144"/>
      <c r="BE178" s="144"/>
      <c r="BF178" s="144"/>
      <c r="BG178" s="50"/>
    </row>
    <row r="179" ht="11.25" customHeight="1">
      <c r="A179" s="125" t="s">
        <v>988</v>
      </c>
      <c r="B179" s="125" t="s">
        <v>22</v>
      </c>
      <c r="C179" s="125"/>
      <c r="D179" s="53"/>
      <c r="E179" s="91"/>
      <c r="F179" s="944"/>
      <c r="G179" s="150" t="s">
        <v>683</v>
      </c>
      <c r="H179" s="922" t="s">
        <v>106</v>
      </c>
      <c r="I179" s="945" t="s">
        <v>1020</v>
      </c>
      <c r="J179" s="946" t="s">
        <v>22</v>
      </c>
      <c r="K179" s="449" t="s">
        <v>1030</v>
      </c>
      <c r="L179" s="225" t="s">
        <v>19</v>
      </c>
      <c r="M179" s="219"/>
      <c r="N179" s="947"/>
      <c r="O179" s="948" t="s">
        <v>370</v>
      </c>
      <c r="P179" s="949"/>
      <c r="Q179" s="949"/>
      <c r="R179" s="949"/>
      <c r="S179" s="949"/>
      <c r="T179" s="949"/>
      <c r="U179" s="949"/>
      <c r="V179" s="949"/>
      <c r="W179" s="949"/>
      <c r="X179" s="949"/>
      <c r="Y179" s="949"/>
      <c r="Z179" s="949"/>
      <c r="AA179" s="949"/>
      <c r="AB179" s="949"/>
      <c r="AC179" s="949"/>
      <c r="AD179" s="949"/>
      <c r="AE179" s="949"/>
      <c r="AF179" s="950">
        <v>4</v>
      </c>
      <c r="AG179" s="951" t="s">
        <v>1022</v>
      </c>
      <c r="AH179" s="951" t="s">
        <v>1031</v>
      </c>
      <c r="AI179" s="950"/>
      <c r="AJ179" s="951"/>
      <c r="AK179" s="951"/>
      <c r="AL179" s="920"/>
      <c r="AM179" s="144"/>
      <c r="AN179" s="144"/>
      <c r="AO179" s="144"/>
      <c r="AP179" s="144"/>
      <c r="AQ179" s="144"/>
      <c r="AR179" s="144"/>
      <c r="AS179" s="144"/>
      <c r="AT179" s="144"/>
      <c r="AU179" s="144"/>
      <c r="AV179" s="144"/>
      <c r="AW179" s="144"/>
      <c r="AX179" s="144"/>
      <c r="AY179" s="144"/>
      <c r="AZ179" s="144"/>
      <c r="BA179" s="144"/>
      <c r="BB179" s="144"/>
      <c r="BC179" s="144"/>
      <c r="BD179" s="144"/>
      <c r="BE179" s="144"/>
      <c r="BF179" s="144"/>
      <c r="BG179" s="50"/>
    </row>
    <row r="180" ht="11.25" customHeight="1">
      <c r="A180" s="125" t="s">
        <v>988</v>
      </c>
      <c r="B180" s="125"/>
      <c r="C180" s="125"/>
      <c r="D180" s="53"/>
      <c r="E180" s="91"/>
      <c r="F180" s="944"/>
      <c r="G180" s="952"/>
      <c r="H180" s="922" t="s">
        <v>105</v>
      </c>
      <c r="I180" s="945"/>
      <c r="J180" s="946"/>
      <c r="K180" s="449"/>
      <c r="L180" s="225"/>
      <c r="M180" s="219"/>
      <c r="N180" s="953"/>
      <c r="O180" s="954">
        <v>1</v>
      </c>
      <c r="P180" s="955" t="s">
        <v>19</v>
      </c>
      <c r="Q180" s="459" t="s">
        <v>22</v>
      </c>
      <c r="R180" s="459" t="s">
        <v>22</v>
      </c>
      <c r="S180" s="459" t="s">
        <v>22</v>
      </c>
      <c r="T180" s="459" t="s">
        <v>22</v>
      </c>
      <c r="U180" s="459" t="s">
        <v>22</v>
      </c>
      <c r="V180" s="459" t="s">
        <v>22</v>
      </c>
      <c r="W180" s="459" t="s">
        <v>22</v>
      </c>
      <c r="X180" s="459" t="s">
        <v>22</v>
      </c>
      <c r="Y180" s="459"/>
      <c r="Z180" s="956"/>
      <c r="AA180" s="957"/>
      <c r="AB180" s="957"/>
      <c r="AC180" s="958"/>
      <c r="AD180" s="958"/>
      <c r="AE180" s="959"/>
      <c r="AF180" s="950"/>
      <c r="AG180" s="951"/>
      <c r="AH180" s="951"/>
      <c r="AI180" s="950"/>
      <c r="AJ180" s="951"/>
      <c r="AK180" s="951"/>
      <c r="AL180" s="920"/>
      <c r="AM180" s="144"/>
      <c r="AN180" s="144"/>
      <c r="AO180" s="144"/>
      <c r="AP180" s="144"/>
      <c r="AQ180" s="144"/>
      <c r="AR180" s="144"/>
      <c r="AS180" s="144"/>
      <c r="AT180" s="144"/>
      <c r="AU180" s="144"/>
      <c r="AV180" s="144"/>
      <c r="AW180" s="144"/>
      <c r="AX180" s="144"/>
      <c r="AY180" s="144"/>
      <c r="AZ180" s="144"/>
      <c r="BA180" s="144"/>
      <c r="BB180" s="144"/>
      <c r="BC180" s="144"/>
      <c r="BD180" s="144"/>
      <c r="BE180" s="144"/>
      <c r="BF180" s="144"/>
      <c r="BG180" s="50"/>
    </row>
    <row r="181" ht="11.25" customHeight="1">
      <c r="A181" s="125" t="s">
        <v>988</v>
      </c>
      <c r="B181" s="125"/>
      <c r="C181" s="125"/>
      <c r="D181" s="53"/>
      <c r="E181" s="91"/>
      <c r="F181" s="944"/>
      <c r="G181" s="952"/>
      <c r="H181" s="922" t="s">
        <v>105</v>
      </c>
      <c r="I181" s="945"/>
      <c r="J181" s="946"/>
      <c r="K181" s="449"/>
      <c r="L181" s="225"/>
      <c r="M181" s="219"/>
      <c r="N181" s="953"/>
      <c r="O181" s="954"/>
      <c r="P181" s="960"/>
      <c r="Q181" s="459"/>
      <c r="R181" s="459"/>
      <c r="S181" s="961"/>
      <c r="T181" s="459"/>
      <c r="U181" s="459"/>
      <c r="V181" s="459"/>
      <c r="W181" s="459"/>
      <c r="X181" s="459"/>
      <c r="Y181" s="459"/>
      <c r="Z181" s="962"/>
      <c r="AA181" s="963">
        <v>1</v>
      </c>
      <c r="AB181" s="964" t="s">
        <v>1024</v>
      </c>
      <c r="AC181" s="857">
        <f>0.20701*144.62</f>
        <v>29.937786200000001</v>
      </c>
      <c r="AD181" s="964" t="str">
        <f t="shared" si="51"/>
        <v xml:space="preserve">     Амортизационные отчисления в результате переоценки основных средств и нематериальных активов</v>
      </c>
      <c r="AE181" s="857"/>
      <c r="AF181" s="950"/>
      <c r="AG181" s="951"/>
      <c r="AH181" s="951"/>
      <c r="AI181" s="950"/>
      <c r="AJ181" s="951"/>
      <c r="AK181" s="951"/>
      <c r="AL181" s="920"/>
      <c r="AM181" s="144"/>
      <c r="AN181" s="144"/>
      <c r="AO181" s="144"/>
      <c r="AP181" s="144"/>
      <c r="AQ181" s="144"/>
      <c r="AR181" s="144"/>
      <c r="AS181" s="144"/>
      <c r="AT181" s="144"/>
      <c r="AU181" s="144"/>
      <c r="AV181" s="144"/>
      <c r="AW181" s="144"/>
      <c r="AX181" s="144"/>
      <c r="AY181" s="144"/>
      <c r="AZ181" s="144"/>
      <c r="BA181" s="144"/>
      <c r="BB181" s="144"/>
      <c r="BC181" s="144"/>
      <c r="BD181" s="144"/>
      <c r="BE181" s="144"/>
      <c r="BF181" s="144"/>
      <c r="BG181" s="50"/>
    </row>
    <row r="182" ht="11.25" customHeight="1">
      <c r="A182" s="125" t="s">
        <v>988</v>
      </c>
      <c r="B182" s="125"/>
      <c r="C182" s="125"/>
      <c r="D182" s="53"/>
      <c r="E182" s="91"/>
      <c r="F182" s="944"/>
      <c r="G182" s="952"/>
      <c r="H182" s="922" t="s">
        <v>105</v>
      </c>
      <c r="I182" s="945"/>
      <c r="J182" s="946"/>
      <c r="K182" s="449"/>
      <c r="L182" s="225"/>
      <c r="M182" s="219"/>
      <c r="N182" s="953"/>
      <c r="O182" s="954"/>
      <c r="P182" s="965"/>
      <c r="Q182" s="459"/>
      <c r="R182" s="459"/>
      <c r="S182" s="961"/>
      <c r="T182" s="459"/>
      <c r="U182" s="459"/>
      <c r="V182" s="459"/>
      <c r="W182" s="459"/>
      <c r="X182" s="459"/>
      <c r="Y182" s="459"/>
      <c r="Z182" s="956"/>
      <c r="AA182" s="957"/>
      <c r="AB182" s="173" t="s">
        <v>1025</v>
      </c>
      <c r="AC182" s="958"/>
      <c r="AD182" s="958"/>
      <c r="AE182" s="966"/>
      <c r="AF182" s="950"/>
      <c r="AG182" s="951"/>
      <c r="AH182" s="951"/>
      <c r="AI182" s="950"/>
      <c r="AJ182" s="951"/>
      <c r="AK182" s="951"/>
      <c r="AL182" s="920"/>
      <c r="AM182" s="144"/>
      <c r="AN182" s="144"/>
      <c r="AO182" s="144"/>
      <c r="AP182" s="144"/>
      <c r="AQ182" s="144"/>
      <c r="AR182" s="144"/>
      <c r="AS182" s="144"/>
      <c r="AT182" s="144"/>
      <c r="AU182" s="144"/>
      <c r="AV182" s="144"/>
      <c r="AW182" s="144"/>
      <c r="AX182" s="144"/>
      <c r="AY182" s="144"/>
      <c r="AZ182" s="144"/>
      <c r="BA182" s="144"/>
      <c r="BB182" s="144"/>
      <c r="BC182" s="144"/>
      <c r="BD182" s="144"/>
      <c r="BE182" s="144"/>
      <c r="BF182" s="144"/>
      <c r="BG182" s="50"/>
    </row>
    <row r="183" ht="11.25" customHeight="1">
      <c r="A183" s="125" t="s">
        <v>988</v>
      </c>
      <c r="B183" s="125"/>
      <c r="C183" s="125"/>
      <c r="D183" s="53"/>
      <c r="E183" s="91"/>
      <c r="F183" s="944"/>
      <c r="G183" s="952"/>
      <c r="H183" s="922" t="s">
        <v>105</v>
      </c>
      <c r="I183" s="945"/>
      <c r="J183" s="946"/>
      <c r="K183" s="449"/>
      <c r="L183" s="225"/>
      <c r="M183" s="219"/>
      <c r="N183" s="956"/>
      <c r="O183" s="957"/>
      <c r="P183" s="173" t="s">
        <v>1026</v>
      </c>
      <c r="Q183" s="957"/>
      <c r="R183" s="957"/>
      <c r="S183" s="957"/>
      <c r="T183" s="957"/>
      <c r="U183" s="957"/>
      <c r="V183" s="957"/>
      <c r="W183" s="957"/>
      <c r="X183" s="957"/>
      <c r="Y183" s="957"/>
      <c r="Z183" s="957"/>
      <c r="AA183" s="957"/>
      <c r="AB183" s="957"/>
      <c r="AC183" s="957"/>
      <c r="AD183" s="957"/>
      <c r="AE183" s="967"/>
      <c r="AF183" s="950"/>
      <c r="AG183" s="951"/>
      <c r="AH183" s="951"/>
      <c r="AI183" s="950"/>
      <c r="AJ183" s="951"/>
      <c r="AK183" s="951"/>
      <c r="AL183" s="920"/>
      <c r="AM183" s="144"/>
      <c r="AN183" s="144"/>
      <c r="AO183" s="144"/>
      <c r="AP183" s="144"/>
      <c r="AQ183" s="144"/>
      <c r="AR183" s="144"/>
      <c r="AS183" s="144"/>
      <c r="AT183" s="144"/>
      <c r="AU183" s="144"/>
      <c r="AV183" s="144"/>
      <c r="AW183" s="144"/>
      <c r="AX183" s="144"/>
      <c r="AY183" s="144"/>
      <c r="AZ183" s="144"/>
      <c r="BA183" s="144"/>
      <c r="BB183" s="144"/>
      <c r="BC183" s="144"/>
      <c r="BD183" s="144"/>
      <c r="BE183" s="144"/>
      <c r="BF183" s="144"/>
      <c r="BG183" s="50"/>
    </row>
    <row r="184" ht="11.25" customHeight="1">
      <c r="A184" s="125" t="s">
        <v>988</v>
      </c>
      <c r="B184" s="125" t="s">
        <v>22</v>
      </c>
      <c r="C184" s="125"/>
      <c r="D184" s="53"/>
      <c r="E184" s="91"/>
      <c r="F184" s="944"/>
      <c r="G184" s="150" t="s">
        <v>683</v>
      </c>
      <c r="H184" s="922" t="s">
        <v>89</v>
      </c>
      <c r="I184" s="945" t="s">
        <v>1020</v>
      </c>
      <c r="J184" s="946" t="s">
        <v>22</v>
      </c>
      <c r="K184" s="449" t="s">
        <v>1032</v>
      </c>
      <c r="L184" s="225" t="s">
        <v>19</v>
      </c>
      <c r="M184" s="219"/>
      <c r="N184" s="947"/>
      <c r="O184" s="948" t="s">
        <v>370</v>
      </c>
      <c r="P184" s="949"/>
      <c r="Q184" s="949"/>
      <c r="R184" s="949"/>
      <c r="S184" s="949"/>
      <c r="T184" s="949"/>
      <c r="U184" s="949"/>
      <c r="V184" s="949"/>
      <c r="W184" s="949"/>
      <c r="X184" s="949"/>
      <c r="Y184" s="949"/>
      <c r="Z184" s="949"/>
      <c r="AA184" s="949"/>
      <c r="AB184" s="949"/>
      <c r="AC184" s="949"/>
      <c r="AD184" s="949"/>
      <c r="AE184" s="949"/>
      <c r="AF184" s="950">
        <v>5</v>
      </c>
      <c r="AG184" s="951" t="s">
        <v>1022</v>
      </c>
      <c r="AH184" s="951" t="s">
        <v>1023</v>
      </c>
      <c r="AI184" s="950"/>
      <c r="AJ184" s="951"/>
      <c r="AK184" s="951"/>
      <c r="AL184" s="920"/>
      <c r="AM184" s="144"/>
      <c r="AN184" s="144"/>
      <c r="AO184" s="144"/>
      <c r="AP184" s="144"/>
      <c r="AQ184" s="144"/>
      <c r="AR184" s="144"/>
      <c r="AS184" s="144"/>
      <c r="AT184" s="144"/>
      <c r="AU184" s="144"/>
      <c r="AV184" s="144"/>
      <c r="AW184" s="144"/>
      <c r="AX184" s="144"/>
      <c r="AY184" s="144"/>
      <c r="AZ184" s="144"/>
      <c r="BA184" s="144"/>
      <c r="BB184" s="144"/>
      <c r="BC184" s="144"/>
      <c r="BD184" s="144"/>
      <c r="BE184" s="144"/>
      <c r="BF184" s="144"/>
      <c r="BG184" s="50"/>
    </row>
    <row r="185" ht="11.25" customHeight="1">
      <c r="A185" s="125" t="s">
        <v>988</v>
      </c>
      <c r="B185" s="125"/>
      <c r="C185" s="125"/>
      <c r="D185" s="53"/>
      <c r="E185" s="91"/>
      <c r="F185" s="944"/>
      <c r="G185" s="952"/>
      <c r="H185" s="922" t="s">
        <v>106</v>
      </c>
      <c r="I185" s="945"/>
      <c r="J185" s="946"/>
      <c r="K185" s="449"/>
      <c r="L185" s="225"/>
      <c r="M185" s="219"/>
      <c r="N185" s="953"/>
      <c r="O185" s="954">
        <v>1</v>
      </c>
      <c r="P185" s="955" t="s">
        <v>19</v>
      </c>
      <c r="Q185" s="459" t="s">
        <v>22</v>
      </c>
      <c r="R185" s="459" t="s">
        <v>22</v>
      </c>
      <c r="S185" s="459" t="s">
        <v>22</v>
      </c>
      <c r="T185" s="459" t="s">
        <v>22</v>
      </c>
      <c r="U185" s="459" t="s">
        <v>22</v>
      </c>
      <c r="V185" s="459" t="s">
        <v>22</v>
      </c>
      <c r="W185" s="459" t="s">
        <v>22</v>
      </c>
      <c r="X185" s="459" t="s">
        <v>22</v>
      </c>
      <c r="Y185" s="459"/>
      <c r="Z185" s="956"/>
      <c r="AA185" s="957"/>
      <c r="AB185" s="957"/>
      <c r="AC185" s="958"/>
      <c r="AD185" s="958"/>
      <c r="AE185" s="959"/>
      <c r="AF185" s="950"/>
      <c r="AG185" s="951"/>
      <c r="AH185" s="951"/>
      <c r="AI185" s="950"/>
      <c r="AJ185" s="951"/>
      <c r="AK185" s="951"/>
      <c r="AL185" s="920"/>
      <c r="AM185" s="144"/>
      <c r="AN185" s="144"/>
      <c r="AO185" s="144"/>
      <c r="AP185" s="144"/>
      <c r="AQ185" s="144"/>
      <c r="AR185" s="144"/>
      <c r="AS185" s="144"/>
      <c r="AT185" s="144"/>
      <c r="AU185" s="144"/>
      <c r="AV185" s="144"/>
      <c r="AW185" s="144"/>
      <c r="AX185" s="144"/>
      <c r="AY185" s="144"/>
      <c r="AZ185" s="144"/>
      <c r="BA185" s="144"/>
      <c r="BB185" s="144"/>
      <c r="BC185" s="144"/>
      <c r="BD185" s="144"/>
      <c r="BE185" s="144"/>
      <c r="BF185" s="144"/>
      <c r="BG185" s="50"/>
    </row>
    <row r="186" ht="11.25" customHeight="1">
      <c r="A186" s="125" t="s">
        <v>988</v>
      </c>
      <c r="B186" s="125"/>
      <c r="C186" s="125"/>
      <c r="D186" s="53"/>
      <c r="E186" s="91"/>
      <c r="F186" s="944"/>
      <c r="G186" s="952"/>
      <c r="H186" s="922" t="s">
        <v>106</v>
      </c>
      <c r="I186" s="945"/>
      <c r="J186" s="946"/>
      <c r="K186" s="449"/>
      <c r="L186" s="225"/>
      <c r="M186" s="219"/>
      <c r="N186" s="953"/>
      <c r="O186" s="954"/>
      <c r="P186" s="960"/>
      <c r="Q186" s="459"/>
      <c r="R186" s="459"/>
      <c r="S186" s="961"/>
      <c r="T186" s="459"/>
      <c r="U186" s="459"/>
      <c r="V186" s="459"/>
      <c r="W186" s="459"/>
      <c r="X186" s="459"/>
      <c r="Y186" s="459"/>
      <c r="Z186" s="962"/>
      <c r="AA186" s="963">
        <v>1</v>
      </c>
      <c r="AB186" s="964" t="s">
        <v>1024</v>
      </c>
      <c r="AC186" s="857">
        <f>0.20701*32333.03</f>
        <v>6693.2605402999998</v>
      </c>
      <c r="AD186" s="964" t="str">
        <f t="shared" si="51"/>
        <v xml:space="preserve">     Амортизационные отчисления в результате переоценки основных средств и нематериальных активов</v>
      </c>
      <c r="AE186" s="857"/>
      <c r="AF186" s="950"/>
      <c r="AG186" s="951"/>
      <c r="AH186" s="951"/>
      <c r="AI186" s="950"/>
      <c r="AJ186" s="951"/>
      <c r="AK186" s="951"/>
      <c r="AL186" s="920"/>
      <c r="AM186" s="144"/>
      <c r="AN186" s="144"/>
      <c r="AO186" s="144"/>
      <c r="AP186" s="144"/>
      <c r="AQ186" s="144"/>
      <c r="AR186" s="144"/>
      <c r="AS186" s="144"/>
      <c r="AT186" s="144"/>
      <c r="AU186" s="144"/>
      <c r="AV186" s="144"/>
      <c r="AW186" s="144"/>
      <c r="AX186" s="144"/>
      <c r="AY186" s="144"/>
      <c r="AZ186" s="144"/>
      <c r="BA186" s="144"/>
      <c r="BB186" s="144"/>
      <c r="BC186" s="144"/>
      <c r="BD186" s="144"/>
      <c r="BE186" s="144"/>
      <c r="BF186" s="144"/>
      <c r="BG186" s="50"/>
    </row>
    <row r="187" ht="11.25" customHeight="1">
      <c r="A187" s="125" t="s">
        <v>988</v>
      </c>
      <c r="B187" s="125"/>
      <c r="C187" s="125"/>
      <c r="D187" s="53"/>
      <c r="E187" s="91"/>
      <c r="F187" s="944"/>
      <c r="G187" s="952"/>
      <c r="H187" s="922" t="s">
        <v>106</v>
      </c>
      <c r="I187" s="945"/>
      <c r="J187" s="946"/>
      <c r="K187" s="449"/>
      <c r="L187" s="225"/>
      <c r="M187" s="219"/>
      <c r="N187" s="953"/>
      <c r="O187" s="954"/>
      <c r="P187" s="965"/>
      <c r="Q187" s="459"/>
      <c r="R187" s="459"/>
      <c r="S187" s="961"/>
      <c r="T187" s="459"/>
      <c r="U187" s="459"/>
      <c r="V187" s="459"/>
      <c r="W187" s="459"/>
      <c r="X187" s="459"/>
      <c r="Y187" s="459"/>
      <c r="Z187" s="956"/>
      <c r="AA187" s="957"/>
      <c r="AB187" s="173" t="s">
        <v>1025</v>
      </c>
      <c r="AC187" s="958"/>
      <c r="AD187" s="958"/>
      <c r="AE187" s="966"/>
      <c r="AF187" s="950"/>
      <c r="AG187" s="951"/>
      <c r="AH187" s="951"/>
      <c r="AI187" s="950"/>
      <c r="AJ187" s="951"/>
      <c r="AK187" s="951"/>
      <c r="AL187" s="920"/>
      <c r="AM187" s="144"/>
      <c r="AN187" s="144"/>
      <c r="AO187" s="144"/>
      <c r="AP187" s="144"/>
      <c r="AQ187" s="144"/>
      <c r="AR187" s="144"/>
      <c r="AS187" s="144"/>
      <c r="AT187" s="144"/>
      <c r="AU187" s="144"/>
      <c r="AV187" s="144"/>
      <c r="AW187" s="144"/>
      <c r="AX187" s="144"/>
      <c r="AY187" s="144"/>
      <c r="AZ187" s="144"/>
      <c r="BA187" s="144"/>
      <c r="BB187" s="144"/>
      <c r="BC187" s="144"/>
      <c r="BD187" s="144"/>
      <c r="BE187" s="144"/>
      <c r="BF187" s="144"/>
      <c r="BG187" s="50"/>
    </row>
    <row r="188" ht="11.25" customHeight="1">
      <c r="A188" s="125" t="s">
        <v>988</v>
      </c>
      <c r="B188" s="125"/>
      <c r="C188" s="125"/>
      <c r="D188" s="53"/>
      <c r="E188" s="91"/>
      <c r="F188" s="944"/>
      <c r="G188" s="952"/>
      <c r="H188" s="922" t="s">
        <v>106</v>
      </c>
      <c r="I188" s="945"/>
      <c r="J188" s="946"/>
      <c r="K188" s="449"/>
      <c r="L188" s="225"/>
      <c r="M188" s="219"/>
      <c r="N188" s="956"/>
      <c r="O188" s="957"/>
      <c r="P188" s="173" t="s">
        <v>1026</v>
      </c>
      <c r="Q188" s="957"/>
      <c r="R188" s="957"/>
      <c r="S188" s="957"/>
      <c r="T188" s="957"/>
      <c r="U188" s="957"/>
      <c r="V188" s="957"/>
      <c r="W188" s="957"/>
      <c r="X188" s="957"/>
      <c r="Y188" s="957"/>
      <c r="Z188" s="957"/>
      <c r="AA188" s="957"/>
      <c r="AB188" s="957"/>
      <c r="AC188" s="957"/>
      <c r="AD188" s="957"/>
      <c r="AE188" s="967"/>
      <c r="AF188" s="950"/>
      <c r="AG188" s="951"/>
      <c r="AH188" s="951"/>
      <c r="AI188" s="950"/>
      <c r="AJ188" s="951"/>
      <c r="AK188" s="951"/>
      <c r="AL188" s="920"/>
      <c r="AM188" s="144"/>
      <c r="AN188" s="144"/>
      <c r="AO188" s="144"/>
      <c r="AP188" s="144"/>
      <c r="AQ188" s="144"/>
      <c r="AR188" s="144"/>
      <c r="AS188" s="144"/>
      <c r="AT188" s="144"/>
      <c r="AU188" s="144"/>
      <c r="AV188" s="144"/>
      <c r="AW188" s="144"/>
      <c r="AX188" s="144"/>
      <c r="AY188" s="144"/>
      <c r="AZ188" s="144"/>
      <c r="BA188" s="144"/>
      <c r="BB188" s="144"/>
      <c r="BC188" s="144"/>
      <c r="BD188" s="144"/>
      <c r="BE188" s="144"/>
      <c r="BF188" s="144"/>
      <c r="BG188" s="50"/>
    </row>
    <row r="189" ht="11.25" customHeight="1">
      <c r="A189" s="125" t="s">
        <v>988</v>
      </c>
      <c r="B189" s="125" t="s">
        <v>22</v>
      </c>
      <c r="C189" s="125"/>
      <c r="D189" s="53"/>
      <c r="E189" s="91"/>
      <c r="F189" s="944"/>
      <c r="G189" s="150" t="s">
        <v>683</v>
      </c>
      <c r="H189" s="922" t="s">
        <v>90</v>
      </c>
      <c r="I189" s="945" t="s">
        <v>1020</v>
      </c>
      <c r="J189" s="946" t="s">
        <v>22</v>
      </c>
      <c r="K189" s="449" t="s">
        <v>1036</v>
      </c>
      <c r="L189" s="225" t="s">
        <v>19</v>
      </c>
      <c r="M189" s="219"/>
      <c r="N189" s="947"/>
      <c r="O189" s="948" t="s">
        <v>370</v>
      </c>
      <c r="P189" s="949"/>
      <c r="Q189" s="949"/>
      <c r="R189" s="949"/>
      <c r="S189" s="949"/>
      <c r="T189" s="949"/>
      <c r="U189" s="949"/>
      <c r="V189" s="949"/>
      <c r="W189" s="949"/>
      <c r="X189" s="949"/>
      <c r="Y189" s="949"/>
      <c r="Z189" s="949"/>
      <c r="AA189" s="949"/>
      <c r="AB189" s="949"/>
      <c r="AC189" s="949"/>
      <c r="AD189" s="949"/>
      <c r="AE189" s="949"/>
      <c r="AF189" s="950">
        <v>5</v>
      </c>
      <c r="AG189" s="951" t="s">
        <v>1022</v>
      </c>
      <c r="AH189" s="951" t="s">
        <v>1023</v>
      </c>
      <c r="AI189" s="950"/>
      <c r="AJ189" s="951"/>
      <c r="AK189" s="951"/>
      <c r="AL189" s="920"/>
      <c r="AM189" s="144"/>
      <c r="AN189" s="144"/>
      <c r="AO189" s="144"/>
      <c r="AP189" s="144"/>
      <c r="AQ189" s="144"/>
      <c r="AR189" s="144"/>
      <c r="AS189" s="144"/>
      <c r="AT189" s="144"/>
      <c r="AU189" s="144"/>
      <c r="AV189" s="144"/>
      <c r="AW189" s="144"/>
      <c r="AX189" s="144"/>
      <c r="AY189" s="144"/>
      <c r="AZ189" s="144"/>
      <c r="BA189" s="144"/>
      <c r="BB189" s="144"/>
      <c r="BC189" s="144"/>
      <c r="BD189" s="144"/>
      <c r="BE189" s="144"/>
      <c r="BF189" s="144"/>
      <c r="BG189" s="50"/>
    </row>
    <row r="190" ht="11.25" customHeight="1">
      <c r="A190" s="125" t="s">
        <v>988</v>
      </c>
      <c r="B190" s="125"/>
      <c r="C190" s="125"/>
      <c r="D190" s="53"/>
      <c r="E190" s="91"/>
      <c r="F190" s="944"/>
      <c r="G190" s="952"/>
      <c r="H190" s="922" t="s">
        <v>89</v>
      </c>
      <c r="I190" s="945"/>
      <c r="J190" s="946"/>
      <c r="K190" s="449"/>
      <c r="L190" s="225"/>
      <c r="M190" s="219"/>
      <c r="N190" s="953"/>
      <c r="O190" s="954">
        <v>1</v>
      </c>
      <c r="P190" s="955" t="s">
        <v>19</v>
      </c>
      <c r="Q190" s="459" t="s">
        <v>22</v>
      </c>
      <c r="R190" s="459" t="s">
        <v>22</v>
      </c>
      <c r="S190" s="459" t="s">
        <v>22</v>
      </c>
      <c r="T190" s="459" t="s">
        <v>22</v>
      </c>
      <c r="U190" s="459" t="s">
        <v>22</v>
      </c>
      <c r="V190" s="459" t="s">
        <v>22</v>
      </c>
      <c r="W190" s="459" t="s">
        <v>22</v>
      </c>
      <c r="X190" s="459" t="s">
        <v>22</v>
      </c>
      <c r="Y190" s="459"/>
      <c r="Z190" s="956"/>
      <c r="AA190" s="957"/>
      <c r="AB190" s="957"/>
      <c r="AC190" s="958"/>
      <c r="AD190" s="958"/>
      <c r="AE190" s="959"/>
      <c r="AF190" s="950"/>
      <c r="AG190" s="951"/>
      <c r="AH190" s="951"/>
      <c r="AI190" s="950"/>
      <c r="AJ190" s="951"/>
      <c r="AK190" s="951"/>
      <c r="AL190" s="920"/>
      <c r="AM190" s="144"/>
      <c r="AN190" s="144"/>
      <c r="AO190" s="144"/>
      <c r="AP190" s="144"/>
      <c r="AQ190" s="144"/>
      <c r="AR190" s="144"/>
      <c r="AS190" s="144"/>
      <c r="AT190" s="144"/>
      <c r="AU190" s="144"/>
      <c r="AV190" s="144"/>
      <c r="AW190" s="144"/>
      <c r="AX190" s="144"/>
      <c r="AY190" s="144"/>
      <c r="AZ190" s="144"/>
      <c r="BA190" s="144"/>
      <c r="BB190" s="144"/>
      <c r="BC190" s="144"/>
      <c r="BD190" s="144"/>
      <c r="BE190" s="144"/>
      <c r="BF190" s="144"/>
      <c r="BG190" s="50"/>
    </row>
    <row r="191" ht="11.25" customHeight="1">
      <c r="A191" s="125" t="s">
        <v>988</v>
      </c>
      <c r="B191" s="125"/>
      <c r="C191" s="125"/>
      <c r="D191" s="53"/>
      <c r="E191" s="91"/>
      <c r="F191" s="944"/>
      <c r="G191" s="952"/>
      <c r="H191" s="922" t="s">
        <v>89</v>
      </c>
      <c r="I191" s="945"/>
      <c r="J191" s="946"/>
      <c r="K191" s="449"/>
      <c r="L191" s="225"/>
      <c r="M191" s="219"/>
      <c r="N191" s="953"/>
      <c r="O191" s="954"/>
      <c r="P191" s="960"/>
      <c r="Q191" s="459"/>
      <c r="R191" s="459"/>
      <c r="S191" s="961"/>
      <c r="T191" s="459"/>
      <c r="U191" s="459"/>
      <c r="V191" s="459"/>
      <c r="W191" s="459"/>
      <c r="X191" s="459"/>
      <c r="Y191" s="459"/>
      <c r="Z191" s="962"/>
      <c r="AA191" s="963">
        <v>1</v>
      </c>
      <c r="AB191" s="964" t="s">
        <v>1024</v>
      </c>
      <c r="AC191" s="857">
        <f>0.20701*4802.54</f>
        <v>994.17380539999999</v>
      </c>
      <c r="AD191" s="964" t="str">
        <f t="shared" si="51"/>
        <v xml:space="preserve">     Амортизационные отчисления в результате переоценки основных средств и нематериальных активов</v>
      </c>
      <c r="AE191" s="857"/>
      <c r="AF191" s="950"/>
      <c r="AG191" s="951"/>
      <c r="AH191" s="951"/>
      <c r="AI191" s="950"/>
      <c r="AJ191" s="951"/>
      <c r="AK191" s="951"/>
      <c r="AL191" s="920"/>
      <c r="AM191" s="144"/>
      <c r="AN191" s="144"/>
      <c r="AO191" s="144"/>
      <c r="AP191" s="144"/>
      <c r="AQ191" s="144"/>
      <c r="AR191" s="144"/>
      <c r="AS191" s="144"/>
      <c r="AT191" s="144"/>
      <c r="AU191" s="144"/>
      <c r="AV191" s="144"/>
      <c r="AW191" s="144"/>
      <c r="AX191" s="144"/>
      <c r="AY191" s="144"/>
      <c r="AZ191" s="144"/>
      <c r="BA191" s="144"/>
      <c r="BB191" s="144"/>
      <c r="BC191" s="144"/>
      <c r="BD191" s="144"/>
      <c r="BE191" s="144"/>
      <c r="BF191" s="144"/>
      <c r="BG191" s="50"/>
    </row>
    <row r="192" ht="11.25" customHeight="1">
      <c r="A192" s="125" t="s">
        <v>988</v>
      </c>
      <c r="B192" s="125"/>
      <c r="C192" s="125"/>
      <c r="D192" s="53"/>
      <c r="E192" s="91"/>
      <c r="F192" s="944"/>
      <c r="G192" s="952"/>
      <c r="H192" s="922" t="s">
        <v>89</v>
      </c>
      <c r="I192" s="945"/>
      <c r="J192" s="946"/>
      <c r="K192" s="449"/>
      <c r="L192" s="225"/>
      <c r="M192" s="219"/>
      <c r="N192" s="953"/>
      <c r="O192" s="954"/>
      <c r="P192" s="965"/>
      <c r="Q192" s="459"/>
      <c r="R192" s="459"/>
      <c r="S192" s="961"/>
      <c r="T192" s="459"/>
      <c r="U192" s="459"/>
      <c r="V192" s="459"/>
      <c r="W192" s="459"/>
      <c r="X192" s="459"/>
      <c r="Y192" s="459"/>
      <c r="Z192" s="956"/>
      <c r="AA192" s="957"/>
      <c r="AB192" s="173" t="s">
        <v>1025</v>
      </c>
      <c r="AC192" s="958"/>
      <c r="AD192" s="958"/>
      <c r="AE192" s="966"/>
      <c r="AF192" s="950"/>
      <c r="AG192" s="951"/>
      <c r="AH192" s="951"/>
      <c r="AI192" s="950"/>
      <c r="AJ192" s="951"/>
      <c r="AK192" s="951"/>
      <c r="AL192" s="920"/>
      <c r="AM192" s="144"/>
      <c r="AN192" s="144"/>
      <c r="AO192" s="144"/>
      <c r="AP192" s="144"/>
      <c r="AQ192" s="144"/>
      <c r="AR192" s="144"/>
      <c r="AS192" s="144"/>
      <c r="AT192" s="144"/>
      <c r="AU192" s="144"/>
      <c r="AV192" s="144"/>
      <c r="AW192" s="144"/>
      <c r="AX192" s="144"/>
      <c r="AY192" s="144"/>
      <c r="AZ192" s="144"/>
      <c r="BA192" s="144"/>
      <c r="BB192" s="144"/>
      <c r="BC192" s="144"/>
      <c r="BD192" s="144"/>
      <c r="BE192" s="144"/>
      <c r="BF192" s="144"/>
      <c r="BG192" s="50"/>
    </row>
    <row r="193" ht="11.25" customHeight="1">
      <c r="A193" s="125" t="s">
        <v>988</v>
      </c>
      <c r="B193" s="125"/>
      <c r="C193" s="125"/>
      <c r="D193" s="53"/>
      <c r="E193" s="91"/>
      <c r="F193" s="944"/>
      <c r="G193" s="952"/>
      <c r="H193" s="922" t="s">
        <v>89</v>
      </c>
      <c r="I193" s="945"/>
      <c r="J193" s="946"/>
      <c r="K193" s="449"/>
      <c r="L193" s="225"/>
      <c r="M193" s="219"/>
      <c r="N193" s="956"/>
      <c r="O193" s="957"/>
      <c r="P193" s="173" t="s">
        <v>1026</v>
      </c>
      <c r="Q193" s="957"/>
      <c r="R193" s="957"/>
      <c r="S193" s="957"/>
      <c r="T193" s="957"/>
      <c r="U193" s="957"/>
      <c r="V193" s="957"/>
      <c r="W193" s="957"/>
      <c r="X193" s="957"/>
      <c r="Y193" s="957"/>
      <c r="Z193" s="957"/>
      <c r="AA193" s="957"/>
      <c r="AB193" s="957"/>
      <c r="AC193" s="957"/>
      <c r="AD193" s="957"/>
      <c r="AE193" s="967"/>
      <c r="AF193" s="950"/>
      <c r="AG193" s="951"/>
      <c r="AH193" s="951"/>
      <c r="AI193" s="950"/>
      <c r="AJ193" s="951"/>
      <c r="AK193" s="951"/>
      <c r="AL193" s="920"/>
      <c r="AM193" s="144"/>
      <c r="AN193" s="144"/>
      <c r="AO193" s="144"/>
      <c r="AP193" s="144"/>
      <c r="AQ193" s="144"/>
      <c r="AR193" s="144"/>
      <c r="AS193" s="144"/>
      <c r="AT193" s="144"/>
      <c r="AU193" s="144"/>
      <c r="AV193" s="144"/>
      <c r="AW193" s="144"/>
      <c r="AX193" s="144"/>
      <c r="AY193" s="144"/>
      <c r="AZ193" s="144"/>
      <c r="BA193" s="144"/>
      <c r="BB193" s="144"/>
      <c r="BC193" s="144"/>
      <c r="BD193" s="144"/>
      <c r="BE193" s="144"/>
      <c r="BF193" s="144"/>
      <c r="BG193" s="50"/>
    </row>
    <row r="194" ht="12" customHeight="1">
      <c r="A194" s="125" t="s">
        <v>988</v>
      </c>
      <c r="B194" s="125"/>
      <c r="C194" s="125"/>
      <c r="D194" s="53"/>
      <c r="E194" s="91"/>
      <c r="F194" s="971"/>
      <c r="G194" s="972"/>
      <c r="H194" s="972"/>
      <c r="I194" s="973" t="s">
        <v>1038</v>
      </c>
      <c r="J194" s="973"/>
      <c r="K194" s="973"/>
      <c r="L194" s="974"/>
      <c r="M194" s="974"/>
      <c r="N194" s="975"/>
      <c r="O194" s="975"/>
      <c r="P194" s="975"/>
      <c r="Q194" s="975"/>
      <c r="R194" s="975"/>
      <c r="S194" s="975"/>
      <c r="T194" s="975"/>
      <c r="U194" s="975"/>
      <c r="V194" s="975"/>
      <c r="W194" s="975"/>
      <c r="X194" s="975"/>
      <c r="Y194" s="975"/>
      <c r="Z194" s="975"/>
      <c r="AA194" s="975"/>
      <c r="AB194" s="975"/>
      <c r="AC194" s="975"/>
      <c r="AD194" s="975"/>
      <c r="AE194" s="975"/>
      <c r="AF194" s="975"/>
      <c r="AG194" s="974"/>
      <c r="AH194" s="974"/>
      <c r="AI194" s="975"/>
      <c r="AJ194" s="974"/>
      <c r="AK194" s="975"/>
      <c r="AL194" s="920"/>
      <c r="AM194" s="144"/>
      <c r="AN194" s="144"/>
      <c r="AO194" s="144"/>
      <c r="AP194" s="144"/>
      <c r="AQ194" s="144"/>
      <c r="AR194" s="144"/>
      <c r="AS194" s="144"/>
      <c r="AT194" s="144"/>
      <c r="AU194" s="144"/>
      <c r="AV194" s="144"/>
      <c r="AW194" s="144"/>
      <c r="AX194" s="144"/>
      <c r="AY194" s="144"/>
      <c r="AZ194" s="144"/>
      <c r="BA194" s="144"/>
      <c r="BB194" s="144"/>
      <c r="BC194" s="144"/>
      <c r="BD194" s="144"/>
      <c r="BE194" s="144"/>
      <c r="BF194" s="144"/>
      <c r="BG194" s="50"/>
    </row>
    <row r="195" ht="0.75" customHeight="1">
      <c r="A195" s="125" t="s">
        <v>988</v>
      </c>
      <c r="B195" s="125"/>
      <c r="C195" s="125"/>
      <c r="D195" s="53"/>
      <c r="E195" s="91"/>
      <c r="F195" s="921">
        <v>2030</v>
      </c>
      <c r="G195" s="922"/>
      <c r="H195" s="923" t="s">
        <v>370</v>
      </c>
      <c r="I195" s="924"/>
      <c r="J195" s="161"/>
      <c r="K195" s="161"/>
      <c r="L195" s="925"/>
      <c r="M195" s="537"/>
      <c r="N195" s="926"/>
      <c r="O195" s="927"/>
      <c r="P195" s="926"/>
      <c r="Q195" s="926"/>
      <c r="R195" s="926"/>
      <c r="S195" s="926"/>
      <c r="T195" s="926"/>
      <c r="U195" s="926"/>
      <c r="V195" s="926"/>
      <c r="W195" s="926"/>
      <c r="X195" s="926"/>
      <c r="Y195" s="926"/>
      <c r="Z195" s="926"/>
      <c r="AA195" s="926"/>
      <c r="AB195" s="926"/>
      <c r="AC195" s="926"/>
      <c r="AD195" s="926"/>
      <c r="AE195" s="926"/>
      <c r="AF195" s="928"/>
      <c r="AG195" s="925"/>
      <c r="AH195" s="925"/>
      <c r="AI195" s="928"/>
      <c r="AJ195" s="925"/>
      <c r="AK195" s="925"/>
      <c r="AL195" s="920"/>
      <c r="AM195" s="144"/>
      <c r="AN195" s="144"/>
      <c r="AO195" s="144"/>
      <c r="AP195" s="144"/>
      <c r="AQ195" s="144"/>
      <c r="AR195" s="144"/>
      <c r="AS195" s="144"/>
      <c r="AT195" s="144"/>
      <c r="AU195" s="144"/>
      <c r="AV195" s="144"/>
      <c r="AW195" s="144"/>
      <c r="AX195" s="144"/>
      <c r="AY195" s="144"/>
      <c r="AZ195" s="144"/>
      <c r="BA195" s="144"/>
      <c r="BB195" s="144"/>
      <c r="BC195" s="144"/>
      <c r="BD195" s="144"/>
      <c r="BE195" s="144"/>
      <c r="BF195" s="144"/>
      <c r="BG195" s="50"/>
    </row>
    <row r="196" ht="0.75" customHeight="1">
      <c r="A196" s="125" t="s">
        <v>988</v>
      </c>
      <c r="B196" s="125"/>
      <c r="C196" s="125"/>
      <c r="D196" s="53"/>
      <c r="E196" s="91"/>
      <c r="F196" s="921"/>
      <c r="G196" s="922"/>
      <c r="H196" s="923"/>
      <c r="I196" s="924"/>
      <c r="J196" s="161"/>
      <c r="K196" s="161"/>
      <c r="L196" s="925"/>
      <c r="M196" s="537"/>
      <c r="N196" s="929"/>
      <c r="O196" s="930"/>
      <c r="P196" s="931"/>
      <c r="Q196" s="161"/>
      <c r="R196" s="161"/>
      <c r="S196" s="161"/>
      <c r="T196" s="161"/>
      <c r="U196" s="161"/>
      <c r="V196" s="161"/>
      <c r="W196" s="161"/>
      <c r="X196" s="161"/>
      <c r="Y196" s="161"/>
      <c r="Z196" s="932"/>
      <c r="AA196" s="933"/>
      <c r="AB196" s="933"/>
      <c r="AC196" s="934"/>
      <c r="AD196" s="934"/>
      <c r="AE196" s="935"/>
      <c r="AF196" s="928"/>
      <c r="AG196" s="925"/>
      <c r="AH196" s="925"/>
      <c r="AI196" s="928"/>
      <c r="AJ196" s="925"/>
      <c r="AK196" s="925"/>
      <c r="AL196" s="920"/>
      <c r="AM196" s="144"/>
      <c r="AN196" s="144"/>
      <c r="AO196" s="144"/>
      <c r="AP196" s="144"/>
      <c r="AQ196" s="144"/>
      <c r="AR196" s="144"/>
      <c r="AS196" s="144"/>
      <c r="AT196" s="144"/>
      <c r="AU196" s="144"/>
      <c r="AV196" s="144"/>
      <c r="AW196" s="144"/>
      <c r="AX196" s="144"/>
      <c r="AY196" s="144"/>
      <c r="AZ196" s="144"/>
      <c r="BA196" s="144"/>
      <c r="BB196" s="144"/>
      <c r="BC196" s="144"/>
      <c r="BD196" s="144"/>
      <c r="BE196" s="144"/>
      <c r="BF196" s="144"/>
      <c r="BG196" s="50"/>
    </row>
    <row r="197" ht="0.75" customHeight="1">
      <c r="A197" s="125" t="s">
        <v>988</v>
      </c>
      <c r="B197" s="125"/>
      <c r="C197" s="125"/>
      <c r="D197" s="53"/>
      <c r="E197" s="91"/>
      <c r="F197" s="921"/>
      <c r="G197" s="922"/>
      <c r="H197" s="923"/>
      <c r="I197" s="924"/>
      <c r="J197" s="161"/>
      <c r="K197" s="161"/>
      <c r="L197" s="925"/>
      <c r="M197" s="537"/>
      <c r="N197" s="929"/>
      <c r="O197" s="930"/>
      <c r="P197" s="936"/>
      <c r="Q197" s="161"/>
      <c r="R197" s="161"/>
      <c r="S197" s="161"/>
      <c r="T197" s="161"/>
      <c r="U197" s="161"/>
      <c r="V197" s="161"/>
      <c r="W197" s="161"/>
      <c r="X197" s="161"/>
      <c r="Y197" s="161"/>
      <c r="Z197" s="937"/>
      <c r="AA197" s="930"/>
      <c r="AB197" s="938"/>
      <c r="AC197" s="939"/>
      <c r="AD197" s="938"/>
      <c r="AE197" s="939"/>
      <c r="AF197" s="928"/>
      <c r="AG197" s="925"/>
      <c r="AH197" s="925"/>
      <c r="AI197" s="928"/>
      <c r="AJ197" s="925"/>
      <c r="AK197" s="925"/>
      <c r="AL197" s="920"/>
      <c r="AM197" s="144"/>
      <c r="AN197" s="144"/>
      <c r="AO197" s="144"/>
      <c r="AP197" s="144"/>
      <c r="AQ197" s="144"/>
      <c r="AR197" s="144"/>
      <c r="AS197" s="144"/>
      <c r="AT197" s="144"/>
      <c r="AU197" s="144"/>
      <c r="AV197" s="144"/>
      <c r="AW197" s="144"/>
      <c r="AX197" s="144"/>
      <c r="AY197" s="144"/>
      <c r="AZ197" s="144"/>
      <c r="BA197" s="144"/>
      <c r="BB197" s="144"/>
      <c r="BC197" s="144"/>
      <c r="BD197" s="144"/>
      <c r="BE197" s="144"/>
      <c r="BF197" s="144"/>
      <c r="BG197" s="50"/>
    </row>
    <row r="198" ht="0.75" customHeight="1">
      <c r="A198" s="125" t="s">
        <v>988</v>
      </c>
      <c r="B198" s="125"/>
      <c r="C198" s="125"/>
      <c r="D198" s="53"/>
      <c r="E198" s="91"/>
      <c r="F198" s="921"/>
      <c r="G198" s="922"/>
      <c r="H198" s="923"/>
      <c r="I198" s="924"/>
      <c r="J198" s="161"/>
      <c r="K198" s="161"/>
      <c r="L198" s="925"/>
      <c r="M198" s="537"/>
      <c r="N198" s="929"/>
      <c r="O198" s="930"/>
      <c r="P198" s="940"/>
      <c r="Q198" s="161"/>
      <c r="R198" s="161"/>
      <c r="S198" s="161"/>
      <c r="T198" s="161"/>
      <c r="U198" s="161"/>
      <c r="V198" s="161"/>
      <c r="W198" s="161"/>
      <c r="X198" s="161"/>
      <c r="Y198" s="161"/>
      <c r="Z198" s="932"/>
      <c r="AA198" s="933"/>
      <c r="AB198" s="941"/>
      <c r="AC198" s="934"/>
      <c r="AD198" s="934"/>
      <c r="AE198" s="942"/>
      <c r="AF198" s="928"/>
      <c r="AG198" s="925"/>
      <c r="AH198" s="925"/>
      <c r="AI198" s="928"/>
      <c r="AJ198" s="925"/>
      <c r="AK198" s="925"/>
      <c r="AL198" s="920"/>
      <c r="AM198" s="144"/>
      <c r="AN198" s="144"/>
      <c r="AO198" s="144"/>
      <c r="AP198" s="144"/>
      <c r="AQ198" s="144"/>
      <c r="AR198" s="144"/>
      <c r="AS198" s="144"/>
      <c r="AT198" s="144"/>
      <c r="AU198" s="144"/>
      <c r="AV198" s="144"/>
      <c r="AW198" s="144"/>
      <c r="AX198" s="144"/>
      <c r="AY198" s="144"/>
      <c r="AZ198" s="144"/>
      <c r="BA198" s="144"/>
      <c r="BB198" s="144"/>
      <c r="BC198" s="144"/>
      <c r="BD198" s="144"/>
      <c r="BE198" s="144"/>
      <c r="BF198" s="144"/>
      <c r="BG198" s="50"/>
    </row>
    <row r="199" ht="0.75" customHeight="1">
      <c r="A199" s="125" t="s">
        <v>988</v>
      </c>
      <c r="B199" s="125"/>
      <c r="C199" s="125"/>
      <c r="D199" s="53"/>
      <c r="E199" s="91"/>
      <c r="F199" s="921"/>
      <c r="G199" s="922"/>
      <c r="H199" s="923"/>
      <c r="I199" s="924"/>
      <c r="J199" s="161"/>
      <c r="K199" s="161"/>
      <c r="L199" s="925"/>
      <c r="M199" s="537"/>
      <c r="N199" s="933"/>
      <c r="O199" s="933"/>
      <c r="P199" s="941"/>
      <c r="Q199" s="933"/>
      <c r="R199" s="933"/>
      <c r="S199" s="933"/>
      <c r="T199" s="933"/>
      <c r="U199" s="933"/>
      <c r="V199" s="933"/>
      <c r="W199" s="933"/>
      <c r="X199" s="933"/>
      <c r="Y199" s="933"/>
      <c r="Z199" s="933"/>
      <c r="AA199" s="933"/>
      <c r="AB199" s="933"/>
      <c r="AC199" s="933"/>
      <c r="AD199" s="933"/>
      <c r="AE199" s="943"/>
      <c r="AF199" s="928"/>
      <c r="AG199" s="925"/>
      <c r="AH199" s="925"/>
      <c r="AI199" s="928"/>
      <c r="AJ199" s="925"/>
      <c r="AK199" s="925"/>
      <c r="AL199" s="920"/>
      <c r="AM199" s="144"/>
      <c r="AN199" s="144"/>
      <c r="AO199" s="144"/>
      <c r="AP199" s="144"/>
      <c r="AQ199" s="144"/>
      <c r="AR199" s="144"/>
      <c r="AS199" s="144"/>
      <c r="AT199" s="144"/>
      <c r="AU199" s="144"/>
      <c r="AV199" s="144"/>
      <c r="AW199" s="144"/>
      <c r="AX199" s="144"/>
      <c r="AY199" s="144"/>
      <c r="AZ199" s="144"/>
      <c r="BA199" s="144"/>
      <c r="BB199" s="144"/>
      <c r="BC199" s="144"/>
      <c r="BD199" s="144"/>
      <c r="BE199" s="144"/>
      <c r="BF199" s="144"/>
      <c r="BG199" s="50"/>
    </row>
    <row r="200" ht="11.25" customHeight="1">
      <c r="A200" s="125" t="s">
        <v>988</v>
      </c>
      <c r="B200" s="125" t="s">
        <v>22</v>
      </c>
      <c r="C200" s="125"/>
      <c r="D200" s="53"/>
      <c r="E200" s="91"/>
      <c r="F200" s="944"/>
      <c r="G200" s="150" t="s">
        <v>683</v>
      </c>
      <c r="H200" s="922" t="s">
        <v>105</v>
      </c>
      <c r="I200" s="945" t="s">
        <v>1020</v>
      </c>
      <c r="J200" s="946" t="s">
        <v>22</v>
      </c>
      <c r="K200" s="449" t="s">
        <v>1039</v>
      </c>
      <c r="L200" s="225" t="s">
        <v>19</v>
      </c>
      <c r="M200" s="219"/>
      <c r="N200" s="947"/>
      <c r="O200" s="948" t="s">
        <v>370</v>
      </c>
      <c r="P200" s="949"/>
      <c r="Q200" s="949"/>
      <c r="R200" s="949"/>
      <c r="S200" s="949"/>
      <c r="T200" s="949"/>
      <c r="U200" s="949"/>
      <c r="V200" s="949"/>
      <c r="W200" s="949"/>
      <c r="X200" s="949"/>
      <c r="Y200" s="949"/>
      <c r="Z200" s="949"/>
      <c r="AA200" s="949"/>
      <c r="AB200" s="949"/>
      <c r="AC200" s="949"/>
      <c r="AD200" s="949"/>
      <c r="AE200" s="949"/>
      <c r="AF200" s="950">
        <v>5</v>
      </c>
      <c r="AG200" s="951" t="s">
        <v>1022</v>
      </c>
      <c r="AH200" s="951" t="s">
        <v>1023</v>
      </c>
      <c r="AI200" s="950"/>
      <c r="AJ200" s="951"/>
      <c r="AK200" s="951"/>
      <c r="AL200" s="920"/>
      <c r="AM200" s="144"/>
      <c r="AN200" s="144"/>
      <c r="AO200" s="144"/>
      <c r="AP200" s="144"/>
      <c r="AQ200" s="144"/>
      <c r="AR200" s="144"/>
      <c r="AS200" s="144"/>
      <c r="AT200" s="144"/>
      <c r="AU200" s="144"/>
      <c r="AV200" s="144"/>
      <c r="AW200" s="144"/>
      <c r="AX200" s="144"/>
      <c r="AY200" s="144"/>
      <c r="AZ200" s="144"/>
      <c r="BA200" s="144"/>
      <c r="BB200" s="144"/>
      <c r="BC200" s="144"/>
      <c r="BD200" s="144"/>
      <c r="BE200" s="144"/>
      <c r="BF200" s="144"/>
      <c r="BG200" s="50"/>
    </row>
    <row r="201" ht="11.25" customHeight="1">
      <c r="A201" s="125" t="s">
        <v>988</v>
      </c>
      <c r="B201" s="125"/>
      <c r="C201" s="125"/>
      <c r="D201" s="53"/>
      <c r="E201" s="91"/>
      <c r="F201" s="944"/>
      <c r="G201" s="952"/>
      <c r="H201" s="922" t="s">
        <v>370</v>
      </c>
      <c r="I201" s="945"/>
      <c r="J201" s="946"/>
      <c r="K201" s="449"/>
      <c r="L201" s="225"/>
      <c r="M201" s="219"/>
      <c r="N201" s="953"/>
      <c r="O201" s="954">
        <v>1</v>
      </c>
      <c r="P201" s="955" t="s">
        <v>19</v>
      </c>
      <c r="Q201" s="459" t="s">
        <v>22</v>
      </c>
      <c r="R201" s="459" t="s">
        <v>22</v>
      </c>
      <c r="S201" s="459" t="s">
        <v>22</v>
      </c>
      <c r="T201" s="459" t="s">
        <v>22</v>
      </c>
      <c r="U201" s="459" t="s">
        <v>22</v>
      </c>
      <c r="V201" s="459" t="s">
        <v>22</v>
      </c>
      <c r="W201" s="459" t="s">
        <v>22</v>
      </c>
      <c r="X201" s="459" t="s">
        <v>22</v>
      </c>
      <c r="Y201" s="459"/>
      <c r="Z201" s="956"/>
      <c r="AA201" s="957"/>
      <c r="AB201" s="957"/>
      <c r="AC201" s="958"/>
      <c r="AD201" s="958"/>
      <c r="AE201" s="959"/>
      <c r="AF201" s="950"/>
      <c r="AG201" s="951"/>
      <c r="AH201" s="951"/>
      <c r="AI201" s="950"/>
      <c r="AJ201" s="951"/>
      <c r="AK201" s="951"/>
      <c r="AL201" s="920"/>
      <c r="AM201" s="144"/>
      <c r="AN201" s="144"/>
      <c r="AO201" s="144"/>
      <c r="AP201" s="144"/>
      <c r="AQ201" s="144"/>
      <c r="AR201" s="144"/>
      <c r="AS201" s="144"/>
      <c r="AT201" s="144"/>
      <c r="AU201" s="144"/>
      <c r="AV201" s="144"/>
      <c r="AW201" s="144"/>
      <c r="AX201" s="144"/>
      <c r="AY201" s="144"/>
      <c r="AZ201" s="144"/>
      <c r="BA201" s="144"/>
      <c r="BB201" s="144"/>
      <c r="BC201" s="144"/>
      <c r="BD201" s="144"/>
      <c r="BE201" s="144"/>
      <c r="BF201" s="144"/>
      <c r="BG201" s="50"/>
    </row>
    <row r="202" ht="11.25" customHeight="1">
      <c r="A202" s="125" t="s">
        <v>988</v>
      </c>
      <c r="B202" s="125"/>
      <c r="C202" s="125"/>
      <c r="D202" s="53"/>
      <c r="E202" s="91"/>
      <c r="F202" s="944"/>
      <c r="G202" s="952"/>
      <c r="H202" s="922" t="s">
        <v>370</v>
      </c>
      <c r="I202" s="945"/>
      <c r="J202" s="946"/>
      <c r="K202" s="449"/>
      <c r="L202" s="225"/>
      <c r="M202" s="219"/>
      <c r="N202" s="953"/>
      <c r="O202" s="954"/>
      <c r="P202" s="960"/>
      <c r="Q202" s="459"/>
      <c r="R202" s="459"/>
      <c r="S202" s="961"/>
      <c r="T202" s="459"/>
      <c r="U202" s="459"/>
      <c r="V202" s="459"/>
      <c r="W202" s="459"/>
      <c r="X202" s="459"/>
      <c r="Y202" s="459"/>
      <c r="Z202" s="962"/>
      <c r="AA202" s="963">
        <v>1</v>
      </c>
      <c r="AB202" s="964" t="s">
        <v>1024</v>
      </c>
      <c r="AC202" s="857">
        <f>0.20701*33357.26</f>
        <v>6905.2863926</v>
      </c>
      <c r="AD202" s="964" t="str">
        <f t="shared" si="51"/>
        <v xml:space="preserve">     Амортизационные отчисления в результате переоценки основных средств и нематериальных активов</v>
      </c>
      <c r="AE202" s="857"/>
      <c r="AF202" s="950"/>
      <c r="AG202" s="951"/>
      <c r="AH202" s="951"/>
      <c r="AI202" s="950"/>
      <c r="AJ202" s="951"/>
      <c r="AK202" s="951"/>
      <c r="AL202" s="920"/>
      <c r="AM202" s="144"/>
      <c r="AN202" s="144"/>
      <c r="AO202" s="144"/>
      <c r="AP202" s="144"/>
      <c r="AQ202" s="144"/>
      <c r="AR202" s="144"/>
      <c r="AS202" s="144"/>
      <c r="AT202" s="144"/>
      <c r="AU202" s="144"/>
      <c r="AV202" s="144"/>
      <c r="AW202" s="144"/>
      <c r="AX202" s="144"/>
      <c r="AY202" s="144"/>
      <c r="AZ202" s="144"/>
      <c r="BA202" s="144"/>
      <c r="BB202" s="144"/>
      <c r="BC202" s="144"/>
      <c r="BD202" s="144"/>
      <c r="BE202" s="144"/>
      <c r="BF202" s="144"/>
      <c r="BG202" s="50"/>
    </row>
    <row r="203" ht="11.25" customHeight="1">
      <c r="A203" s="125" t="s">
        <v>988</v>
      </c>
      <c r="B203" s="125"/>
      <c r="C203" s="125"/>
      <c r="D203" s="53"/>
      <c r="E203" s="91"/>
      <c r="F203" s="944"/>
      <c r="G203" s="952"/>
      <c r="H203" s="922" t="s">
        <v>370</v>
      </c>
      <c r="I203" s="945"/>
      <c r="J203" s="946"/>
      <c r="K203" s="449"/>
      <c r="L203" s="225"/>
      <c r="M203" s="219"/>
      <c r="N203" s="953"/>
      <c r="O203" s="954"/>
      <c r="P203" s="965"/>
      <c r="Q203" s="459"/>
      <c r="R203" s="459"/>
      <c r="S203" s="961"/>
      <c r="T203" s="459"/>
      <c r="U203" s="459"/>
      <c r="V203" s="459"/>
      <c r="W203" s="459"/>
      <c r="X203" s="459"/>
      <c r="Y203" s="459"/>
      <c r="Z203" s="956"/>
      <c r="AA203" s="957"/>
      <c r="AB203" s="173" t="s">
        <v>1025</v>
      </c>
      <c r="AC203" s="958"/>
      <c r="AD203" s="958"/>
      <c r="AE203" s="966"/>
      <c r="AF203" s="950"/>
      <c r="AG203" s="951"/>
      <c r="AH203" s="951"/>
      <c r="AI203" s="950"/>
      <c r="AJ203" s="951"/>
      <c r="AK203" s="951"/>
      <c r="AL203" s="920"/>
      <c r="AM203" s="144"/>
      <c r="AN203" s="144"/>
      <c r="AO203" s="144"/>
      <c r="AP203" s="144"/>
      <c r="AQ203" s="144"/>
      <c r="AR203" s="144"/>
      <c r="AS203" s="144"/>
      <c r="AT203" s="144"/>
      <c r="AU203" s="144"/>
      <c r="AV203" s="144"/>
      <c r="AW203" s="144"/>
      <c r="AX203" s="144"/>
      <c r="AY203" s="144"/>
      <c r="AZ203" s="144"/>
      <c r="BA203" s="144"/>
      <c r="BB203" s="144"/>
      <c r="BC203" s="144"/>
      <c r="BD203" s="144"/>
      <c r="BE203" s="144"/>
      <c r="BF203" s="144"/>
      <c r="BG203" s="50"/>
    </row>
    <row r="204" ht="11.25" customHeight="1">
      <c r="A204" s="125" t="s">
        <v>988</v>
      </c>
      <c r="B204" s="125"/>
      <c r="C204" s="125"/>
      <c r="D204" s="53"/>
      <c r="E204" s="91"/>
      <c r="F204" s="944"/>
      <c r="G204" s="952"/>
      <c r="H204" s="922" t="s">
        <v>370</v>
      </c>
      <c r="I204" s="945"/>
      <c r="J204" s="946"/>
      <c r="K204" s="449"/>
      <c r="L204" s="225"/>
      <c r="M204" s="219"/>
      <c r="N204" s="956"/>
      <c r="O204" s="957"/>
      <c r="P204" s="173" t="s">
        <v>1026</v>
      </c>
      <c r="Q204" s="957"/>
      <c r="R204" s="957"/>
      <c r="S204" s="957"/>
      <c r="T204" s="957"/>
      <c r="U204" s="957"/>
      <c r="V204" s="957"/>
      <c r="W204" s="957"/>
      <c r="X204" s="957"/>
      <c r="Y204" s="957"/>
      <c r="Z204" s="957"/>
      <c r="AA204" s="957"/>
      <c r="AB204" s="957"/>
      <c r="AC204" s="957"/>
      <c r="AD204" s="957"/>
      <c r="AE204" s="967"/>
      <c r="AF204" s="950"/>
      <c r="AG204" s="951"/>
      <c r="AH204" s="951"/>
      <c r="AI204" s="950"/>
      <c r="AJ204" s="951"/>
      <c r="AK204" s="951"/>
      <c r="AL204" s="920"/>
      <c r="AM204" s="144"/>
      <c r="AN204" s="144"/>
      <c r="AO204" s="144"/>
      <c r="AP204" s="144"/>
      <c r="AQ204" s="144"/>
      <c r="AR204" s="144"/>
      <c r="AS204" s="144"/>
      <c r="AT204" s="144"/>
      <c r="AU204" s="144"/>
      <c r="AV204" s="144"/>
      <c r="AW204" s="144"/>
      <c r="AX204" s="144"/>
      <c r="AY204" s="144"/>
      <c r="AZ204" s="144"/>
      <c r="BA204" s="144"/>
      <c r="BB204" s="144"/>
      <c r="BC204" s="144"/>
      <c r="BD204" s="144"/>
      <c r="BE204" s="144"/>
      <c r="BF204" s="144"/>
      <c r="BG204" s="50"/>
    </row>
    <row r="205" ht="11.25" customHeight="1">
      <c r="A205" s="125" t="s">
        <v>988</v>
      </c>
      <c r="B205" s="125" t="s">
        <v>22</v>
      </c>
      <c r="C205" s="125"/>
      <c r="D205" s="53"/>
      <c r="E205" s="91"/>
      <c r="F205" s="944"/>
      <c r="G205" s="150" t="s">
        <v>683</v>
      </c>
      <c r="H205" s="922" t="s">
        <v>106</v>
      </c>
      <c r="I205" s="945" t="s">
        <v>1020</v>
      </c>
      <c r="J205" s="946" t="s">
        <v>22</v>
      </c>
      <c r="K205" s="449" t="s">
        <v>1032</v>
      </c>
      <c r="L205" s="225" t="s">
        <v>19</v>
      </c>
      <c r="M205" s="219"/>
      <c r="N205" s="947"/>
      <c r="O205" s="948" t="s">
        <v>370</v>
      </c>
      <c r="P205" s="949"/>
      <c r="Q205" s="949"/>
      <c r="R205" s="949"/>
      <c r="S205" s="949"/>
      <c r="T205" s="949"/>
      <c r="U205" s="949"/>
      <c r="V205" s="949"/>
      <c r="W205" s="949"/>
      <c r="X205" s="949"/>
      <c r="Y205" s="949"/>
      <c r="Z205" s="949"/>
      <c r="AA205" s="949"/>
      <c r="AB205" s="949"/>
      <c r="AC205" s="949"/>
      <c r="AD205" s="949"/>
      <c r="AE205" s="949"/>
      <c r="AF205" s="950">
        <v>5</v>
      </c>
      <c r="AG205" s="951" t="s">
        <v>1022</v>
      </c>
      <c r="AH205" s="951" t="s">
        <v>1023</v>
      </c>
      <c r="AI205" s="950"/>
      <c r="AJ205" s="951"/>
      <c r="AK205" s="951"/>
      <c r="AL205" s="920"/>
      <c r="AM205" s="144"/>
      <c r="AN205" s="144"/>
      <c r="AO205" s="144"/>
      <c r="AP205" s="144"/>
      <c r="AQ205" s="144"/>
      <c r="AR205" s="144"/>
      <c r="AS205" s="144"/>
      <c r="AT205" s="144"/>
      <c r="AU205" s="144"/>
      <c r="AV205" s="144"/>
      <c r="AW205" s="144"/>
      <c r="AX205" s="144"/>
      <c r="AY205" s="144"/>
      <c r="AZ205" s="144"/>
      <c r="BA205" s="144"/>
      <c r="BB205" s="144"/>
      <c r="BC205" s="144"/>
      <c r="BD205" s="144"/>
      <c r="BE205" s="144"/>
      <c r="BF205" s="144"/>
      <c r="BG205" s="50"/>
    </row>
    <row r="206" ht="11.25" customHeight="1">
      <c r="A206" s="125" t="s">
        <v>988</v>
      </c>
      <c r="B206" s="125"/>
      <c r="C206" s="125"/>
      <c r="D206" s="53"/>
      <c r="E206" s="91"/>
      <c r="F206" s="944"/>
      <c r="G206" s="952"/>
      <c r="H206" s="922" t="s">
        <v>105</v>
      </c>
      <c r="I206" s="945"/>
      <c r="J206" s="946"/>
      <c r="K206" s="449"/>
      <c r="L206" s="225"/>
      <c r="M206" s="219"/>
      <c r="N206" s="953"/>
      <c r="O206" s="954">
        <v>1</v>
      </c>
      <c r="P206" s="955" t="s">
        <v>19</v>
      </c>
      <c r="Q206" s="459" t="s">
        <v>22</v>
      </c>
      <c r="R206" s="459" t="s">
        <v>22</v>
      </c>
      <c r="S206" s="459" t="s">
        <v>22</v>
      </c>
      <c r="T206" s="459" t="s">
        <v>22</v>
      </c>
      <c r="U206" s="459" t="s">
        <v>22</v>
      </c>
      <c r="V206" s="459" t="s">
        <v>22</v>
      </c>
      <c r="W206" s="459" t="s">
        <v>22</v>
      </c>
      <c r="X206" s="459" t="s">
        <v>22</v>
      </c>
      <c r="Y206" s="459"/>
      <c r="Z206" s="956"/>
      <c r="AA206" s="957"/>
      <c r="AB206" s="957"/>
      <c r="AC206" s="958"/>
      <c r="AD206" s="958"/>
      <c r="AE206" s="959"/>
      <c r="AF206" s="950"/>
      <c r="AG206" s="951"/>
      <c r="AH206" s="951"/>
      <c r="AI206" s="950"/>
      <c r="AJ206" s="951"/>
      <c r="AK206" s="951"/>
      <c r="AL206" s="920"/>
      <c r="AM206" s="144"/>
      <c r="AN206" s="144"/>
      <c r="AO206" s="144"/>
      <c r="AP206" s="144"/>
      <c r="AQ206" s="144"/>
      <c r="AR206" s="144"/>
      <c r="AS206" s="144"/>
      <c r="AT206" s="144"/>
      <c r="AU206" s="144"/>
      <c r="AV206" s="144"/>
      <c r="AW206" s="144"/>
      <c r="AX206" s="144"/>
      <c r="AY206" s="144"/>
      <c r="AZ206" s="144"/>
      <c r="BA206" s="144"/>
      <c r="BB206" s="144"/>
      <c r="BC206" s="144"/>
      <c r="BD206" s="144"/>
      <c r="BE206" s="144"/>
      <c r="BF206" s="144"/>
      <c r="BG206" s="50"/>
    </row>
    <row r="207" ht="11.25" customHeight="1">
      <c r="A207" s="125" t="s">
        <v>988</v>
      </c>
      <c r="B207" s="125"/>
      <c r="C207" s="125"/>
      <c r="D207" s="53"/>
      <c r="E207" s="91"/>
      <c r="F207" s="944"/>
      <c r="G207" s="952"/>
      <c r="H207" s="922" t="s">
        <v>105</v>
      </c>
      <c r="I207" s="945"/>
      <c r="J207" s="946"/>
      <c r="K207" s="449"/>
      <c r="L207" s="225"/>
      <c r="M207" s="219"/>
      <c r="N207" s="953"/>
      <c r="O207" s="954"/>
      <c r="P207" s="960"/>
      <c r="Q207" s="459"/>
      <c r="R207" s="459"/>
      <c r="S207" s="961"/>
      <c r="T207" s="459"/>
      <c r="U207" s="459"/>
      <c r="V207" s="459"/>
      <c r="W207" s="459"/>
      <c r="X207" s="459"/>
      <c r="Y207" s="459"/>
      <c r="Z207" s="962"/>
      <c r="AA207" s="963">
        <v>1</v>
      </c>
      <c r="AB207" s="964" t="s">
        <v>1024</v>
      </c>
      <c r="AC207" s="857">
        <f>0.20701*17227.05</f>
        <v>3566.1716204999998</v>
      </c>
      <c r="AD207" s="964" t="str">
        <f t="shared" si="51"/>
        <v xml:space="preserve">     Амортизационные отчисления в результате переоценки основных средств и нематериальных активов</v>
      </c>
      <c r="AE207" s="857"/>
      <c r="AF207" s="950"/>
      <c r="AG207" s="951"/>
      <c r="AH207" s="951"/>
      <c r="AI207" s="950"/>
      <c r="AJ207" s="951"/>
      <c r="AK207" s="951"/>
      <c r="AL207" s="920"/>
      <c r="AM207" s="144"/>
      <c r="AN207" s="144"/>
      <c r="AO207" s="144"/>
      <c r="AP207" s="144"/>
      <c r="AQ207" s="144"/>
      <c r="AR207" s="144"/>
      <c r="AS207" s="144"/>
      <c r="AT207" s="144"/>
      <c r="AU207" s="144"/>
      <c r="AV207" s="144"/>
      <c r="AW207" s="144"/>
      <c r="AX207" s="144"/>
      <c r="AY207" s="144"/>
      <c r="AZ207" s="144"/>
      <c r="BA207" s="144"/>
      <c r="BB207" s="144"/>
      <c r="BC207" s="144"/>
      <c r="BD207" s="144"/>
      <c r="BE207" s="144"/>
      <c r="BF207" s="144"/>
      <c r="BG207" s="50"/>
    </row>
    <row r="208" ht="11.25" customHeight="1">
      <c r="A208" s="125" t="s">
        <v>988</v>
      </c>
      <c r="B208" s="125"/>
      <c r="C208" s="125"/>
      <c r="D208" s="53"/>
      <c r="E208" s="91"/>
      <c r="F208" s="944"/>
      <c r="G208" s="952"/>
      <c r="H208" s="922" t="s">
        <v>105</v>
      </c>
      <c r="I208" s="945"/>
      <c r="J208" s="946"/>
      <c r="K208" s="449"/>
      <c r="L208" s="225"/>
      <c r="M208" s="219"/>
      <c r="N208" s="953"/>
      <c r="O208" s="954"/>
      <c r="P208" s="965"/>
      <c r="Q208" s="459"/>
      <c r="R208" s="459"/>
      <c r="S208" s="961"/>
      <c r="T208" s="459"/>
      <c r="U208" s="459"/>
      <c r="V208" s="459"/>
      <c r="W208" s="459"/>
      <c r="X208" s="459"/>
      <c r="Y208" s="459"/>
      <c r="Z208" s="956"/>
      <c r="AA208" s="957"/>
      <c r="AB208" s="173" t="s">
        <v>1025</v>
      </c>
      <c r="AC208" s="958"/>
      <c r="AD208" s="958"/>
      <c r="AE208" s="966"/>
      <c r="AF208" s="950"/>
      <c r="AG208" s="951"/>
      <c r="AH208" s="951"/>
      <c r="AI208" s="950"/>
      <c r="AJ208" s="951"/>
      <c r="AK208" s="951"/>
      <c r="AL208" s="920"/>
      <c r="AM208" s="144"/>
      <c r="AN208" s="144"/>
      <c r="AO208" s="144"/>
      <c r="AP208" s="144"/>
      <c r="AQ208" s="144"/>
      <c r="AR208" s="144"/>
      <c r="AS208" s="144"/>
      <c r="AT208" s="144"/>
      <c r="AU208" s="144"/>
      <c r="AV208" s="144"/>
      <c r="AW208" s="144"/>
      <c r="AX208" s="144"/>
      <c r="AY208" s="144"/>
      <c r="AZ208" s="144"/>
      <c r="BA208" s="144"/>
      <c r="BB208" s="144"/>
      <c r="BC208" s="144"/>
      <c r="BD208" s="144"/>
      <c r="BE208" s="144"/>
      <c r="BF208" s="144"/>
      <c r="BG208" s="50"/>
    </row>
    <row r="209" ht="11.25" customHeight="1">
      <c r="A209" s="125" t="s">
        <v>988</v>
      </c>
      <c r="B209" s="125"/>
      <c r="C209" s="125"/>
      <c r="D209" s="53"/>
      <c r="E209" s="91"/>
      <c r="F209" s="944"/>
      <c r="G209" s="952"/>
      <c r="H209" s="922" t="s">
        <v>105</v>
      </c>
      <c r="I209" s="945"/>
      <c r="J209" s="946"/>
      <c r="K209" s="449"/>
      <c r="L209" s="225"/>
      <c r="M209" s="219"/>
      <c r="N209" s="956"/>
      <c r="O209" s="957"/>
      <c r="P209" s="173" t="s">
        <v>1026</v>
      </c>
      <c r="Q209" s="957"/>
      <c r="R209" s="957"/>
      <c r="S209" s="957"/>
      <c r="T209" s="957"/>
      <c r="U209" s="957"/>
      <c r="V209" s="957"/>
      <c r="W209" s="957"/>
      <c r="X209" s="957"/>
      <c r="Y209" s="957"/>
      <c r="Z209" s="957"/>
      <c r="AA209" s="957"/>
      <c r="AB209" s="957"/>
      <c r="AC209" s="957"/>
      <c r="AD209" s="957"/>
      <c r="AE209" s="967"/>
      <c r="AF209" s="950"/>
      <c r="AG209" s="951"/>
      <c r="AH209" s="951"/>
      <c r="AI209" s="950"/>
      <c r="AJ209" s="951"/>
      <c r="AK209" s="951"/>
      <c r="AL209" s="920"/>
      <c r="AM209" s="144"/>
      <c r="AN209" s="144"/>
      <c r="AO209" s="144"/>
      <c r="AP209" s="144"/>
      <c r="AQ209" s="144"/>
      <c r="AR209" s="144"/>
      <c r="AS209" s="144"/>
      <c r="AT209" s="144"/>
      <c r="AU209" s="144"/>
      <c r="AV209" s="144"/>
      <c r="AW209" s="144"/>
      <c r="AX209" s="144"/>
      <c r="AY209" s="144"/>
      <c r="AZ209" s="144"/>
      <c r="BA209" s="144"/>
      <c r="BB209" s="144"/>
      <c r="BC209" s="144"/>
      <c r="BD209" s="144"/>
      <c r="BE209" s="144"/>
      <c r="BF209" s="144"/>
      <c r="BG209" s="50"/>
    </row>
    <row r="210" ht="11.25" customHeight="1">
      <c r="A210" s="125" t="s">
        <v>988</v>
      </c>
      <c r="B210" s="125" t="s">
        <v>22</v>
      </c>
      <c r="C210" s="125"/>
      <c r="D210" s="53"/>
      <c r="E210" s="91"/>
      <c r="F210" s="944"/>
      <c r="G210" s="150" t="s">
        <v>683</v>
      </c>
      <c r="H210" s="922" t="s">
        <v>89</v>
      </c>
      <c r="I210" s="945" t="s">
        <v>1020</v>
      </c>
      <c r="J210" s="946" t="s">
        <v>22</v>
      </c>
      <c r="K210" s="449" t="s">
        <v>1044</v>
      </c>
      <c r="L210" s="225" t="s">
        <v>19</v>
      </c>
      <c r="M210" s="219"/>
      <c r="N210" s="947"/>
      <c r="O210" s="948" t="s">
        <v>370</v>
      </c>
      <c r="P210" s="949"/>
      <c r="Q210" s="949"/>
      <c r="R210" s="949"/>
      <c r="S210" s="949"/>
      <c r="T210" s="949"/>
      <c r="U210" s="949"/>
      <c r="V210" s="949"/>
      <c r="W210" s="949"/>
      <c r="X210" s="949"/>
      <c r="Y210" s="949"/>
      <c r="Z210" s="949"/>
      <c r="AA210" s="949"/>
      <c r="AB210" s="949"/>
      <c r="AC210" s="949"/>
      <c r="AD210" s="949"/>
      <c r="AE210" s="949"/>
      <c r="AF210" s="950">
        <v>1</v>
      </c>
      <c r="AG210" s="951" t="s">
        <v>1022</v>
      </c>
      <c r="AH210" s="951" t="s">
        <v>1023</v>
      </c>
      <c r="AI210" s="950"/>
      <c r="AJ210" s="951"/>
      <c r="AK210" s="951"/>
      <c r="AL210" s="920"/>
      <c r="AM210" s="144"/>
      <c r="AN210" s="144"/>
      <c r="AO210" s="144"/>
      <c r="AP210" s="144"/>
      <c r="AQ210" s="144"/>
      <c r="AR210" s="144"/>
      <c r="AS210" s="144"/>
      <c r="AT210" s="144"/>
      <c r="AU210" s="144"/>
      <c r="AV210" s="144"/>
      <c r="AW210" s="144"/>
      <c r="AX210" s="144"/>
      <c r="AY210" s="144"/>
      <c r="AZ210" s="144"/>
      <c r="BA210" s="144"/>
      <c r="BB210" s="144"/>
      <c r="BC210" s="144"/>
      <c r="BD210" s="144"/>
      <c r="BE210" s="144"/>
      <c r="BF210" s="144"/>
      <c r="BG210" s="50"/>
    </row>
    <row r="211" ht="11.25" customHeight="1">
      <c r="A211" s="125" t="s">
        <v>988</v>
      </c>
      <c r="B211" s="125"/>
      <c r="C211" s="125"/>
      <c r="D211" s="53"/>
      <c r="E211" s="91"/>
      <c r="F211" s="944"/>
      <c r="G211" s="952"/>
      <c r="H211" s="922" t="s">
        <v>106</v>
      </c>
      <c r="I211" s="945"/>
      <c r="J211" s="946"/>
      <c r="K211" s="449"/>
      <c r="L211" s="225"/>
      <c r="M211" s="219"/>
      <c r="N211" s="953"/>
      <c r="O211" s="954">
        <v>1</v>
      </c>
      <c r="P211" s="955" t="s">
        <v>19</v>
      </c>
      <c r="Q211" s="459" t="s">
        <v>22</v>
      </c>
      <c r="R211" s="459" t="s">
        <v>22</v>
      </c>
      <c r="S211" s="459" t="s">
        <v>22</v>
      </c>
      <c r="T211" s="459" t="s">
        <v>22</v>
      </c>
      <c r="U211" s="459" t="s">
        <v>22</v>
      </c>
      <c r="V211" s="459" t="s">
        <v>22</v>
      </c>
      <c r="W211" s="459" t="s">
        <v>22</v>
      </c>
      <c r="X211" s="459" t="s">
        <v>22</v>
      </c>
      <c r="Y211" s="459"/>
      <c r="Z211" s="956"/>
      <c r="AA211" s="957"/>
      <c r="AB211" s="957"/>
      <c r="AC211" s="958"/>
      <c r="AD211" s="958"/>
      <c r="AE211" s="959"/>
      <c r="AF211" s="950"/>
      <c r="AG211" s="951"/>
      <c r="AH211" s="951"/>
      <c r="AI211" s="950"/>
      <c r="AJ211" s="951"/>
      <c r="AK211" s="951"/>
      <c r="AL211" s="920"/>
      <c r="AM211" s="144"/>
      <c r="AN211" s="144"/>
      <c r="AO211" s="144"/>
      <c r="AP211" s="144"/>
      <c r="AQ211" s="144"/>
      <c r="AR211" s="144"/>
      <c r="AS211" s="144"/>
      <c r="AT211" s="144"/>
      <c r="AU211" s="144"/>
      <c r="AV211" s="144"/>
      <c r="AW211" s="144"/>
      <c r="AX211" s="144"/>
      <c r="AY211" s="144"/>
      <c r="AZ211" s="144"/>
      <c r="BA211" s="144"/>
      <c r="BB211" s="144"/>
      <c r="BC211" s="144"/>
      <c r="BD211" s="144"/>
      <c r="BE211" s="144"/>
      <c r="BF211" s="144"/>
      <c r="BG211" s="50"/>
    </row>
    <row r="212" ht="11.25" customHeight="1">
      <c r="A212" s="125" t="s">
        <v>988</v>
      </c>
      <c r="B212" s="125"/>
      <c r="C212" s="125"/>
      <c r="D212" s="53"/>
      <c r="E212" s="91"/>
      <c r="F212" s="944"/>
      <c r="G212" s="952"/>
      <c r="H212" s="922" t="s">
        <v>106</v>
      </c>
      <c r="I212" s="945"/>
      <c r="J212" s="946"/>
      <c r="K212" s="449"/>
      <c r="L212" s="225"/>
      <c r="M212" s="219"/>
      <c r="N212" s="953"/>
      <c r="O212" s="954"/>
      <c r="P212" s="960"/>
      <c r="Q212" s="459"/>
      <c r="R212" s="459"/>
      <c r="S212" s="961"/>
      <c r="T212" s="459"/>
      <c r="U212" s="459"/>
      <c r="V212" s="459"/>
      <c r="W212" s="459"/>
      <c r="X212" s="459"/>
      <c r="Y212" s="459"/>
      <c r="Z212" s="962"/>
      <c r="AA212" s="963">
        <v>1</v>
      </c>
      <c r="AB212" s="964" t="s">
        <v>1024</v>
      </c>
      <c r="AC212" s="857">
        <f>0.20701*3461.99</f>
        <v>716.66654989999995</v>
      </c>
      <c r="AD212" s="964" t="str">
        <f t="shared" si="51"/>
        <v xml:space="preserve">     Амортизационные отчисления в результате переоценки основных средств и нематериальных активов</v>
      </c>
      <c r="AE212" s="857"/>
      <c r="AF212" s="950"/>
      <c r="AG212" s="951"/>
      <c r="AH212" s="951"/>
      <c r="AI212" s="950"/>
      <c r="AJ212" s="951"/>
      <c r="AK212" s="951"/>
      <c r="AL212" s="920"/>
      <c r="AM212" s="144"/>
      <c r="AN212" s="144"/>
      <c r="AO212" s="144"/>
      <c r="AP212" s="144"/>
      <c r="AQ212" s="144"/>
      <c r="AR212" s="144"/>
      <c r="AS212" s="144"/>
      <c r="AT212" s="144"/>
      <c r="AU212" s="144"/>
      <c r="AV212" s="144"/>
      <c r="AW212" s="144"/>
      <c r="AX212" s="144"/>
      <c r="AY212" s="144"/>
      <c r="AZ212" s="144"/>
      <c r="BA212" s="144"/>
      <c r="BB212" s="144"/>
      <c r="BC212" s="144"/>
      <c r="BD212" s="144"/>
      <c r="BE212" s="144"/>
      <c r="BF212" s="144"/>
      <c r="BG212" s="50"/>
    </row>
    <row r="213" ht="11.25" customHeight="1">
      <c r="A213" s="125" t="s">
        <v>988</v>
      </c>
      <c r="B213" s="125"/>
      <c r="C213" s="125"/>
      <c r="D213" s="53"/>
      <c r="E213" s="91"/>
      <c r="F213" s="944"/>
      <c r="G213" s="952"/>
      <c r="H213" s="922" t="s">
        <v>106</v>
      </c>
      <c r="I213" s="945"/>
      <c r="J213" s="946"/>
      <c r="K213" s="449"/>
      <c r="L213" s="225"/>
      <c r="M213" s="219"/>
      <c r="N213" s="953"/>
      <c r="O213" s="954"/>
      <c r="P213" s="965"/>
      <c r="Q213" s="459"/>
      <c r="R213" s="459"/>
      <c r="S213" s="961"/>
      <c r="T213" s="459"/>
      <c r="U213" s="459"/>
      <c r="V213" s="459"/>
      <c r="W213" s="459"/>
      <c r="X213" s="459"/>
      <c r="Y213" s="459"/>
      <c r="Z213" s="956"/>
      <c r="AA213" s="957"/>
      <c r="AB213" s="173" t="s">
        <v>1025</v>
      </c>
      <c r="AC213" s="958"/>
      <c r="AD213" s="958"/>
      <c r="AE213" s="966"/>
      <c r="AF213" s="950"/>
      <c r="AG213" s="951"/>
      <c r="AH213" s="951"/>
      <c r="AI213" s="950"/>
      <c r="AJ213" s="951"/>
      <c r="AK213" s="951"/>
      <c r="AL213" s="920"/>
      <c r="AM213" s="144"/>
      <c r="AN213" s="144"/>
      <c r="AO213" s="144"/>
      <c r="AP213" s="144"/>
      <c r="AQ213" s="144"/>
      <c r="AR213" s="144"/>
      <c r="AS213" s="144"/>
      <c r="AT213" s="144"/>
      <c r="AU213" s="144"/>
      <c r="AV213" s="144"/>
      <c r="AW213" s="144"/>
      <c r="AX213" s="144"/>
      <c r="AY213" s="144"/>
      <c r="AZ213" s="144"/>
      <c r="BA213" s="144"/>
      <c r="BB213" s="144"/>
      <c r="BC213" s="144"/>
      <c r="BD213" s="144"/>
      <c r="BE213" s="144"/>
      <c r="BF213" s="144"/>
      <c r="BG213" s="50"/>
    </row>
    <row r="214" ht="11.25" customHeight="1">
      <c r="A214" s="125" t="s">
        <v>988</v>
      </c>
      <c r="B214" s="125"/>
      <c r="C214" s="125"/>
      <c r="D214" s="53"/>
      <c r="E214" s="91"/>
      <c r="F214" s="944"/>
      <c r="G214" s="952"/>
      <c r="H214" s="922" t="s">
        <v>106</v>
      </c>
      <c r="I214" s="945"/>
      <c r="J214" s="946"/>
      <c r="K214" s="449"/>
      <c r="L214" s="225"/>
      <c r="M214" s="219"/>
      <c r="N214" s="956"/>
      <c r="O214" s="957"/>
      <c r="P214" s="173" t="s">
        <v>1026</v>
      </c>
      <c r="Q214" s="957"/>
      <c r="R214" s="957"/>
      <c r="S214" s="957"/>
      <c r="T214" s="957"/>
      <c r="U214" s="957"/>
      <c r="V214" s="957"/>
      <c r="W214" s="957"/>
      <c r="X214" s="957"/>
      <c r="Y214" s="957"/>
      <c r="Z214" s="957"/>
      <c r="AA214" s="957"/>
      <c r="AB214" s="957"/>
      <c r="AC214" s="957"/>
      <c r="AD214" s="957"/>
      <c r="AE214" s="967"/>
      <c r="AF214" s="950"/>
      <c r="AG214" s="951"/>
      <c r="AH214" s="951"/>
      <c r="AI214" s="950"/>
      <c r="AJ214" s="951"/>
      <c r="AK214" s="951"/>
      <c r="AL214" s="920"/>
      <c r="AM214" s="144"/>
      <c r="AN214" s="144"/>
      <c r="AO214" s="144"/>
      <c r="AP214" s="144"/>
      <c r="AQ214" s="144"/>
      <c r="AR214" s="144"/>
      <c r="AS214" s="144"/>
      <c r="AT214" s="144"/>
      <c r="AU214" s="144"/>
      <c r="AV214" s="144"/>
      <c r="AW214" s="144"/>
      <c r="AX214" s="144"/>
      <c r="AY214" s="144"/>
      <c r="AZ214" s="144"/>
      <c r="BA214" s="144"/>
      <c r="BB214" s="144"/>
      <c r="BC214" s="144"/>
      <c r="BD214" s="144"/>
      <c r="BE214" s="144"/>
      <c r="BF214" s="144"/>
      <c r="BG214" s="50"/>
    </row>
    <row r="215" ht="11.25" customHeight="1">
      <c r="A215" s="125" t="s">
        <v>988</v>
      </c>
      <c r="B215" s="125" t="s">
        <v>22</v>
      </c>
      <c r="C215" s="125"/>
      <c r="D215" s="53"/>
      <c r="E215" s="91"/>
      <c r="F215" s="944"/>
      <c r="G215" s="150" t="s">
        <v>683</v>
      </c>
      <c r="H215" s="922" t="s">
        <v>90</v>
      </c>
      <c r="I215" s="945" t="s">
        <v>1020</v>
      </c>
      <c r="J215" s="946" t="s">
        <v>22</v>
      </c>
      <c r="K215" s="449" t="s">
        <v>1036</v>
      </c>
      <c r="L215" s="225" t="s">
        <v>19</v>
      </c>
      <c r="M215" s="219"/>
      <c r="N215" s="947"/>
      <c r="O215" s="948" t="s">
        <v>370</v>
      </c>
      <c r="P215" s="949"/>
      <c r="Q215" s="949"/>
      <c r="R215" s="949"/>
      <c r="S215" s="949"/>
      <c r="T215" s="949"/>
      <c r="U215" s="949"/>
      <c r="V215" s="949"/>
      <c r="W215" s="949"/>
      <c r="X215" s="949"/>
      <c r="Y215" s="949"/>
      <c r="Z215" s="949"/>
      <c r="AA215" s="949"/>
      <c r="AB215" s="949"/>
      <c r="AC215" s="949"/>
      <c r="AD215" s="949"/>
      <c r="AE215" s="949"/>
      <c r="AF215" s="950">
        <v>5</v>
      </c>
      <c r="AG215" s="951" t="s">
        <v>1022</v>
      </c>
      <c r="AH215" s="951" t="s">
        <v>1023</v>
      </c>
      <c r="AI215" s="950"/>
      <c r="AJ215" s="951"/>
      <c r="AK215" s="951"/>
      <c r="AL215" s="920"/>
      <c r="AM215" s="144"/>
      <c r="AN215" s="144"/>
      <c r="AO215" s="144"/>
      <c r="AP215" s="144"/>
      <c r="AQ215" s="144"/>
      <c r="AR215" s="144"/>
      <c r="AS215" s="144"/>
      <c r="AT215" s="144"/>
      <c r="AU215" s="144"/>
      <c r="AV215" s="144"/>
      <c r="AW215" s="144"/>
      <c r="AX215" s="144"/>
      <c r="AY215" s="144"/>
      <c r="AZ215" s="144"/>
      <c r="BA215" s="144"/>
      <c r="BB215" s="144"/>
      <c r="BC215" s="144"/>
      <c r="BD215" s="144"/>
      <c r="BE215" s="144"/>
      <c r="BF215" s="144"/>
      <c r="BG215" s="50"/>
    </row>
    <row r="216" ht="11.25" customHeight="1">
      <c r="A216" s="125" t="s">
        <v>988</v>
      </c>
      <c r="B216" s="125"/>
      <c r="C216" s="125"/>
      <c r="D216" s="53"/>
      <c r="E216" s="91"/>
      <c r="F216" s="944"/>
      <c r="G216" s="952"/>
      <c r="H216" s="922" t="s">
        <v>89</v>
      </c>
      <c r="I216" s="945"/>
      <c r="J216" s="946"/>
      <c r="K216" s="449"/>
      <c r="L216" s="225"/>
      <c r="M216" s="219"/>
      <c r="N216" s="953"/>
      <c r="O216" s="954">
        <v>1</v>
      </c>
      <c r="P216" s="955" t="s">
        <v>19</v>
      </c>
      <c r="Q216" s="459" t="s">
        <v>22</v>
      </c>
      <c r="R216" s="459" t="s">
        <v>22</v>
      </c>
      <c r="S216" s="459" t="s">
        <v>22</v>
      </c>
      <c r="T216" s="459" t="s">
        <v>22</v>
      </c>
      <c r="U216" s="459" t="s">
        <v>22</v>
      </c>
      <c r="V216" s="459" t="s">
        <v>22</v>
      </c>
      <c r="W216" s="459" t="s">
        <v>22</v>
      </c>
      <c r="X216" s="459" t="s">
        <v>22</v>
      </c>
      <c r="Y216" s="459"/>
      <c r="Z216" s="956"/>
      <c r="AA216" s="957"/>
      <c r="AB216" s="957"/>
      <c r="AC216" s="958"/>
      <c r="AD216" s="958"/>
      <c r="AE216" s="959"/>
      <c r="AF216" s="950"/>
      <c r="AG216" s="951"/>
      <c r="AH216" s="951"/>
      <c r="AI216" s="950"/>
      <c r="AJ216" s="951"/>
      <c r="AK216" s="951"/>
      <c r="AL216" s="920"/>
      <c r="AM216" s="144"/>
      <c r="AN216" s="144"/>
      <c r="AO216" s="144"/>
      <c r="AP216" s="144"/>
      <c r="AQ216" s="144"/>
      <c r="AR216" s="144"/>
      <c r="AS216" s="144"/>
      <c r="AT216" s="144"/>
      <c r="AU216" s="144"/>
      <c r="AV216" s="144"/>
      <c r="AW216" s="144"/>
      <c r="AX216" s="144"/>
      <c r="AY216" s="144"/>
      <c r="AZ216" s="144"/>
      <c r="BA216" s="144"/>
      <c r="BB216" s="144"/>
      <c r="BC216" s="144"/>
      <c r="BD216" s="144"/>
      <c r="BE216" s="144"/>
      <c r="BF216" s="144"/>
      <c r="BG216" s="50"/>
    </row>
    <row r="217" ht="11.25" customHeight="1">
      <c r="A217" s="125" t="s">
        <v>988</v>
      </c>
      <c r="B217" s="125"/>
      <c r="C217" s="125"/>
      <c r="D217" s="53"/>
      <c r="E217" s="91"/>
      <c r="F217" s="944"/>
      <c r="G217" s="952"/>
      <c r="H217" s="922" t="s">
        <v>89</v>
      </c>
      <c r="I217" s="945"/>
      <c r="J217" s="946"/>
      <c r="K217" s="449"/>
      <c r="L217" s="225"/>
      <c r="M217" s="219"/>
      <c r="N217" s="953"/>
      <c r="O217" s="954"/>
      <c r="P217" s="960"/>
      <c r="Q217" s="459"/>
      <c r="R217" s="459"/>
      <c r="S217" s="961"/>
      <c r="T217" s="459"/>
      <c r="U217" s="459"/>
      <c r="V217" s="459"/>
      <c r="W217" s="459"/>
      <c r="X217" s="459"/>
      <c r="Y217" s="459"/>
      <c r="Z217" s="962"/>
      <c r="AA217" s="963">
        <v>1</v>
      </c>
      <c r="AB217" s="964" t="s">
        <v>1024</v>
      </c>
      <c r="AC217" s="857">
        <f>0.20701*2436.77</f>
        <v>504.43575770000001</v>
      </c>
      <c r="AD217" s="964" t="str">
        <f t="shared" si="51"/>
        <v xml:space="preserve">     Амортизационные отчисления в результате переоценки основных средств и нематериальных активов</v>
      </c>
      <c r="AE217" s="857"/>
      <c r="AF217" s="950"/>
      <c r="AG217" s="951"/>
      <c r="AH217" s="951"/>
      <c r="AI217" s="950"/>
      <c r="AJ217" s="951"/>
      <c r="AK217" s="951"/>
      <c r="AL217" s="920"/>
      <c r="AM217" s="144"/>
      <c r="AN217" s="144"/>
      <c r="AO217" s="144"/>
      <c r="AP217" s="144"/>
      <c r="AQ217" s="144"/>
      <c r="AR217" s="144"/>
      <c r="AS217" s="144"/>
      <c r="AT217" s="144"/>
      <c r="AU217" s="144"/>
      <c r="AV217" s="144"/>
      <c r="AW217" s="144"/>
      <c r="AX217" s="144"/>
      <c r="AY217" s="144"/>
      <c r="AZ217" s="144"/>
      <c r="BA217" s="144"/>
      <c r="BB217" s="144"/>
      <c r="BC217" s="144"/>
      <c r="BD217" s="144"/>
      <c r="BE217" s="144"/>
      <c r="BF217" s="144"/>
      <c r="BG217" s="50"/>
    </row>
    <row r="218" ht="11.25" customHeight="1">
      <c r="A218" s="125" t="s">
        <v>988</v>
      </c>
      <c r="B218" s="125"/>
      <c r="C218" s="125"/>
      <c r="D218" s="53"/>
      <c r="E218" s="91"/>
      <c r="F218" s="944"/>
      <c r="G218" s="952"/>
      <c r="H218" s="922" t="s">
        <v>89</v>
      </c>
      <c r="I218" s="945"/>
      <c r="J218" s="946"/>
      <c r="K218" s="449"/>
      <c r="L218" s="225"/>
      <c r="M218" s="219"/>
      <c r="N218" s="953"/>
      <c r="O218" s="954"/>
      <c r="P218" s="965"/>
      <c r="Q218" s="459"/>
      <c r="R218" s="459"/>
      <c r="S218" s="961"/>
      <c r="T218" s="459"/>
      <c r="U218" s="459"/>
      <c r="V218" s="459"/>
      <c r="W218" s="459"/>
      <c r="X218" s="459"/>
      <c r="Y218" s="459"/>
      <c r="Z218" s="956"/>
      <c r="AA218" s="957"/>
      <c r="AB218" s="173" t="s">
        <v>1025</v>
      </c>
      <c r="AC218" s="958"/>
      <c r="AD218" s="958"/>
      <c r="AE218" s="966"/>
      <c r="AF218" s="950"/>
      <c r="AG218" s="951"/>
      <c r="AH218" s="951"/>
      <c r="AI218" s="950"/>
      <c r="AJ218" s="951"/>
      <c r="AK218" s="951"/>
      <c r="AL218" s="920"/>
      <c r="AM218" s="144"/>
      <c r="AN218" s="144"/>
      <c r="AO218" s="144"/>
      <c r="AP218" s="144"/>
      <c r="AQ218" s="144"/>
      <c r="AR218" s="144"/>
      <c r="AS218" s="144"/>
      <c r="AT218" s="144"/>
      <c r="AU218" s="144"/>
      <c r="AV218" s="144"/>
      <c r="AW218" s="144"/>
      <c r="AX218" s="144"/>
      <c r="AY218" s="144"/>
      <c r="AZ218" s="144"/>
      <c r="BA218" s="144"/>
      <c r="BB218" s="144"/>
      <c r="BC218" s="144"/>
      <c r="BD218" s="144"/>
      <c r="BE218" s="144"/>
      <c r="BF218" s="144"/>
      <c r="BG218" s="50"/>
    </row>
    <row r="219" ht="11.25" customHeight="1">
      <c r="A219" s="125" t="s">
        <v>988</v>
      </c>
      <c r="B219" s="125"/>
      <c r="C219" s="125"/>
      <c r="D219" s="53"/>
      <c r="E219" s="91"/>
      <c r="F219" s="944"/>
      <c r="G219" s="952"/>
      <c r="H219" s="922" t="s">
        <v>89</v>
      </c>
      <c r="I219" s="945"/>
      <c r="J219" s="946"/>
      <c r="K219" s="449"/>
      <c r="L219" s="225"/>
      <c r="M219" s="219"/>
      <c r="N219" s="956"/>
      <c r="O219" s="957"/>
      <c r="P219" s="173" t="s">
        <v>1026</v>
      </c>
      <c r="Q219" s="957"/>
      <c r="R219" s="957"/>
      <c r="S219" s="957"/>
      <c r="T219" s="957"/>
      <c r="U219" s="957"/>
      <c r="V219" s="957"/>
      <c r="W219" s="957"/>
      <c r="X219" s="957"/>
      <c r="Y219" s="957"/>
      <c r="Z219" s="957"/>
      <c r="AA219" s="957"/>
      <c r="AB219" s="957"/>
      <c r="AC219" s="957"/>
      <c r="AD219" s="957"/>
      <c r="AE219" s="967"/>
      <c r="AF219" s="950"/>
      <c r="AG219" s="951"/>
      <c r="AH219" s="951"/>
      <c r="AI219" s="950"/>
      <c r="AJ219" s="951"/>
      <c r="AK219" s="951"/>
      <c r="AL219" s="920"/>
      <c r="AM219" s="144"/>
      <c r="AN219" s="144"/>
      <c r="AO219" s="144"/>
      <c r="AP219" s="144"/>
      <c r="AQ219" s="144"/>
      <c r="AR219" s="144"/>
      <c r="AS219" s="144"/>
      <c r="AT219" s="144"/>
      <c r="AU219" s="144"/>
      <c r="AV219" s="144"/>
      <c r="AW219" s="144"/>
      <c r="AX219" s="144"/>
      <c r="AY219" s="144"/>
      <c r="AZ219" s="144"/>
      <c r="BA219" s="144"/>
      <c r="BB219" s="144"/>
      <c r="BC219" s="144"/>
      <c r="BD219" s="144"/>
      <c r="BE219" s="144"/>
      <c r="BF219" s="144"/>
      <c r="BG219" s="50"/>
    </row>
    <row r="220" ht="11.25" customHeight="1">
      <c r="A220" s="125" t="s">
        <v>988</v>
      </c>
      <c r="B220" s="125" t="s">
        <v>22</v>
      </c>
      <c r="C220" s="125"/>
      <c r="D220" s="53"/>
      <c r="E220" s="91"/>
      <c r="F220" s="944"/>
      <c r="G220" s="150" t="s">
        <v>683</v>
      </c>
      <c r="H220" s="922" t="s">
        <v>107</v>
      </c>
      <c r="I220" s="945" t="s">
        <v>1020</v>
      </c>
      <c r="J220" s="946" t="s">
        <v>22</v>
      </c>
      <c r="K220" s="449" t="s">
        <v>1042</v>
      </c>
      <c r="L220" s="225" t="s">
        <v>19</v>
      </c>
      <c r="M220" s="219"/>
      <c r="N220" s="947"/>
      <c r="O220" s="948" t="s">
        <v>370</v>
      </c>
      <c r="P220" s="949"/>
      <c r="Q220" s="949"/>
      <c r="R220" s="949"/>
      <c r="S220" s="949"/>
      <c r="T220" s="949"/>
      <c r="U220" s="949"/>
      <c r="V220" s="949"/>
      <c r="W220" s="949"/>
      <c r="X220" s="949"/>
      <c r="Y220" s="949"/>
      <c r="Z220" s="949"/>
      <c r="AA220" s="949"/>
      <c r="AB220" s="949"/>
      <c r="AC220" s="949"/>
      <c r="AD220" s="949"/>
      <c r="AE220" s="949"/>
      <c r="AF220" s="950">
        <v>5</v>
      </c>
      <c r="AG220" s="951" t="s">
        <v>1022</v>
      </c>
      <c r="AH220" s="951" t="s">
        <v>1023</v>
      </c>
      <c r="AI220" s="950"/>
      <c r="AJ220" s="951"/>
      <c r="AK220" s="951"/>
      <c r="AL220" s="920"/>
      <c r="AM220" s="144"/>
      <c r="AN220" s="144"/>
      <c r="AO220" s="144"/>
      <c r="AP220" s="144"/>
      <c r="AQ220" s="144"/>
      <c r="AR220" s="144"/>
      <c r="AS220" s="144"/>
      <c r="AT220" s="144"/>
      <c r="AU220" s="144"/>
      <c r="AV220" s="144"/>
      <c r="AW220" s="144"/>
      <c r="AX220" s="144"/>
      <c r="AY220" s="144"/>
      <c r="AZ220" s="144"/>
      <c r="BA220" s="144"/>
      <c r="BB220" s="144"/>
      <c r="BC220" s="144"/>
      <c r="BD220" s="144"/>
      <c r="BE220" s="144"/>
      <c r="BF220" s="144"/>
      <c r="BG220" s="50"/>
    </row>
    <row r="221" ht="11.25" customHeight="1">
      <c r="A221" s="125" t="s">
        <v>988</v>
      </c>
      <c r="B221" s="125"/>
      <c r="C221" s="125"/>
      <c r="D221" s="53"/>
      <c r="E221" s="91"/>
      <c r="F221" s="944"/>
      <c r="G221" s="952"/>
      <c r="H221" s="922" t="s">
        <v>90</v>
      </c>
      <c r="I221" s="945"/>
      <c r="J221" s="946"/>
      <c r="K221" s="449"/>
      <c r="L221" s="225"/>
      <c r="M221" s="219"/>
      <c r="N221" s="953"/>
      <c r="O221" s="954">
        <v>1</v>
      </c>
      <c r="P221" s="955" t="s">
        <v>19</v>
      </c>
      <c r="Q221" s="459" t="s">
        <v>22</v>
      </c>
      <c r="R221" s="459" t="s">
        <v>22</v>
      </c>
      <c r="S221" s="459" t="s">
        <v>22</v>
      </c>
      <c r="T221" s="459" t="s">
        <v>22</v>
      </c>
      <c r="U221" s="459" t="s">
        <v>22</v>
      </c>
      <c r="V221" s="459" t="s">
        <v>22</v>
      </c>
      <c r="W221" s="459" t="s">
        <v>22</v>
      </c>
      <c r="X221" s="459" t="s">
        <v>22</v>
      </c>
      <c r="Y221" s="459"/>
      <c r="Z221" s="956"/>
      <c r="AA221" s="957"/>
      <c r="AB221" s="957"/>
      <c r="AC221" s="958"/>
      <c r="AD221" s="958"/>
      <c r="AE221" s="959"/>
      <c r="AF221" s="950"/>
      <c r="AG221" s="951"/>
      <c r="AH221" s="951"/>
      <c r="AI221" s="950"/>
      <c r="AJ221" s="951"/>
      <c r="AK221" s="951"/>
      <c r="AL221" s="920"/>
      <c r="AM221" s="144"/>
      <c r="AN221" s="144"/>
      <c r="AO221" s="144"/>
      <c r="AP221" s="144"/>
      <c r="AQ221" s="144"/>
      <c r="AR221" s="144"/>
      <c r="AS221" s="144"/>
      <c r="AT221" s="144"/>
      <c r="AU221" s="144"/>
      <c r="AV221" s="144"/>
      <c r="AW221" s="144"/>
      <c r="AX221" s="144"/>
      <c r="AY221" s="144"/>
      <c r="AZ221" s="144"/>
      <c r="BA221" s="144"/>
      <c r="BB221" s="144"/>
      <c r="BC221" s="144"/>
      <c r="BD221" s="144"/>
      <c r="BE221" s="144"/>
      <c r="BF221" s="144"/>
      <c r="BG221" s="50"/>
    </row>
    <row r="222" ht="11.25" customHeight="1">
      <c r="A222" s="125" t="s">
        <v>988</v>
      </c>
      <c r="B222" s="125"/>
      <c r="C222" s="125"/>
      <c r="D222" s="53"/>
      <c r="E222" s="91"/>
      <c r="F222" s="944"/>
      <c r="G222" s="952"/>
      <c r="H222" s="922" t="s">
        <v>90</v>
      </c>
      <c r="I222" s="945"/>
      <c r="J222" s="946"/>
      <c r="K222" s="449"/>
      <c r="L222" s="225"/>
      <c r="M222" s="219"/>
      <c r="N222" s="953"/>
      <c r="O222" s="954"/>
      <c r="P222" s="960"/>
      <c r="Q222" s="459"/>
      <c r="R222" s="459"/>
      <c r="S222" s="961"/>
      <c r="T222" s="459"/>
      <c r="U222" s="459"/>
      <c r="V222" s="459"/>
      <c r="W222" s="459"/>
      <c r="X222" s="459"/>
      <c r="Y222" s="459"/>
      <c r="Z222" s="962"/>
      <c r="AA222" s="963">
        <v>1</v>
      </c>
      <c r="AB222" s="964" t="s">
        <v>1029</v>
      </c>
      <c r="AC222" s="857">
        <f>0.20701*26414.8</f>
        <v>5468.1277479999999</v>
      </c>
      <c r="AD222" s="964" t="str">
        <f t="shared" si="51"/>
        <v xml:space="preserve">  Прочие собственные средства</v>
      </c>
      <c r="AE222" s="857"/>
      <c r="AF222" s="950"/>
      <c r="AG222" s="951"/>
      <c r="AH222" s="951"/>
      <c r="AI222" s="950"/>
      <c r="AJ222" s="951"/>
      <c r="AK222" s="951"/>
      <c r="AL222" s="920"/>
      <c r="AM222" s="144"/>
      <c r="AN222" s="144"/>
      <c r="AO222" s="144"/>
      <c r="AP222" s="144"/>
      <c r="AQ222" s="144"/>
      <c r="AR222" s="144"/>
      <c r="AS222" s="144"/>
      <c r="AT222" s="144"/>
      <c r="AU222" s="144"/>
      <c r="AV222" s="144"/>
      <c r="AW222" s="144"/>
      <c r="AX222" s="144"/>
      <c r="AY222" s="144"/>
      <c r="AZ222" s="144"/>
      <c r="BA222" s="144"/>
      <c r="BB222" s="144"/>
      <c r="BC222" s="144"/>
      <c r="BD222" s="144"/>
      <c r="BE222" s="144"/>
      <c r="BF222" s="144"/>
      <c r="BG222" s="50"/>
    </row>
    <row r="223" ht="11.25" customHeight="1">
      <c r="A223" s="125" t="s">
        <v>988</v>
      </c>
      <c r="B223" s="125"/>
      <c r="C223" s="125"/>
      <c r="D223" s="53"/>
      <c r="E223" s="91"/>
      <c r="F223" s="944"/>
      <c r="G223" s="952"/>
      <c r="H223" s="922" t="s">
        <v>90</v>
      </c>
      <c r="I223" s="945"/>
      <c r="J223" s="946"/>
      <c r="K223" s="449"/>
      <c r="L223" s="225"/>
      <c r="M223" s="219"/>
      <c r="N223" s="953"/>
      <c r="O223" s="954"/>
      <c r="P223" s="965"/>
      <c r="Q223" s="459"/>
      <c r="R223" s="459"/>
      <c r="S223" s="961"/>
      <c r="T223" s="459"/>
      <c r="U223" s="459"/>
      <c r="V223" s="459"/>
      <c r="W223" s="459"/>
      <c r="X223" s="459"/>
      <c r="Y223" s="459"/>
      <c r="Z223" s="956"/>
      <c r="AA223" s="957"/>
      <c r="AB223" s="173" t="s">
        <v>1025</v>
      </c>
      <c r="AC223" s="958"/>
      <c r="AD223" s="958"/>
      <c r="AE223" s="966"/>
      <c r="AF223" s="950"/>
      <c r="AG223" s="951"/>
      <c r="AH223" s="951"/>
      <c r="AI223" s="950"/>
      <c r="AJ223" s="951"/>
      <c r="AK223" s="951"/>
      <c r="AL223" s="920"/>
      <c r="AM223" s="144"/>
      <c r="AN223" s="144"/>
      <c r="AO223" s="144"/>
      <c r="AP223" s="144"/>
      <c r="AQ223" s="144"/>
      <c r="AR223" s="144"/>
      <c r="AS223" s="144"/>
      <c r="AT223" s="144"/>
      <c r="AU223" s="144"/>
      <c r="AV223" s="144"/>
      <c r="AW223" s="144"/>
      <c r="AX223" s="144"/>
      <c r="AY223" s="144"/>
      <c r="AZ223" s="144"/>
      <c r="BA223" s="144"/>
      <c r="BB223" s="144"/>
      <c r="BC223" s="144"/>
      <c r="BD223" s="144"/>
      <c r="BE223" s="144"/>
      <c r="BF223" s="144"/>
      <c r="BG223" s="50"/>
    </row>
    <row r="224" ht="11.25" customHeight="1">
      <c r="A224" s="125" t="s">
        <v>988</v>
      </c>
      <c r="B224" s="125"/>
      <c r="C224" s="125"/>
      <c r="D224" s="53"/>
      <c r="E224" s="91"/>
      <c r="F224" s="944"/>
      <c r="G224" s="952"/>
      <c r="H224" s="922" t="s">
        <v>90</v>
      </c>
      <c r="I224" s="945"/>
      <c r="J224" s="946"/>
      <c r="K224" s="449"/>
      <c r="L224" s="225"/>
      <c r="M224" s="219"/>
      <c r="N224" s="956"/>
      <c r="O224" s="957"/>
      <c r="P224" s="173" t="s">
        <v>1026</v>
      </c>
      <c r="Q224" s="957"/>
      <c r="R224" s="957"/>
      <c r="S224" s="957"/>
      <c r="T224" s="957"/>
      <c r="U224" s="957"/>
      <c r="V224" s="957"/>
      <c r="W224" s="957"/>
      <c r="X224" s="957"/>
      <c r="Y224" s="957"/>
      <c r="Z224" s="957"/>
      <c r="AA224" s="957"/>
      <c r="AB224" s="957"/>
      <c r="AC224" s="957"/>
      <c r="AD224" s="957"/>
      <c r="AE224" s="967"/>
      <c r="AF224" s="950"/>
      <c r="AG224" s="951"/>
      <c r="AH224" s="951"/>
      <c r="AI224" s="950"/>
      <c r="AJ224" s="951"/>
      <c r="AK224" s="951"/>
      <c r="AL224" s="920"/>
      <c r="AM224" s="144"/>
      <c r="AN224" s="144"/>
      <c r="AO224" s="144"/>
      <c r="AP224" s="144"/>
      <c r="AQ224" s="144"/>
      <c r="AR224" s="144"/>
      <c r="AS224" s="144"/>
      <c r="AT224" s="144"/>
      <c r="AU224" s="144"/>
      <c r="AV224" s="144"/>
      <c r="AW224" s="144"/>
      <c r="AX224" s="144"/>
      <c r="AY224" s="144"/>
      <c r="AZ224" s="144"/>
      <c r="BA224" s="144"/>
      <c r="BB224" s="144"/>
      <c r="BC224" s="144"/>
      <c r="BD224" s="144"/>
      <c r="BE224" s="144"/>
      <c r="BF224" s="144"/>
      <c r="BG224" s="50"/>
    </row>
    <row r="225" ht="12" customHeight="1">
      <c r="A225" s="125" t="s">
        <v>988</v>
      </c>
      <c r="B225" s="125"/>
      <c r="C225" s="125"/>
      <c r="D225" s="53"/>
      <c r="E225" s="91"/>
      <c r="F225" s="971"/>
      <c r="G225" s="972"/>
      <c r="H225" s="972"/>
      <c r="I225" s="973" t="s">
        <v>1038</v>
      </c>
      <c r="J225" s="973"/>
      <c r="K225" s="973"/>
      <c r="L225" s="974"/>
      <c r="M225" s="974"/>
      <c r="N225" s="975"/>
      <c r="O225" s="975"/>
      <c r="P225" s="975"/>
      <c r="Q225" s="975"/>
      <c r="R225" s="975"/>
      <c r="S225" s="975"/>
      <c r="T225" s="975"/>
      <c r="U225" s="975"/>
      <c r="V225" s="975"/>
      <c r="W225" s="975"/>
      <c r="X225" s="975"/>
      <c r="Y225" s="975"/>
      <c r="Z225" s="975"/>
      <c r="AA225" s="975"/>
      <c r="AB225" s="975"/>
      <c r="AC225" s="975"/>
      <c r="AD225" s="975"/>
      <c r="AE225" s="975"/>
      <c r="AF225" s="975"/>
      <c r="AG225" s="974"/>
      <c r="AH225" s="974"/>
      <c r="AI225" s="975"/>
      <c r="AJ225" s="974"/>
      <c r="AK225" s="975"/>
      <c r="AL225" s="920"/>
      <c r="AM225" s="144"/>
      <c r="AN225" s="144"/>
      <c r="AO225" s="144"/>
      <c r="AP225" s="144"/>
      <c r="AQ225" s="144"/>
      <c r="AR225" s="144"/>
      <c r="AS225" s="144"/>
      <c r="AT225" s="144"/>
      <c r="AU225" s="144"/>
      <c r="AV225" s="144"/>
      <c r="AW225" s="144"/>
      <c r="AX225" s="144"/>
      <c r="AY225" s="144"/>
      <c r="AZ225" s="144"/>
      <c r="BA225" s="144"/>
      <c r="BB225" s="144"/>
      <c r="BC225" s="144"/>
      <c r="BD225" s="144"/>
      <c r="BE225" s="144"/>
      <c r="BF225" s="144"/>
      <c r="BG225" s="50"/>
    </row>
    <row r="226" ht="10.5" customHeight="1">
      <c r="E226" s="144"/>
      <c r="F226" s="50"/>
      <c r="G226" s="50"/>
      <c r="H226" s="50"/>
      <c r="I226" s="50"/>
      <c r="J226" s="50"/>
      <c r="K226" s="50"/>
      <c r="L226" s="50"/>
      <c r="M226" s="50"/>
      <c r="N226" s="50"/>
      <c r="O226" s="50"/>
      <c r="P226" s="50"/>
      <c r="Q226" s="50"/>
      <c r="R226" s="50"/>
      <c r="S226" s="50"/>
      <c r="T226" s="50"/>
      <c r="U226" s="50"/>
      <c r="V226" s="50"/>
      <c r="W226" s="50"/>
      <c r="X226" s="50"/>
      <c r="Y226" s="50"/>
      <c r="Z226" s="50"/>
      <c r="AA226" s="50"/>
      <c r="AB226" s="50"/>
      <c r="AC226" s="50"/>
      <c r="AD226" s="50"/>
      <c r="AE226" s="50"/>
      <c r="AF226" s="50"/>
      <c r="AG226" s="50"/>
      <c r="AH226" s="50"/>
      <c r="AI226" s="50"/>
      <c r="AJ226" s="50"/>
      <c r="AK226" s="50"/>
      <c r="AL226" s="144"/>
      <c r="AM226" s="144"/>
      <c r="AN226" s="144"/>
      <c r="AO226" s="144"/>
      <c r="AP226" s="144"/>
      <c r="AQ226" s="144"/>
      <c r="AR226" s="144"/>
      <c r="AS226" s="144"/>
      <c r="AT226" s="144"/>
      <c r="AU226" s="144"/>
      <c r="AV226" s="144"/>
      <c r="AW226" s="144"/>
      <c r="AX226" s="144"/>
      <c r="AY226" s="144"/>
      <c r="AZ226" s="144"/>
      <c r="BA226" s="144"/>
      <c r="BB226" s="144"/>
      <c r="BC226" s="144"/>
      <c r="BD226" s="144"/>
      <c r="BE226" s="144"/>
      <c r="BF226" s="144"/>
      <c r="BG226" s="50">
        <v>10</v>
      </c>
    </row>
    <row r="227" ht="13.5" customHeight="1">
      <c r="E227" s="144"/>
      <c r="F227" s="107" t="s">
        <v>1045</v>
      </c>
      <c r="G227" s="107"/>
      <c r="H227" s="107"/>
      <c r="I227" s="107"/>
      <c r="J227" s="107"/>
      <c r="K227" s="144"/>
      <c r="L227" s="144"/>
      <c r="M227" s="144"/>
      <c r="N227" s="144"/>
      <c r="O227" s="144"/>
      <c r="P227" s="144"/>
      <c r="Q227" s="144"/>
      <c r="R227" s="144"/>
      <c r="S227" s="144"/>
      <c r="T227" s="144"/>
      <c r="U227" s="144"/>
      <c r="V227" s="144"/>
      <c r="W227" s="144"/>
      <c r="X227" s="144"/>
      <c r="Y227" s="144"/>
      <c r="Z227" s="144"/>
      <c r="AA227" s="144"/>
      <c r="AB227" s="144"/>
      <c r="AC227" s="144"/>
      <c r="AD227" s="144"/>
      <c r="AE227" s="144"/>
      <c r="AF227" s="144"/>
      <c r="AG227" s="144"/>
      <c r="AH227" s="144"/>
      <c r="AI227" s="144"/>
      <c r="AJ227" s="144"/>
      <c r="AK227" s="144"/>
      <c r="AL227" s="144"/>
      <c r="AM227" s="144"/>
      <c r="AN227" s="144"/>
      <c r="AO227" s="144"/>
      <c r="AP227" s="144"/>
      <c r="AQ227" s="144"/>
      <c r="AR227" s="144"/>
      <c r="AS227" s="144"/>
      <c r="AT227" s="144"/>
      <c r="AU227" s="144"/>
      <c r="AV227" s="144"/>
      <c r="AW227" s="144"/>
      <c r="AX227" s="144"/>
      <c r="AY227" s="144"/>
      <c r="AZ227" s="144"/>
      <c r="BA227" s="144"/>
      <c r="BB227" s="144"/>
      <c r="BC227" s="144"/>
      <c r="BD227" s="144"/>
      <c r="BE227" s="144"/>
      <c r="BF227" s="144"/>
      <c r="BG227" s="50">
        <v>13</v>
      </c>
    </row>
    <row r="228" ht="10.5" customHeight="1">
      <c r="BG228" s="50">
        <v>10</v>
      </c>
    </row>
    <row r="229" ht="10.5" customHeight="1">
      <c r="E229" s="144"/>
      <c r="F229" s="86"/>
      <c r="G229" s="86"/>
      <c r="H229" s="86"/>
      <c r="I229" s="86"/>
      <c r="J229" s="86"/>
      <c r="K229" s="144"/>
      <c r="L229" s="144"/>
      <c r="M229" s="144"/>
      <c r="N229" s="144"/>
      <c r="O229" s="144"/>
      <c r="P229" s="144"/>
      <c r="Q229" s="144"/>
      <c r="R229" s="144"/>
      <c r="S229" s="144"/>
      <c r="T229" s="144"/>
      <c r="U229" s="144"/>
      <c r="V229" s="144"/>
      <c r="W229" s="144"/>
      <c r="X229" s="144"/>
      <c r="Y229" s="144"/>
      <c r="Z229" s="144"/>
      <c r="AA229" s="144"/>
      <c r="AB229" s="144"/>
      <c r="AC229" s="144"/>
      <c r="AD229" s="144"/>
      <c r="AE229" s="144"/>
      <c r="AF229" s="144"/>
      <c r="AG229" s="144"/>
      <c r="AH229" s="144"/>
      <c r="AI229" s="144"/>
      <c r="AJ229" s="144"/>
      <c r="AK229" s="144"/>
      <c r="AL229" s="144"/>
      <c r="AM229" s="144"/>
      <c r="AN229" s="144"/>
      <c r="AO229" s="144"/>
      <c r="AP229" s="144"/>
      <c r="AQ229" s="144"/>
      <c r="AR229" s="144"/>
      <c r="AS229" s="144"/>
      <c r="AT229" s="144"/>
      <c r="AU229" s="144"/>
      <c r="AV229" s="144"/>
      <c r="AW229" s="144"/>
      <c r="AX229" s="144"/>
      <c r="AY229" s="144"/>
      <c r="AZ229" s="144"/>
      <c r="BA229" s="144"/>
      <c r="BB229" s="144"/>
      <c r="BC229" s="144"/>
      <c r="BD229" s="144"/>
      <c r="BE229" s="144"/>
      <c r="BF229" s="144"/>
      <c r="BG229" s="50">
        <v>10</v>
      </c>
    </row>
    <row r="230" ht="10.5" customHeight="1">
      <c r="E230" s="144"/>
      <c r="F230" s="86"/>
      <c r="G230" s="86"/>
      <c r="H230" s="86"/>
      <c r="I230" s="86"/>
      <c r="J230" s="86"/>
      <c r="K230" s="144"/>
      <c r="L230" s="144"/>
      <c r="M230" s="144"/>
      <c r="N230" s="144"/>
      <c r="O230" s="144"/>
      <c r="P230" s="144"/>
      <c r="Q230" s="144"/>
      <c r="R230" s="144"/>
      <c r="S230" s="144"/>
      <c r="T230" s="144"/>
      <c r="U230" s="144"/>
      <c r="V230" s="144"/>
      <c r="W230" s="144"/>
      <c r="X230" s="144"/>
      <c r="Y230" s="144"/>
      <c r="Z230" s="144"/>
      <c r="AA230" s="144"/>
      <c r="AB230" s="144"/>
      <c r="AC230" s="144"/>
      <c r="AD230" s="144"/>
      <c r="AE230" s="144"/>
      <c r="AF230" s="144"/>
      <c r="AG230" s="144"/>
      <c r="AH230" s="144"/>
      <c r="AI230" s="144"/>
      <c r="AJ230" s="144"/>
      <c r="AK230" s="144"/>
      <c r="AL230" s="144"/>
      <c r="AM230" s="144"/>
      <c r="AN230" s="144"/>
      <c r="AO230" s="144"/>
      <c r="AP230" s="144"/>
      <c r="AQ230" s="144"/>
      <c r="AR230" s="144"/>
      <c r="AS230" s="144"/>
      <c r="AT230" s="144"/>
      <c r="AU230" s="144"/>
      <c r="AV230" s="144"/>
      <c r="AW230" s="144"/>
      <c r="AX230" s="144"/>
      <c r="AY230" s="144"/>
      <c r="AZ230" s="144"/>
      <c r="BA230" s="144"/>
      <c r="BB230" s="144"/>
      <c r="BC230" s="144"/>
      <c r="BD230" s="144"/>
      <c r="BE230" s="144"/>
      <c r="BF230" s="144"/>
      <c r="BG230" s="50">
        <v>10</v>
      </c>
    </row>
    <row r="231" ht="10.5" customHeight="1">
      <c r="E231" s="144"/>
      <c r="F231" s="86"/>
      <c r="G231" s="86"/>
      <c r="H231" s="86"/>
      <c r="I231" s="86"/>
      <c r="J231" s="86"/>
      <c r="K231" s="144"/>
      <c r="L231" s="144"/>
      <c r="M231" s="144"/>
      <c r="N231" s="144"/>
      <c r="O231" s="144"/>
      <c r="P231" s="144"/>
      <c r="Q231" s="144"/>
      <c r="R231" s="144"/>
      <c r="S231" s="144"/>
      <c r="T231" s="144"/>
      <c r="U231" s="144"/>
      <c r="V231" s="144"/>
      <c r="W231" s="144"/>
      <c r="X231" s="144"/>
      <c r="Y231" s="144"/>
      <c r="Z231" s="144"/>
      <c r="AA231" s="144"/>
      <c r="AB231" s="144"/>
      <c r="AC231" s="144"/>
      <c r="AD231" s="144"/>
      <c r="AE231" s="144"/>
      <c r="AF231" s="144"/>
      <c r="AG231" s="144"/>
      <c r="AH231" s="144"/>
      <c r="AI231" s="144"/>
      <c r="AJ231" s="144"/>
      <c r="AK231" s="144"/>
      <c r="AL231" s="144"/>
      <c r="AM231" s="144"/>
      <c r="AN231" s="144"/>
      <c r="AO231" s="144"/>
      <c r="AP231" s="144"/>
      <c r="AQ231" s="144"/>
      <c r="AR231" s="144"/>
      <c r="AS231" s="144"/>
      <c r="AT231" s="144"/>
      <c r="AU231" s="144"/>
      <c r="AV231" s="144"/>
      <c r="AW231" s="144"/>
      <c r="AX231" s="144"/>
      <c r="AY231" s="144"/>
      <c r="AZ231" s="144"/>
      <c r="BA231" s="144"/>
      <c r="BB231" s="144"/>
      <c r="BC231" s="144"/>
      <c r="BD231" s="144"/>
      <c r="BE231" s="144"/>
      <c r="BF231" s="144"/>
      <c r="BG231" s="50">
        <v>10</v>
      </c>
    </row>
    <row r="232" ht="10.5" hidden="1" customHeight="1">
      <c r="A232" s="125" t="s">
        <v>81</v>
      </c>
      <c r="B232" s="125">
        <v>0</v>
      </c>
      <c r="C232" s="125">
        <v>0</v>
      </c>
      <c r="D232" s="53">
        <v>0</v>
      </c>
      <c r="E232" s="50">
        <v>3</v>
      </c>
      <c r="F232" s="50">
        <v>14</v>
      </c>
      <c r="G232" s="50">
        <v>3</v>
      </c>
      <c r="H232" s="50">
        <v>7</v>
      </c>
      <c r="I232" s="50">
        <v>16</v>
      </c>
      <c r="J232" s="50">
        <v>16</v>
      </c>
      <c r="K232" s="50">
        <v>25</v>
      </c>
      <c r="L232" s="50">
        <v>7</v>
      </c>
      <c r="M232" s="50">
        <v>15</v>
      </c>
      <c r="N232" s="50">
        <v>3</v>
      </c>
      <c r="O232" s="50">
        <v>4</v>
      </c>
      <c r="P232" s="50">
        <v>8</v>
      </c>
      <c r="Q232" s="50">
        <v>21</v>
      </c>
      <c r="R232" s="50">
        <v>14</v>
      </c>
      <c r="S232" s="50">
        <v>17</v>
      </c>
      <c r="T232" s="50">
        <v>17</v>
      </c>
      <c r="U232" s="50">
        <v>9</v>
      </c>
      <c r="V232" s="50">
        <v>12</v>
      </c>
      <c r="W232" s="50">
        <v>9</v>
      </c>
      <c r="X232" s="50">
        <v>21</v>
      </c>
      <c r="Y232" s="50">
        <v>12</v>
      </c>
      <c r="Z232" s="50">
        <v>3</v>
      </c>
      <c r="AA232" s="50">
        <v>6</v>
      </c>
      <c r="AB232" s="50">
        <v>38</v>
      </c>
      <c r="AC232" s="50">
        <v>15</v>
      </c>
      <c r="AD232" s="50">
        <v>0</v>
      </c>
      <c r="AE232" s="50">
        <v>0</v>
      </c>
      <c r="AF232" s="50">
        <v>16</v>
      </c>
      <c r="AG232" s="50">
        <v>16</v>
      </c>
      <c r="AH232" s="50">
        <v>16</v>
      </c>
      <c r="AI232" s="50">
        <v>0</v>
      </c>
      <c r="AJ232" s="50">
        <v>0</v>
      </c>
      <c r="AK232" s="50">
        <v>0</v>
      </c>
      <c r="AL232" s="50">
        <v>8</v>
      </c>
      <c r="AM232" s="50">
        <v>8</v>
      </c>
      <c r="AN232" s="50">
        <v>8</v>
      </c>
      <c r="AO232" s="50">
        <v>8</v>
      </c>
      <c r="AP232" s="50">
        <v>8</v>
      </c>
      <c r="AQ232" s="50">
        <v>8</v>
      </c>
      <c r="AR232" s="50">
        <v>8</v>
      </c>
      <c r="AS232" s="50">
        <v>8</v>
      </c>
      <c r="AT232" s="50">
        <v>8</v>
      </c>
      <c r="AU232" s="50">
        <v>8</v>
      </c>
      <c r="AV232" s="50">
        <v>8</v>
      </c>
      <c r="AW232" s="50">
        <v>8</v>
      </c>
      <c r="AX232" s="50">
        <v>8</v>
      </c>
      <c r="AY232" s="50">
        <v>8</v>
      </c>
      <c r="AZ232" s="50">
        <v>8</v>
      </c>
      <c r="BA232" s="50">
        <v>8</v>
      </c>
      <c r="BB232" s="50">
        <v>8</v>
      </c>
      <c r="BC232" s="50">
        <v>8</v>
      </c>
      <c r="BD232" s="50">
        <v>8</v>
      </c>
      <c r="BE232" s="50">
        <v>8</v>
      </c>
      <c r="BF232" s="50">
        <v>8</v>
      </c>
      <c r="BG232" s="50">
        <v>10</v>
      </c>
    </row>
  </sheetData>
  <sheetProtection autoFilter="0" deleteColumns="1" deleteRows="1" formatCells="1" formatColumns="0" formatRows="0" insertColumns="1" insertHyperlinks="1" insertRows="1" objects="0" pivotTables="1" scenarios="0" selectLockedCells="0" selectUnlockedCells="0" sheet="1" sort="1"/>
  <mergeCells count="1040">
    <mergeCell ref="F5:K5"/>
    <mergeCell ref="F6:K6"/>
    <mergeCell ref="F8:AK8"/>
    <mergeCell ref="F9:F12"/>
    <mergeCell ref="G9:H12"/>
    <mergeCell ref="I9:J11"/>
    <mergeCell ref="K9:Y9"/>
    <mergeCell ref="Z9:AA12"/>
    <mergeCell ref="AB9:AE10"/>
    <mergeCell ref="AF9:AF12"/>
    <mergeCell ref="AG9:AH11"/>
    <mergeCell ref="AI9:AI12"/>
    <mergeCell ref="AJ9:AK11"/>
    <mergeCell ref="K10:K12"/>
    <mergeCell ref="L10:M10"/>
    <mergeCell ref="N10:Y10"/>
    <mergeCell ref="L11:L12"/>
    <mergeCell ref="M11:M12"/>
    <mergeCell ref="N11:O12"/>
    <mergeCell ref="P11:P12"/>
    <mergeCell ref="Q11:Q12"/>
    <mergeCell ref="R11:R12"/>
    <mergeCell ref="S11:Y11"/>
    <mergeCell ref="AB11:AC11"/>
    <mergeCell ref="AD11:AE11"/>
    <mergeCell ref="F15:F57"/>
    <mergeCell ref="G15:G19"/>
    <mergeCell ref="H15:H19"/>
    <mergeCell ref="I15:I19"/>
    <mergeCell ref="J15:J19"/>
    <mergeCell ref="K15:K19"/>
    <mergeCell ref="L15:L19"/>
    <mergeCell ref="M15:M19"/>
    <mergeCell ref="AF15:AF19"/>
    <mergeCell ref="AG15:AG19"/>
    <mergeCell ref="AH15:AH19"/>
    <mergeCell ref="AI15:AI19"/>
    <mergeCell ref="AJ15:AJ19"/>
    <mergeCell ref="AK15:AK19"/>
    <mergeCell ref="N16:N18"/>
    <mergeCell ref="O16:O18"/>
    <mergeCell ref="P16:P18"/>
    <mergeCell ref="Q16:Q18"/>
    <mergeCell ref="R16:R18"/>
    <mergeCell ref="S16:S18"/>
    <mergeCell ref="T16:T18"/>
    <mergeCell ref="U16:U18"/>
    <mergeCell ref="V16:V18"/>
    <mergeCell ref="W16:W18"/>
    <mergeCell ref="X16:X18"/>
    <mergeCell ref="Y16:Y18"/>
    <mergeCell ref="G20:G24"/>
    <mergeCell ref="H20:H24"/>
    <mergeCell ref="I20:I24"/>
    <mergeCell ref="J20:J24"/>
    <mergeCell ref="K20:K24"/>
    <mergeCell ref="L20:L24"/>
    <mergeCell ref="M20:M24"/>
    <mergeCell ref="AF20:AF24"/>
    <mergeCell ref="AG20:AG24"/>
    <mergeCell ref="AH20:AH24"/>
    <mergeCell ref="AI20:AI24"/>
    <mergeCell ref="AJ20:AJ24"/>
    <mergeCell ref="AK20:AK24"/>
    <mergeCell ref="N21:N23"/>
    <mergeCell ref="O21:O23"/>
    <mergeCell ref="P21:P23"/>
    <mergeCell ref="Q21:Q23"/>
    <mergeCell ref="R21:R23"/>
    <mergeCell ref="S21:S23"/>
    <mergeCell ref="T21:T23"/>
    <mergeCell ref="U21:U23"/>
    <mergeCell ref="V21:V23"/>
    <mergeCell ref="W21:W23"/>
    <mergeCell ref="X21:X23"/>
    <mergeCell ref="Y21:Y23"/>
    <mergeCell ref="G25:G30"/>
    <mergeCell ref="H25:H30"/>
    <mergeCell ref="I25:I30"/>
    <mergeCell ref="J25:J30"/>
    <mergeCell ref="K25:K30"/>
    <mergeCell ref="L25:L30"/>
    <mergeCell ref="M25:M30"/>
    <mergeCell ref="AF25:AF30"/>
    <mergeCell ref="AG25:AG30"/>
    <mergeCell ref="AH25:AH30"/>
    <mergeCell ref="AI25:AI30"/>
    <mergeCell ref="AJ25:AJ30"/>
    <mergeCell ref="AK25:AK30"/>
    <mergeCell ref="N26:N29"/>
    <mergeCell ref="O26:O29"/>
    <mergeCell ref="P26:P29"/>
    <mergeCell ref="Q26:Q29"/>
    <mergeCell ref="R26:R29"/>
    <mergeCell ref="S26:S29"/>
    <mergeCell ref="T26:T29"/>
    <mergeCell ref="U26:U29"/>
    <mergeCell ref="V26:V29"/>
    <mergeCell ref="W26:W29"/>
    <mergeCell ref="X26:X29"/>
    <mergeCell ref="Y26:Y29"/>
    <mergeCell ref="G31:G35"/>
    <mergeCell ref="H31:H35"/>
    <mergeCell ref="I31:I35"/>
    <mergeCell ref="J31:J35"/>
    <mergeCell ref="K31:K35"/>
    <mergeCell ref="L31:L35"/>
    <mergeCell ref="M31:M35"/>
    <mergeCell ref="AF31:AF35"/>
    <mergeCell ref="AG31:AG35"/>
    <mergeCell ref="AH31:AH35"/>
    <mergeCell ref="AI31:AI35"/>
    <mergeCell ref="AJ31:AJ35"/>
    <mergeCell ref="AK31:AK35"/>
    <mergeCell ref="N32:N34"/>
    <mergeCell ref="O32:O34"/>
    <mergeCell ref="P32:P34"/>
    <mergeCell ref="Q32:Q34"/>
    <mergeCell ref="R32:R34"/>
    <mergeCell ref="S32:S34"/>
    <mergeCell ref="T32:T34"/>
    <mergeCell ref="U32:U34"/>
    <mergeCell ref="V32:V34"/>
    <mergeCell ref="W32:W34"/>
    <mergeCell ref="X32:X34"/>
    <mergeCell ref="Y32:Y34"/>
    <mergeCell ref="G36:G40"/>
    <mergeCell ref="H36:H40"/>
    <mergeCell ref="I36:I40"/>
    <mergeCell ref="J36:J40"/>
    <mergeCell ref="K36:K40"/>
    <mergeCell ref="L36:L40"/>
    <mergeCell ref="M36:M40"/>
    <mergeCell ref="AF36:AF40"/>
    <mergeCell ref="AG36:AG40"/>
    <mergeCell ref="AH36:AH40"/>
    <mergeCell ref="AI36:AI40"/>
    <mergeCell ref="AJ36:AJ40"/>
    <mergeCell ref="AK36:AK40"/>
    <mergeCell ref="N37:N39"/>
    <mergeCell ref="O37:O39"/>
    <mergeCell ref="P37:P39"/>
    <mergeCell ref="Q37:Q39"/>
    <mergeCell ref="R37:R39"/>
    <mergeCell ref="S37:S39"/>
    <mergeCell ref="T37:T39"/>
    <mergeCell ref="U37:U39"/>
    <mergeCell ref="V37:V39"/>
    <mergeCell ref="W37:W39"/>
    <mergeCell ref="X37:X39"/>
    <mergeCell ref="Y37:Y39"/>
    <mergeCell ref="G41:G46"/>
    <mergeCell ref="H41:H46"/>
    <mergeCell ref="I41:I46"/>
    <mergeCell ref="J41:J46"/>
    <mergeCell ref="K41:K46"/>
    <mergeCell ref="L41:L46"/>
    <mergeCell ref="M41:M46"/>
    <mergeCell ref="AF41:AF46"/>
    <mergeCell ref="AG41:AG46"/>
    <mergeCell ref="AH41:AH46"/>
    <mergeCell ref="AI41:AI46"/>
    <mergeCell ref="AJ41:AJ46"/>
    <mergeCell ref="AK41:AK46"/>
    <mergeCell ref="N42:N45"/>
    <mergeCell ref="O42:O45"/>
    <mergeCell ref="P42:P45"/>
    <mergeCell ref="Q42:Q45"/>
    <mergeCell ref="R42:R45"/>
    <mergeCell ref="S42:S45"/>
    <mergeCell ref="T42:T45"/>
    <mergeCell ref="U42:U45"/>
    <mergeCell ref="V42:V45"/>
    <mergeCell ref="W42:W45"/>
    <mergeCell ref="X42:X45"/>
    <mergeCell ref="Y42:Y45"/>
    <mergeCell ref="G47:G51"/>
    <mergeCell ref="H47:H51"/>
    <mergeCell ref="I47:I51"/>
    <mergeCell ref="J47:J51"/>
    <mergeCell ref="K47:K51"/>
    <mergeCell ref="L47:L51"/>
    <mergeCell ref="M47:M51"/>
    <mergeCell ref="AF47:AF51"/>
    <mergeCell ref="AG47:AG51"/>
    <mergeCell ref="AH47:AH51"/>
    <mergeCell ref="AI47:AI51"/>
    <mergeCell ref="AJ47:AJ51"/>
    <mergeCell ref="AK47:AK51"/>
    <mergeCell ref="N48:N50"/>
    <mergeCell ref="O48:O50"/>
    <mergeCell ref="P48:P50"/>
    <mergeCell ref="Q48:Q50"/>
    <mergeCell ref="R48:R50"/>
    <mergeCell ref="S48:S50"/>
    <mergeCell ref="T48:T50"/>
    <mergeCell ref="U48:U50"/>
    <mergeCell ref="V48:V50"/>
    <mergeCell ref="W48:W50"/>
    <mergeCell ref="X48:X50"/>
    <mergeCell ref="Y48:Y50"/>
    <mergeCell ref="G52:G56"/>
    <mergeCell ref="H52:H56"/>
    <mergeCell ref="I52:I56"/>
    <mergeCell ref="J52:J56"/>
    <mergeCell ref="K52:K56"/>
    <mergeCell ref="L52:L56"/>
    <mergeCell ref="M52:M56"/>
    <mergeCell ref="AF52:AF56"/>
    <mergeCell ref="AG52:AG56"/>
    <mergeCell ref="AH52:AH56"/>
    <mergeCell ref="AI52:AI56"/>
    <mergeCell ref="AJ52:AJ56"/>
    <mergeCell ref="AK52:AK56"/>
    <mergeCell ref="N53:N55"/>
    <mergeCell ref="O53:O55"/>
    <mergeCell ref="P53:P55"/>
    <mergeCell ref="Q53:Q55"/>
    <mergeCell ref="R53:R55"/>
    <mergeCell ref="S53:S55"/>
    <mergeCell ref="T53:T55"/>
    <mergeCell ref="U53:U55"/>
    <mergeCell ref="V53:V55"/>
    <mergeCell ref="W53:W55"/>
    <mergeCell ref="X53:X55"/>
    <mergeCell ref="Y53:Y55"/>
    <mergeCell ref="I57:K57"/>
    <mergeCell ref="F58:F94"/>
    <mergeCell ref="G58:G62"/>
    <mergeCell ref="H58:H62"/>
    <mergeCell ref="I58:I62"/>
    <mergeCell ref="J58:J62"/>
    <mergeCell ref="K58:K62"/>
    <mergeCell ref="L58:L62"/>
    <mergeCell ref="M58:M62"/>
    <mergeCell ref="AF58:AF62"/>
    <mergeCell ref="AG58:AG62"/>
    <mergeCell ref="AH58:AH62"/>
    <mergeCell ref="AI58:AI62"/>
    <mergeCell ref="AJ58:AJ62"/>
    <mergeCell ref="AK58:AK62"/>
    <mergeCell ref="N59:N61"/>
    <mergeCell ref="O59:O61"/>
    <mergeCell ref="P59:P61"/>
    <mergeCell ref="Q59:Q61"/>
    <mergeCell ref="R59:R61"/>
    <mergeCell ref="S59:S61"/>
    <mergeCell ref="T59:T61"/>
    <mergeCell ref="U59:U61"/>
    <mergeCell ref="V59:V61"/>
    <mergeCell ref="W59:W61"/>
    <mergeCell ref="X59:X61"/>
    <mergeCell ref="Y59:Y61"/>
    <mergeCell ref="G63:G67"/>
    <mergeCell ref="H63:H67"/>
    <mergeCell ref="I63:I67"/>
    <mergeCell ref="J63:J67"/>
    <mergeCell ref="K63:K67"/>
    <mergeCell ref="L63:L67"/>
    <mergeCell ref="M63:M67"/>
    <mergeCell ref="AF63:AF67"/>
    <mergeCell ref="AG63:AG67"/>
    <mergeCell ref="AH63:AH67"/>
    <mergeCell ref="AI63:AI67"/>
    <mergeCell ref="AJ63:AJ67"/>
    <mergeCell ref="AK63:AK67"/>
    <mergeCell ref="N64:N66"/>
    <mergeCell ref="O64:O66"/>
    <mergeCell ref="P64:P66"/>
    <mergeCell ref="Q64:Q66"/>
    <mergeCell ref="R64:R66"/>
    <mergeCell ref="S64:S66"/>
    <mergeCell ref="T64:T66"/>
    <mergeCell ref="U64:U66"/>
    <mergeCell ref="V64:V66"/>
    <mergeCell ref="W64:W66"/>
    <mergeCell ref="X64:X66"/>
    <mergeCell ref="Y64:Y66"/>
    <mergeCell ref="G68:G73"/>
    <mergeCell ref="H68:H73"/>
    <mergeCell ref="I68:I73"/>
    <mergeCell ref="J68:J73"/>
    <mergeCell ref="K68:K73"/>
    <mergeCell ref="L68:L73"/>
    <mergeCell ref="M68:M73"/>
    <mergeCell ref="AF68:AF73"/>
    <mergeCell ref="AG68:AG73"/>
    <mergeCell ref="AH68:AH73"/>
    <mergeCell ref="AI68:AI73"/>
    <mergeCell ref="AJ68:AJ73"/>
    <mergeCell ref="AK68:AK73"/>
    <mergeCell ref="N69:N72"/>
    <mergeCell ref="O69:O72"/>
    <mergeCell ref="P69:P72"/>
    <mergeCell ref="Q69:Q72"/>
    <mergeCell ref="R69:R72"/>
    <mergeCell ref="S69:S72"/>
    <mergeCell ref="T69:T72"/>
    <mergeCell ref="U69:U72"/>
    <mergeCell ref="V69:V72"/>
    <mergeCell ref="W69:W72"/>
    <mergeCell ref="X69:X72"/>
    <mergeCell ref="Y69:Y72"/>
    <mergeCell ref="G74:G78"/>
    <mergeCell ref="H74:H78"/>
    <mergeCell ref="I74:I78"/>
    <mergeCell ref="J74:J78"/>
    <mergeCell ref="K74:K78"/>
    <mergeCell ref="L74:L78"/>
    <mergeCell ref="M74:M78"/>
    <mergeCell ref="AF74:AF78"/>
    <mergeCell ref="AG74:AG78"/>
    <mergeCell ref="AH74:AH78"/>
    <mergeCell ref="AI74:AI78"/>
    <mergeCell ref="AJ74:AJ78"/>
    <mergeCell ref="AK74:AK78"/>
    <mergeCell ref="N75:N77"/>
    <mergeCell ref="O75:O77"/>
    <mergeCell ref="P75:P77"/>
    <mergeCell ref="Q75:Q77"/>
    <mergeCell ref="R75:R77"/>
    <mergeCell ref="S75:S77"/>
    <mergeCell ref="T75:T77"/>
    <mergeCell ref="U75:U77"/>
    <mergeCell ref="V75:V77"/>
    <mergeCell ref="W75:W77"/>
    <mergeCell ref="X75:X77"/>
    <mergeCell ref="Y75:Y77"/>
    <mergeCell ref="G79:G83"/>
    <mergeCell ref="H79:H83"/>
    <mergeCell ref="I79:I83"/>
    <mergeCell ref="J79:J83"/>
    <mergeCell ref="K79:K83"/>
    <mergeCell ref="L79:L83"/>
    <mergeCell ref="M79:M83"/>
    <mergeCell ref="AF79:AF83"/>
    <mergeCell ref="AG79:AG83"/>
    <mergeCell ref="AH79:AH83"/>
    <mergeCell ref="AI79:AI83"/>
    <mergeCell ref="AJ79:AJ83"/>
    <mergeCell ref="AK79:AK83"/>
    <mergeCell ref="N80:N82"/>
    <mergeCell ref="O80:O82"/>
    <mergeCell ref="P80:P82"/>
    <mergeCell ref="Q80:Q82"/>
    <mergeCell ref="R80:R82"/>
    <mergeCell ref="S80:S82"/>
    <mergeCell ref="T80:T82"/>
    <mergeCell ref="U80:U82"/>
    <mergeCell ref="V80:V82"/>
    <mergeCell ref="W80:W82"/>
    <mergeCell ref="X80:X82"/>
    <mergeCell ref="Y80:Y82"/>
    <mergeCell ref="G84:G88"/>
    <mergeCell ref="H84:H88"/>
    <mergeCell ref="I84:I88"/>
    <mergeCell ref="J84:J88"/>
    <mergeCell ref="K84:K88"/>
    <mergeCell ref="L84:L88"/>
    <mergeCell ref="M84:M88"/>
    <mergeCell ref="AF84:AF88"/>
    <mergeCell ref="AG84:AG88"/>
    <mergeCell ref="AH84:AH88"/>
    <mergeCell ref="AI84:AI88"/>
    <mergeCell ref="AJ84:AJ88"/>
    <mergeCell ref="AK84:AK88"/>
    <mergeCell ref="N85:N87"/>
    <mergeCell ref="O85:O87"/>
    <mergeCell ref="P85:P87"/>
    <mergeCell ref="Q85:Q87"/>
    <mergeCell ref="R85:R87"/>
    <mergeCell ref="S85:S87"/>
    <mergeCell ref="T85:T87"/>
    <mergeCell ref="U85:U87"/>
    <mergeCell ref="V85:V87"/>
    <mergeCell ref="W85:W87"/>
    <mergeCell ref="X85:X87"/>
    <mergeCell ref="Y85:Y87"/>
    <mergeCell ref="G89:G93"/>
    <mergeCell ref="H89:H93"/>
    <mergeCell ref="I89:I93"/>
    <mergeCell ref="J89:J93"/>
    <mergeCell ref="K89:K93"/>
    <mergeCell ref="L89:L93"/>
    <mergeCell ref="M89:M93"/>
    <mergeCell ref="AF89:AF93"/>
    <mergeCell ref="AG89:AG93"/>
    <mergeCell ref="AH89:AH93"/>
    <mergeCell ref="AI89:AI93"/>
    <mergeCell ref="AJ89:AJ93"/>
    <mergeCell ref="AK89:AK93"/>
    <mergeCell ref="N90:N92"/>
    <mergeCell ref="O90:O92"/>
    <mergeCell ref="P90:P92"/>
    <mergeCell ref="Q90:Q92"/>
    <mergeCell ref="R90:R92"/>
    <mergeCell ref="S90:S92"/>
    <mergeCell ref="T90:T92"/>
    <mergeCell ref="U90:U92"/>
    <mergeCell ref="V90:V92"/>
    <mergeCell ref="W90:W92"/>
    <mergeCell ref="X90:X92"/>
    <mergeCell ref="Y90:Y92"/>
    <mergeCell ref="I94:K94"/>
    <mergeCell ref="F95:F136"/>
    <mergeCell ref="G95:G99"/>
    <mergeCell ref="H95:H99"/>
    <mergeCell ref="I95:I99"/>
    <mergeCell ref="J95:J99"/>
    <mergeCell ref="K95:K99"/>
    <mergeCell ref="L95:L99"/>
    <mergeCell ref="M95:M99"/>
    <mergeCell ref="AF95:AF99"/>
    <mergeCell ref="AG95:AG99"/>
    <mergeCell ref="AH95:AH99"/>
    <mergeCell ref="AI95:AI99"/>
    <mergeCell ref="AJ95:AJ99"/>
    <mergeCell ref="AK95:AK99"/>
    <mergeCell ref="N96:N98"/>
    <mergeCell ref="O96:O98"/>
    <mergeCell ref="P96:P98"/>
    <mergeCell ref="Q96:Q98"/>
    <mergeCell ref="R96:R98"/>
    <mergeCell ref="S96:S98"/>
    <mergeCell ref="T96:T98"/>
    <mergeCell ref="U96:U98"/>
    <mergeCell ref="V96:V98"/>
    <mergeCell ref="W96:W98"/>
    <mergeCell ref="X96:X98"/>
    <mergeCell ref="Y96:Y98"/>
    <mergeCell ref="G100:G104"/>
    <mergeCell ref="H100:H104"/>
    <mergeCell ref="I100:I104"/>
    <mergeCell ref="J100:J104"/>
    <mergeCell ref="K100:K104"/>
    <mergeCell ref="L100:L104"/>
    <mergeCell ref="M100:M104"/>
    <mergeCell ref="AF100:AF104"/>
    <mergeCell ref="AG100:AG104"/>
    <mergeCell ref="AH100:AH104"/>
    <mergeCell ref="AI100:AI104"/>
    <mergeCell ref="AJ100:AJ104"/>
    <mergeCell ref="AK100:AK104"/>
    <mergeCell ref="N101:N103"/>
    <mergeCell ref="O101:O103"/>
    <mergeCell ref="P101:P103"/>
    <mergeCell ref="Q101:Q103"/>
    <mergeCell ref="R101:R103"/>
    <mergeCell ref="S101:S103"/>
    <mergeCell ref="T101:T103"/>
    <mergeCell ref="U101:U103"/>
    <mergeCell ref="V101:V103"/>
    <mergeCell ref="W101:W103"/>
    <mergeCell ref="X101:X103"/>
    <mergeCell ref="Y101:Y103"/>
    <mergeCell ref="G105:G110"/>
    <mergeCell ref="H105:H110"/>
    <mergeCell ref="I105:I110"/>
    <mergeCell ref="J105:J110"/>
    <mergeCell ref="K105:K110"/>
    <mergeCell ref="L105:L110"/>
    <mergeCell ref="M105:M110"/>
    <mergeCell ref="AF105:AF110"/>
    <mergeCell ref="AG105:AG110"/>
    <mergeCell ref="AH105:AH110"/>
    <mergeCell ref="AI105:AI110"/>
    <mergeCell ref="AJ105:AJ110"/>
    <mergeCell ref="AK105:AK110"/>
    <mergeCell ref="N106:N109"/>
    <mergeCell ref="O106:O109"/>
    <mergeCell ref="P106:P109"/>
    <mergeCell ref="Q106:Q109"/>
    <mergeCell ref="R106:R109"/>
    <mergeCell ref="S106:S109"/>
    <mergeCell ref="T106:T109"/>
    <mergeCell ref="U106:U109"/>
    <mergeCell ref="V106:V109"/>
    <mergeCell ref="W106:W109"/>
    <mergeCell ref="X106:X109"/>
    <mergeCell ref="Y106:Y109"/>
    <mergeCell ref="G111:G115"/>
    <mergeCell ref="H111:H115"/>
    <mergeCell ref="I111:I115"/>
    <mergeCell ref="J111:J115"/>
    <mergeCell ref="K111:K115"/>
    <mergeCell ref="L111:L115"/>
    <mergeCell ref="M111:M115"/>
    <mergeCell ref="AF111:AF115"/>
    <mergeCell ref="AG111:AG115"/>
    <mergeCell ref="AH111:AH115"/>
    <mergeCell ref="AI111:AI115"/>
    <mergeCell ref="AJ111:AJ115"/>
    <mergeCell ref="AK111:AK115"/>
    <mergeCell ref="N112:N114"/>
    <mergeCell ref="O112:O114"/>
    <mergeCell ref="P112:P114"/>
    <mergeCell ref="Q112:Q114"/>
    <mergeCell ref="R112:R114"/>
    <mergeCell ref="S112:S114"/>
    <mergeCell ref="T112:T114"/>
    <mergeCell ref="U112:U114"/>
    <mergeCell ref="V112:V114"/>
    <mergeCell ref="W112:W114"/>
    <mergeCell ref="X112:X114"/>
    <mergeCell ref="Y112:Y114"/>
    <mergeCell ref="G116:G120"/>
    <mergeCell ref="H116:H120"/>
    <mergeCell ref="I116:I120"/>
    <mergeCell ref="J116:J120"/>
    <mergeCell ref="K116:K120"/>
    <mergeCell ref="L116:L120"/>
    <mergeCell ref="M116:M120"/>
    <mergeCell ref="AF116:AF120"/>
    <mergeCell ref="AG116:AG120"/>
    <mergeCell ref="AH116:AH120"/>
    <mergeCell ref="AI116:AI120"/>
    <mergeCell ref="AJ116:AJ120"/>
    <mergeCell ref="AK116:AK120"/>
    <mergeCell ref="N117:N119"/>
    <mergeCell ref="O117:O119"/>
    <mergeCell ref="P117:P119"/>
    <mergeCell ref="Q117:Q119"/>
    <mergeCell ref="R117:R119"/>
    <mergeCell ref="S117:S119"/>
    <mergeCell ref="T117:T119"/>
    <mergeCell ref="U117:U119"/>
    <mergeCell ref="V117:V119"/>
    <mergeCell ref="W117:W119"/>
    <mergeCell ref="X117:X119"/>
    <mergeCell ref="Y117:Y119"/>
    <mergeCell ref="G121:G125"/>
    <mergeCell ref="H121:H125"/>
    <mergeCell ref="I121:I125"/>
    <mergeCell ref="J121:J125"/>
    <mergeCell ref="K121:K125"/>
    <mergeCell ref="L121:L125"/>
    <mergeCell ref="M121:M125"/>
    <mergeCell ref="AF121:AF125"/>
    <mergeCell ref="AG121:AG125"/>
    <mergeCell ref="AH121:AH125"/>
    <mergeCell ref="AI121:AI125"/>
    <mergeCell ref="AJ121:AJ125"/>
    <mergeCell ref="AK121:AK125"/>
    <mergeCell ref="N122:N124"/>
    <mergeCell ref="O122:O124"/>
    <mergeCell ref="P122:P124"/>
    <mergeCell ref="Q122:Q124"/>
    <mergeCell ref="R122:R124"/>
    <mergeCell ref="S122:S124"/>
    <mergeCell ref="T122:T124"/>
    <mergeCell ref="U122:U124"/>
    <mergeCell ref="V122:V124"/>
    <mergeCell ref="W122:W124"/>
    <mergeCell ref="X122:X124"/>
    <mergeCell ref="Y122:Y124"/>
    <mergeCell ref="G126:G130"/>
    <mergeCell ref="H126:H130"/>
    <mergeCell ref="I126:I130"/>
    <mergeCell ref="J126:J130"/>
    <mergeCell ref="K126:K130"/>
    <mergeCell ref="L126:L130"/>
    <mergeCell ref="M126:M130"/>
    <mergeCell ref="AF126:AF130"/>
    <mergeCell ref="AG126:AG130"/>
    <mergeCell ref="AH126:AH130"/>
    <mergeCell ref="AI126:AI130"/>
    <mergeCell ref="AJ126:AJ130"/>
    <mergeCell ref="AK126:AK130"/>
    <mergeCell ref="N127:N129"/>
    <mergeCell ref="O127:O129"/>
    <mergeCell ref="P127:P129"/>
    <mergeCell ref="Q127:Q129"/>
    <mergeCell ref="R127:R129"/>
    <mergeCell ref="S127:S129"/>
    <mergeCell ref="T127:T129"/>
    <mergeCell ref="U127:U129"/>
    <mergeCell ref="V127:V129"/>
    <mergeCell ref="W127:W129"/>
    <mergeCell ref="X127:X129"/>
    <mergeCell ref="Y127:Y129"/>
    <mergeCell ref="G131:G135"/>
    <mergeCell ref="H131:H135"/>
    <mergeCell ref="I131:I135"/>
    <mergeCell ref="J131:J135"/>
    <mergeCell ref="K131:K135"/>
    <mergeCell ref="L131:L135"/>
    <mergeCell ref="M131:M135"/>
    <mergeCell ref="AF131:AF135"/>
    <mergeCell ref="AG131:AG135"/>
    <mergeCell ref="AH131:AH135"/>
    <mergeCell ref="AI131:AI135"/>
    <mergeCell ref="AJ131:AJ135"/>
    <mergeCell ref="AK131:AK135"/>
    <mergeCell ref="N132:N134"/>
    <mergeCell ref="O132:O134"/>
    <mergeCell ref="P132:P134"/>
    <mergeCell ref="Q132:Q134"/>
    <mergeCell ref="R132:R134"/>
    <mergeCell ref="S132:S134"/>
    <mergeCell ref="T132:T134"/>
    <mergeCell ref="U132:U134"/>
    <mergeCell ref="V132:V134"/>
    <mergeCell ref="W132:W134"/>
    <mergeCell ref="X132:X134"/>
    <mergeCell ref="Y132:Y134"/>
    <mergeCell ref="I136:K136"/>
    <mergeCell ref="F137:F168"/>
    <mergeCell ref="G137:G141"/>
    <mergeCell ref="H137:H141"/>
    <mergeCell ref="I137:I141"/>
    <mergeCell ref="J137:J141"/>
    <mergeCell ref="K137:K141"/>
    <mergeCell ref="L137:L141"/>
    <mergeCell ref="M137:M141"/>
    <mergeCell ref="AF137:AF141"/>
    <mergeCell ref="AG137:AG141"/>
    <mergeCell ref="AH137:AH141"/>
    <mergeCell ref="AI137:AI141"/>
    <mergeCell ref="AJ137:AJ141"/>
    <mergeCell ref="AK137:AK141"/>
    <mergeCell ref="N138:N140"/>
    <mergeCell ref="O138:O140"/>
    <mergeCell ref="P138:P140"/>
    <mergeCell ref="Q138:Q140"/>
    <mergeCell ref="R138:R140"/>
    <mergeCell ref="S138:S140"/>
    <mergeCell ref="T138:T140"/>
    <mergeCell ref="U138:U140"/>
    <mergeCell ref="V138:V140"/>
    <mergeCell ref="W138:W140"/>
    <mergeCell ref="X138:X140"/>
    <mergeCell ref="Y138:Y140"/>
    <mergeCell ref="G142:G146"/>
    <mergeCell ref="H142:H146"/>
    <mergeCell ref="I142:I146"/>
    <mergeCell ref="J142:J146"/>
    <mergeCell ref="K142:K146"/>
    <mergeCell ref="L142:L146"/>
    <mergeCell ref="M142:M146"/>
    <mergeCell ref="AF142:AF146"/>
    <mergeCell ref="AG142:AG146"/>
    <mergeCell ref="AH142:AH146"/>
    <mergeCell ref="AI142:AI146"/>
    <mergeCell ref="AJ142:AJ146"/>
    <mergeCell ref="AK142:AK146"/>
    <mergeCell ref="N143:N145"/>
    <mergeCell ref="O143:O145"/>
    <mergeCell ref="P143:P145"/>
    <mergeCell ref="Q143:Q145"/>
    <mergeCell ref="R143:R145"/>
    <mergeCell ref="S143:S145"/>
    <mergeCell ref="T143:T145"/>
    <mergeCell ref="U143:U145"/>
    <mergeCell ref="V143:V145"/>
    <mergeCell ref="W143:W145"/>
    <mergeCell ref="X143:X145"/>
    <mergeCell ref="Y143:Y145"/>
    <mergeCell ref="G147:G152"/>
    <mergeCell ref="H147:H152"/>
    <mergeCell ref="I147:I152"/>
    <mergeCell ref="J147:J152"/>
    <mergeCell ref="K147:K152"/>
    <mergeCell ref="L147:L152"/>
    <mergeCell ref="M147:M152"/>
    <mergeCell ref="AF147:AF152"/>
    <mergeCell ref="AG147:AG152"/>
    <mergeCell ref="AH147:AH152"/>
    <mergeCell ref="AI147:AI152"/>
    <mergeCell ref="AJ147:AJ152"/>
    <mergeCell ref="AK147:AK152"/>
    <mergeCell ref="N148:N151"/>
    <mergeCell ref="O148:O151"/>
    <mergeCell ref="P148:P151"/>
    <mergeCell ref="Q148:Q151"/>
    <mergeCell ref="R148:R151"/>
    <mergeCell ref="S148:S151"/>
    <mergeCell ref="T148:T151"/>
    <mergeCell ref="U148:U151"/>
    <mergeCell ref="V148:V151"/>
    <mergeCell ref="W148:W151"/>
    <mergeCell ref="X148:X151"/>
    <mergeCell ref="Y148:Y151"/>
    <mergeCell ref="G153:G157"/>
    <mergeCell ref="H153:H157"/>
    <mergeCell ref="I153:I157"/>
    <mergeCell ref="J153:J157"/>
    <mergeCell ref="K153:K157"/>
    <mergeCell ref="L153:L157"/>
    <mergeCell ref="M153:M157"/>
    <mergeCell ref="AF153:AF157"/>
    <mergeCell ref="AG153:AG157"/>
    <mergeCell ref="AH153:AH157"/>
    <mergeCell ref="AI153:AI157"/>
    <mergeCell ref="AJ153:AJ157"/>
    <mergeCell ref="AK153:AK157"/>
    <mergeCell ref="N154:N156"/>
    <mergeCell ref="O154:O156"/>
    <mergeCell ref="P154:P156"/>
    <mergeCell ref="Q154:Q156"/>
    <mergeCell ref="R154:R156"/>
    <mergeCell ref="S154:S156"/>
    <mergeCell ref="T154:T156"/>
    <mergeCell ref="U154:U156"/>
    <mergeCell ref="V154:V156"/>
    <mergeCell ref="W154:W156"/>
    <mergeCell ref="X154:X156"/>
    <mergeCell ref="Y154:Y156"/>
    <mergeCell ref="G158:G162"/>
    <mergeCell ref="H158:H162"/>
    <mergeCell ref="I158:I162"/>
    <mergeCell ref="J158:J162"/>
    <mergeCell ref="K158:K162"/>
    <mergeCell ref="L158:L162"/>
    <mergeCell ref="M158:M162"/>
    <mergeCell ref="AF158:AF162"/>
    <mergeCell ref="AG158:AG162"/>
    <mergeCell ref="AH158:AH162"/>
    <mergeCell ref="AI158:AI162"/>
    <mergeCell ref="AJ158:AJ162"/>
    <mergeCell ref="AK158:AK162"/>
    <mergeCell ref="N159:N161"/>
    <mergeCell ref="O159:O161"/>
    <mergeCell ref="P159:P161"/>
    <mergeCell ref="Q159:Q161"/>
    <mergeCell ref="R159:R161"/>
    <mergeCell ref="S159:S161"/>
    <mergeCell ref="T159:T161"/>
    <mergeCell ref="U159:U161"/>
    <mergeCell ref="V159:V161"/>
    <mergeCell ref="W159:W161"/>
    <mergeCell ref="X159:X161"/>
    <mergeCell ref="Y159:Y161"/>
    <mergeCell ref="G163:G167"/>
    <mergeCell ref="H163:H167"/>
    <mergeCell ref="I163:I167"/>
    <mergeCell ref="J163:J167"/>
    <mergeCell ref="K163:K167"/>
    <mergeCell ref="L163:L167"/>
    <mergeCell ref="M163:M167"/>
    <mergeCell ref="AF163:AF167"/>
    <mergeCell ref="AG163:AG167"/>
    <mergeCell ref="AH163:AH167"/>
    <mergeCell ref="AI163:AI167"/>
    <mergeCell ref="AJ163:AJ167"/>
    <mergeCell ref="AK163:AK167"/>
    <mergeCell ref="N164:N166"/>
    <mergeCell ref="O164:O166"/>
    <mergeCell ref="P164:P166"/>
    <mergeCell ref="Q164:Q166"/>
    <mergeCell ref="R164:R166"/>
    <mergeCell ref="S164:S166"/>
    <mergeCell ref="T164:T166"/>
    <mergeCell ref="U164:U166"/>
    <mergeCell ref="V164:V166"/>
    <mergeCell ref="W164:W166"/>
    <mergeCell ref="X164:X166"/>
    <mergeCell ref="Y164:Y166"/>
    <mergeCell ref="I168:K168"/>
    <mergeCell ref="F169:F194"/>
    <mergeCell ref="G169:G173"/>
    <mergeCell ref="H169:H173"/>
    <mergeCell ref="I169:I173"/>
    <mergeCell ref="J169:J173"/>
    <mergeCell ref="K169:K173"/>
    <mergeCell ref="L169:L173"/>
    <mergeCell ref="M169:M173"/>
    <mergeCell ref="AF169:AF173"/>
    <mergeCell ref="AG169:AG173"/>
    <mergeCell ref="AH169:AH173"/>
    <mergeCell ref="AI169:AI173"/>
    <mergeCell ref="AJ169:AJ173"/>
    <mergeCell ref="AK169:AK173"/>
    <mergeCell ref="N170:N172"/>
    <mergeCell ref="O170:O172"/>
    <mergeCell ref="P170:P172"/>
    <mergeCell ref="Q170:Q172"/>
    <mergeCell ref="R170:R172"/>
    <mergeCell ref="S170:S172"/>
    <mergeCell ref="T170:T172"/>
    <mergeCell ref="U170:U172"/>
    <mergeCell ref="V170:V172"/>
    <mergeCell ref="W170:W172"/>
    <mergeCell ref="X170:X172"/>
    <mergeCell ref="Y170:Y172"/>
    <mergeCell ref="G174:G178"/>
    <mergeCell ref="H174:H178"/>
    <mergeCell ref="I174:I178"/>
    <mergeCell ref="J174:J178"/>
    <mergeCell ref="K174:K178"/>
    <mergeCell ref="L174:L178"/>
    <mergeCell ref="M174:M178"/>
    <mergeCell ref="AF174:AF178"/>
    <mergeCell ref="AG174:AG178"/>
    <mergeCell ref="AH174:AH178"/>
    <mergeCell ref="AI174:AI178"/>
    <mergeCell ref="AJ174:AJ178"/>
    <mergeCell ref="AK174:AK178"/>
    <mergeCell ref="N175:N177"/>
    <mergeCell ref="O175:O177"/>
    <mergeCell ref="P175:P177"/>
    <mergeCell ref="Q175:Q177"/>
    <mergeCell ref="R175:R177"/>
    <mergeCell ref="S175:S177"/>
    <mergeCell ref="T175:T177"/>
    <mergeCell ref="U175:U177"/>
    <mergeCell ref="V175:V177"/>
    <mergeCell ref="W175:W177"/>
    <mergeCell ref="X175:X177"/>
    <mergeCell ref="Y175:Y177"/>
    <mergeCell ref="G179:G183"/>
    <mergeCell ref="H179:H183"/>
    <mergeCell ref="I179:I183"/>
    <mergeCell ref="J179:J183"/>
    <mergeCell ref="K179:K183"/>
    <mergeCell ref="L179:L183"/>
    <mergeCell ref="M179:M183"/>
    <mergeCell ref="AF179:AF183"/>
    <mergeCell ref="AG179:AG183"/>
    <mergeCell ref="AH179:AH183"/>
    <mergeCell ref="AI179:AI183"/>
    <mergeCell ref="AJ179:AJ183"/>
    <mergeCell ref="AK179:AK183"/>
    <mergeCell ref="N180:N182"/>
    <mergeCell ref="O180:O182"/>
    <mergeCell ref="P180:P182"/>
    <mergeCell ref="Q180:Q182"/>
    <mergeCell ref="R180:R182"/>
    <mergeCell ref="S180:S182"/>
    <mergeCell ref="T180:T182"/>
    <mergeCell ref="U180:U182"/>
    <mergeCell ref="V180:V182"/>
    <mergeCell ref="W180:W182"/>
    <mergeCell ref="X180:X182"/>
    <mergeCell ref="Y180:Y182"/>
    <mergeCell ref="G184:G188"/>
    <mergeCell ref="H184:H188"/>
    <mergeCell ref="I184:I188"/>
    <mergeCell ref="J184:J188"/>
    <mergeCell ref="K184:K188"/>
    <mergeCell ref="L184:L188"/>
    <mergeCell ref="M184:M188"/>
    <mergeCell ref="AF184:AF188"/>
    <mergeCell ref="AG184:AG188"/>
    <mergeCell ref="AH184:AH188"/>
    <mergeCell ref="AI184:AI188"/>
    <mergeCell ref="AJ184:AJ188"/>
    <mergeCell ref="AK184:AK188"/>
    <mergeCell ref="N185:N187"/>
    <mergeCell ref="O185:O187"/>
    <mergeCell ref="P185:P187"/>
    <mergeCell ref="Q185:Q187"/>
    <mergeCell ref="R185:R187"/>
    <mergeCell ref="S185:S187"/>
    <mergeCell ref="T185:T187"/>
    <mergeCell ref="U185:U187"/>
    <mergeCell ref="V185:V187"/>
    <mergeCell ref="W185:W187"/>
    <mergeCell ref="X185:X187"/>
    <mergeCell ref="Y185:Y187"/>
    <mergeCell ref="G189:G193"/>
    <mergeCell ref="H189:H193"/>
    <mergeCell ref="I189:I193"/>
    <mergeCell ref="J189:J193"/>
    <mergeCell ref="K189:K193"/>
    <mergeCell ref="L189:L193"/>
    <mergeCell ref="M189:M193"/>
    <mergeCell ref="AF189:AF193"/>
    <mergeCell ref="AG189:AG193"/>
    <mergeCell ref="AH189:AH193"/>
    <mergeCell ref="AI189:AI193"/>
    <mergeCell ref="AJ189:AJ193"/>
    <mergeCell ref="AK189:AK193"/>
    <mergeCell ref="N190:N192"/>
    <mergeCell ref="O190:O192"/>
    <mergeCell ref="P190:P192"/>
    <mergeCell ref="Q190:Q192"/>
    <mergeCell ref="R190:R192"/>
    <mergeCell ref="S190:S192"/>
    <mergeCell ref="T190:T192"/>
    <mergeCell ref="U190:U192"/>
    <mergeCell ref="V190:V192"/>
    <mergeCell ref="W190:W192"/>
    <mergeCell ref="X190:X192"/>
    <mergeCell ref="Y190:Y192"/>
    <mergeCell ref="I194:K194"/>
    <mergeCell ref="F195:F225"/>
    <mergeCell ref="G195:G199"/>
    <mergeCell ref="H195:H199"/>
    <mergeCell ref="I195:I199"/>
    <mergeCell ref="J195:J199"/>
    <mergeCell ref="K195:K199"/>
    <mergeCell ref="L195:L199"/>
    <mergeCell ref="M195:M199"/>
    <mergeCell ref="AF195:AF199"/>
    <mergeCell ref="AG195:AG199"/>
    <mergeCell ref="AH195:AH199"/>
    <mergeCell ref="AI195:AI199"/>
    <mergeCell ref="AJ195:AJ199"/>
    <mergeCell ref="AK195:AK199"/>
    <mergeCell ref="N196:N198"/>
    <mergeCell ref="O196:O198"/>
    <mergeCell ref="P196:P198"/>
    <mergeCell ref="Q196:Q198"/>
    <mergeCell ref="R196:R198"/>
    <mergeCell ref="S196:S198"/>
    <mergeCell ref="T196:T198"/>
    <mergeCell ref="U196:U198"/>
    <mergeCell ref="V196:V198"/>
    <mergeCell ref="W196:W198"/>
    <mergeCell ref="X196:X198"/>
    <mergeCell ref="Y196:Y198"/>
    <mergeCell ref="G200:G204"/>
    <mergeCell ref="H200:H204"/>
    <mergeCell ref="I200:I204"/>
    <mergeCell ref="J200:J204"/>
    <mergeCell ref="K200:K204"/>
    <mergeCell ref="L200:L204"/>
    <mergeCell ref="M200:M204"/>
    <mergeCell ref="AF200:AF204"/>
    <mergeCell ref="AG200:AG204"/>
    <mergeCell ref="AH200:AH204"/>
    <mergeCell ref="AI200:AI204"/>
    <mergeCell ref="AJ200:AJ204"/>
    <mergeCell ref="AK200:AK204"/>
    <mergeCell ref="N201:N203"/>
    <mergeCell ref="O201:O203"/>
    <mergeCell ref="P201:P203"/>
    <mergeCell ref="Q201:Q203"/>
    <mergeCell ref="R201:R203"/>
    <mergeCell ref="S201:S203"/>
    <mergeCell ref="T201:T203"/>
    <mergeCell ref="U201:U203"/>
    <mergeCell ref="V201:V203"/>
    <mergeCell ref="W201:W203"/>
    <mergeCell ref="X201:X203"/>
    <mergeCell ref="Y201:Y203"/>
    <mergeCell ref="G205:G209"/>
    <mergeCell ref="H205:H209"/>
    <mergeCell ref="I205:I209"/>
    <mergeCell ref="J205:J209"/>
    <mergeCell ref="K205:K209"/>
    <mergeCell ref="L205:L209"/>
    <mergeCell ref="M205:M209"/>
    <mergeCell ref="AF205:AF209"/>
    <mergeCell ref="AG205:AG209"/>
    <mergeCell ref="AH205:AH209"/>
    <mergeCell ref="AI205:AI209"/>
    <mergeCell ref="AJ205:AJ209"/>
    <mergeCell ref="AK205:AK209"/>
    <mergeCell ref="N206:N208"/>
    <mergeCell ref="O206:O208"/>
    <mergeCell ref="P206:P208"/>
    <mergeCell ref="Q206:Q208"/>
    <mergeCell ref="R206:R208"/>
    <mergeCell ref="S206:S208"/>
    <mergeCell ref="T206:T208"/>
    <mergeCell ref="U206:U208"/>
    <mergeCell ref="V206:V208"/>
    <mergeCell ref="W206:W208"/>
    <mergeCell ref="X206:X208"/>
    <mergeCell ref="Y206:Y208"/>
    <mergeCell ref="G210:G214"/>
    <mergeCell ref="H210:H214"/>
    <mergeCell ref="I210:I214"/>
    <mergeCell ref="J210:J214"/>
    <mergeCell ref="K210:K214"/>
    <mergeCell ref="L210:L214"/>
    <mergeCell ref="M210:M214"/>
    <mergeCell ref="AF210:AF214"/>
    <mergeCell ref="AG210:AG214"/>
    <mergeCell ref="AH210:AH214"/>
    <mergeCell ref="AI210:AI214"/>
    <mergeCell ref="AJ210:AJ214"/>
    <mergeCell ref="AK210:AK214"/>
    <mergeCell ref="N211:N213"/>
    <mergeCell ref="O211:O213"/>
    <mergeCell ref="P211:P213"/>
    <mergeCell ref="Q211:Q213"/>
    <mergeCell ref="R211:R213"/>
    <mergeCell ref="S211:S213"/>
    <mergeCell ref="T211:T213"/>
    <mergeCell ref="U211:U213"/>
    <mergeCell ref="V211:V213"/>
    <mergeCell ref="W211:W213"/>
    <mergeCell ref="X211:X213"/>
    <mergeCell ref="Y211:Y213"/>
    <mergeCell ref="G215:G219"/>
    <mergeCell ref="H215:H219"/>
    <mergeCell ref="I215:I219"/>
    <mergeCell ref="J215:J219"/>
    <mergeCell ref="K215:K219"/>
    <mergeCell ref="L215:L219"/>
    <mergeCell ref="M215:M219"/>
    <mergeCell ref="AF215:AF219"/>
    <mergeCell ref="AG215:AG219"/>
    <mergeCell ref="AH215:AH219"/>
    <mergeCell ref="AI215:AI219"/>
    <mergeCell ref="AJ215:AJ219"/>
    <mergeCell ref="AK215:AK219"/>
    <mergeCell ref="N216:N218"/>
    <mergeCell ref="O216:O218"/>
    <mergeCell ref="P216:P218"/>
    <mergeCell ref="Q216:Q218"/>
    <mergeCell ref="R216:R218"/>
    <mergeCell ref="S216:S218"/>
    <mergeCell ref="T216:T218"/>
    <mergeCell ref="U216:U218"/>
    <mergeCell ref="V216:V218"/>
    <mergeCell ref="W216:W218"/>
    <mergeCell ref="X216:X218"/>
    <mergeCell ref="Y216:Y218"/>
    <mergeCell ref="G220:G224"/>
    <mergeCell ref="H220:H224"/>
    <mergeCell ref="I220:I224"/>
    <mergeCell ref="J220:J224"/>
    <mergeCell ref="K220:K224"/>
    <mergeCell ref="L220:L224"/>
    <mergeCell ref="M220:M224"/>
    <mergeCell ref="AF220:AF224"/>
    <mergeCell ref="AG220:AG224"/>
    <mergeCell ref="AH220:AH224"/>
    <mergeCell ref="AI220:AI224"/>
    <mergeCell ref="AJ220:AJ224"/>
    <mergeCell ref="AK220:AK224"/>
    <mergeCell ref="N221:N223"/>
    <mergeCell ref="O221:O223"/>
    <mergeCell ref="P221:P223"/>
    <mergeCell ref="Q221:Q223"/>
    <mergeCell ref="R221:R223"/>
    <mergeCell ref="S221:S223"/>
    <mergeCell ref="T221:T223"/>
    <mergeCell ref="U221:U223"/>
    <mergeCell ref="V221:V223"/>
    <mergeCell ref="W221:W223"/>
    <mergeCell ref="X221:X223"/>
    <mergeCell ref="Y221:Y223"/>
    <mergeCell ref="I225:K225"/>
    <mergeCell ref="F229:J229"/>
    <mergeCell ref="F230:J230"/>
    <mergeCell ref="F231:J231"/>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035" disablePrompts="0">
        <x14:dataValidation xr:uid="{00A60015-0081-4CA5-B23C-00B40037001D}"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I15</xm:sqref>
        </x14:dataValidation>
        <x14:dataValidation xr:uid="{00EB00A0-000A-45C9-811C-0079002A004E}"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J15</xm:sqref>
        </x14:dataValidation>
        <x14:dataValidation xr:uid="{00B700AA-0025-4944-A00C-0040008200AB}" type="textLength" allowBlank="1" error="Допускается ввод не более 900 символов!" errorStyle="stop" errorTitle="Ошибка" imeMode="noControl" operator="lessThanOrEqual" showDropDown="0" showErrorMessage="1" showInputMessage="1">
          <x14:formula1>
            <xm:f>900</xm:f>
          </x14:formula1>
          <xm:sqref>K15</xm:sqref>
        </x14:dataValidation>
        <x14:dataValidation xr:uid="{005D002A-000E-4940-8FD5-00580032001A}" type="textLength" allowBlank="1" error="Допускается ввод не более 900 символов!" errorStyle="stop" errorTitle="Ошибка" imeMode="noControl" operator="lessThanOrEqual" showDropDown="0" showErrorMessage="1" showInputMessage="1">
          <x14:formula1>
            <xm:f>900</xm:f>
          </x14:formula1>
          <xm:sqref>M15</xm:sqref>
        </x14:dataValidation>
        <x14:dataValidation xr:uid="{00AD0091-009E-445F-B415-008900DE0046}"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AF15</xm:sqref>
        </x14:dataValidation>
        <x14:dataValidation xr:uid="{00BF007D-004B-4D14-8AFA-00AB000A00C8}"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AI15</xm:sqref>
        </x14:dataValidation>
        <x14:dataValidation xr:uid="{00FD00C8-00CE-4CE2-BB99-002300BD00CD}"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I16</xm:sqref>
        </x14:dataValidation>
        <x14:dataValidation xr:uid="{0075009D-00D0-442F-B344-00A600200000}"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J16</xm:sqref>
        </x14:dataValidation>
        <x14:dataValidation xr:uid="{008C00BB-00F1-46C4-B30F-0060002600AE}" type="textLength" allowBlank="1" error="Допускается ввод не более 900 символов!" errorStyle="stop" errorTitle="Ошибка" imeMode="noControl" operator="lessThanOrEqual" showDropDown="0" showErrorMessage="1" showInputMessage="1">
          <x14:formula1>
            <xm:f>900</xm:f>
          </x14:formula1>
          <xm:sqref>K16</xm:sqref>
        </x14:dataValidation>
        <x14:dataValidation xr:uid="{007F00D0-009A-41B2-84C6-001D006600FC}"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AF16</xm:sqref>
        </x14:dataValidation>
        <x14:dataValidation xr:uid="{00C10037-0059-4CC1-BBCE-009100F30058}"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AI16</xm:sqref>
        </x14:dataValidation>
        <x14:dataValidation xr:uid="{005B001E-009E-4FAD-AD0F-000100DD007A}"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I17</xm:sqref>
        </x14:dataValidation>
        <x14:dataValidation xr:uid="{006B0014-0024-476F-B736-0069007E00C4}"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J17</xm:sqref>
        </x14:dataValidation>
        <x14:dataValidation xr:uid="{002400BC-004C-4DCC-8008-007C0032008A}" type="textLength" allowBlank="1" error="Допускается ввод не более 900 символов!" errorStyle="stop" errorTitle="Ошибка" imeMode="noControl" operator="lessThanOrEqual" showDropDown="0" showErrorMessage="1" showInputMessage="1">
          <x14:formula1>
            <xm:f>900</xm:f>
          </x14:formula1>
          <xm:sqref>K17</xm:sqref>
        </x14:dataValidation>
        <x14:dataValidation xr:uid="{002000C2-0096-46A6-8C44-005F004D003F}"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AC17</xm:sqref>
        </x14:dataValidation>
        <x14:dataValidation xr:uid="{0027007D-00E7-4B62-95A3-00C900C40074}"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AE17</xm:sqref>
        </x14:dataValidation>
        <x14:dataValidation xr:uid="{00940040-00C4-490A-B8A1-00AF00E60065}"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AF17</xm:sqref>
        </x14:dataValidation>
        <x14:dataValidation xr:uid="{004800E7-008D-4408-8FAC-00D100BC00F6}"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AI17</xm:sqref>
        </x14:dataValidation>
        <x14:dataValidation xr:uid="{005000A1-000B-48DC-8EE8-0049004600DA}"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I18</xm:sqref>
        </x14:dataValidation>
        <x14:dataValidation xr:uid="{00B70059-00EF-4052-B73B-0072006A00CF}"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J18</xm:sqref>
        </x14:dataValidation>
        <x14:dataValidation xr:uid="{00C20073-00CD-48CC-B9C1-008C000800D5}" type="textLength" allowBlank="1" error="Допускается ввод не более 900 символов!" errorStyle="stop" errorTitle="Ошибка" imeMode="noControl" operator="lessThanOrEqual" showDropDown="0" showErrorMessage="1" showInputMessage="1">
          <x14:formula1>
            <xm:f>900</xm:f>
          </x14:formula1>
          <xm:sqref>K18</xm:sqref>
        </x14:dataValidation>
        <x14:dataValidation xr:uid="{00AB00DA-006C-48D1-B466-008500440089}"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AF18</xm:sqref>
        </x14:dataValidation>
        <x14:dataValidation xr:uid="{00FE00DF-00CD-412E-A648-002C002300B2}"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AI18</xm:sqref>
        </x14:dataValidation>
        <x14:dataValidation xr:uid="{00150041-0089-4A40-A2E0-003000510037}"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AF19</xm:sqref>
        </x14:dataValidation>
        <x14:dataValidation xr:uid="{00240020-0067-4B9A-9C58-00F400CD0091}"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AI19</xm:sqref>
        </x14:dataValidation>
        <x14:dataValidation xr:uid="{00C30029-0090-4D11-94A5-00B600A500AC}"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I58</xm:sqref>
        </x14:dataValidation>
        <x14:dataValidation xr:uid="{005900DF-0031-4A22-8B59-0052005500B3}"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J58</xm:sqref>
        </x14:dataValidation>
        <x14:dataValidation xr:uid="{002A00D7-0024-4198-A54D-00E3000F0082}" type="textLength" allowBlank="1" error="Допускается ввод не более 900 символов!" errorStyle="stop" errorTitle="Ошибка" imeMode="noControl" operator="lessThanOrEqual" showDropDown="0" showErrorMessage="1" showInputMessage="1">
          <x14:formula1>
            <xm:f>900</xm:f>
          </x14:formula1>
          <xm:sqref>K58</xm:sqref>
        </x14:dataValidation>
        <x14:dataValidation xr:uid="{00DE00B0-00A8-4132-AF47-008800CB00F1}" type="textLength" allowBlank="1" error="Допускается ввод не более 900 символов!" errorStyle="stop" errorTitle="Ошибка" imeMode="noControl" operator="lessThanOrEqual" showDropDown="0" showErrorMessage="1" showInputMessage="1">
          <x14:formula1>
            <xm:f>900</xm:f>
          </x14:formula1>
          <xm:sqref>M58</xm:sqref>
        </x14:dataValidation>
        <x14:dataValidation xr:uid="{00A90023-0085-4BF6-AEF4-005C0066004E}"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AF58</xm:sqref>
        </x14:dataValidation>
        <x14:dataValidation xr:uid="{00280055-006A-44A6-A392-008A007500DA}"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AI58</xm:sqref>
        </x14:dataValidation>
        <x14:dataValidation xr:uid="{004E003C-00C1-455C-A0EB-00EA00380079}"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I59</xm:sqref>
        </x14:dataValidation>
        <x14:dataValidation xr:uid="{00BA009D-008A-496C-84D6-00DA00C4008C}"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J59</xm:sqref>
        </x14:dataValidation>
        <x14:dataValidation xr:uid="{0058008F-003D-447E-95F0-001A00F900F0}" type="textLength" allowBlank="1" error="Допускается ввод не более 900 символов!" errorStyle="stop" errorTitle="Ошибка" imeMode="noControl" operator="lessThanOrEqual" showDropDown="0" showErrorMessage="1" showInputMessage="1">
          <x14:formula1>
            <xm:f>900</xm:f>
          </x14:formula1>
          <xm:sqref>K59</xm:sqref>
        </x14:dataValidation>
        <x14:dataValidation xr:uid="{00FD0080-00A9-4E83-9810-0054001900B2}"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AF59</xm:sqref>
        </x14:dataValidation>
        <x14:dataValidation xr:uid="{00B7008C-004B-472B-BE9E-000F006A00E2}"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AI59</xm:sqref>
        </x14:dataValidation>
        <x14:dataValidation xr:uid="{00E00036-0012-44F0-8BCD-00750066000F}"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I60</xm:sqref>
        </x14:dataValidation>
        <x14:dataValidation xr:uid="{003F00E1-0055-468D-A4B0-00C60050000B}"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J60</xm:sqref>
        </x14:dataValidation>
        <x14:dataValidation xr:uid="{00C100EF-0017-45DF-884D-00970035006F}" type="textLength" allowBlank="1" error="Допускается ввод не более 900 символов!" errorStyle="stop" errorTitle="Ошибка" imeMode="noControl" operator="lessThanOrEqual" showDropDown="0" showErrorMessage="1" showInputMessage="1">
          <x14:formula1>
            <xm:f>900</xm:f>
          </x14:formula1>
          <xm:sqref>K60</xm:sqref>
        </x14:dataValidation>
        <x14:dataValidation xr:uid="{00580063-008C-4649-BCBF-00FF00FE0081}"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AC60</xm:sqref>
        </x14:dataValidation>
        <x14:dataValidation xr:uid="{00F600C3-000A-41EB-B8D5-00D400D800F2}"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AE60</xm:sqref>
        </x14:dataValidation>
        <x14:dataValidation xr:uid="{004E0026-0061-49DF-81AE-0080008A005A}"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AF60</xm:sqref>
        </x14:dataValidation>
        <x14:dataValidation xr:uid="{00550037-0030-44D4-9892-004100BD0097}"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AI60</xm:sqref>
        </x14:dataValidation>
        <x14:dataValidation xr:uid="{00B500D1-0064-4CC2-8927-00010036002F}"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I61</xm:sqref>
        </x14:dataValidation>
        <x14:dataValidation xr:uid="{0009001E-005B-41AF-A65A-009800A5003C}"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J61</xm:sqref>
        </x14:dataValidation>
        <x14:dataValidation xr:uid="{00960013-0016-45FF-AA7D-00F0009E00E5}" type="textLength" allowBlank="1" error="Допускается ввод не более 900 символов!" errorStyle="stop" errorTitle="Ошибка" imeMode="noControl" operator="lessThanOrEqual" showDropDown="0" showErrorMessage="1" showInputMessage="1">
          <x14:formula1>
            <xm:f>900</xm:f>
          </x14:formula1>
          <xm:sqref>K61</xm:sqref>
        </x14:dataValidation>
        <x14:dataValidation xr:uid="{00B400FC-0043-4A85-BE12-000C005400D3}"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AF61</xm:sqref>
        </x14:dataValidation>
        <x14:dataValidation xr:uid="{009D00F1-00FD-4361-8F5A-002C00FD007A}"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AI61</xm:sqref>
        </x14:dataValidation>
        <x14:dataValidation xr:uid="{00CA005A-00E3-41E5-9499-00C5008900A2}"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AF62</xm:sqref>
        </x14:dataValidation>
        <x14:dataValidation xr:uid="{00330017-00A3-4060-BC8C-008F004A0081}"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AI62</xm:sqref>
        </x14:dataValidation>
        <x14:dataValidation xr:uid="{00E10030-00D6-4D67-8FA4-00DA002300F7}"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I95</xm:sqref>
        </x14:dataValidation>
        <x14:dataValidation xr:uid="{00FD00D2-000F-4A5A-992E-001D005D00D3}"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J95</xm:sqref>
        </x14:dataValidation>
        <x14:dataValidation xr:uid="{00FB0048-00A9-467A-8ACD-004E00970098}" type="textLength" allowBlank="1" error="Допускается ввод не более 900 символов!" errorStyle="stop" errorTitle="Ошибка" imeMode="noControl" operator="lessThanOrEqual" showDropDown="0" showErrorMessage="1" showInputMessage="1">
          <x14:formula1>
            <xm:f>900</xm:f>
          </x14:formula1>
          <xm:sqref>K95</xm:sqref>
        </x14:dataValidation>
        <x14:dataValidation xr:uid="{00720087-0092-477A-8E33-007B00D700F3}" type="textLength" allowBlank="1" error="Допускается ввод не более 900 символов!" errorStyle="stop" errorTitle="Ошибка" imeMode="noControl" operator="lessThanOrEqual" showDropDown="0" showErrorMessage="1" showInputMessage="1">
          <x14:formula1>
            <xm:f>900</xm:f>
          </x14:formula1>
          <xm:sqref>M95</xm:sqref>
        </x14:dataValidation>
        <x14:dataValidation xr:uid="{000C00FE-001F-4C38-990E-00EE006200B6}"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AF95</xm:sqref>
        </x14:dataValidation>
        <x14:dataValidation xr:uid="{00C300D3-0012-492A-B17D-0040001B007C}"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AI95</xm:sqref>
        </x14:dataValidation>
        <x14:dataValidation xr:uid="{00BE001E-0088-4ACB-BFC9-0040002200A9}"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I96</xm:sqref>
        </x14:dataValidation>
        <x14:dataValidation xr:uid="{00E2004C-009A-462C-8E81-0012009A0060}"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J96</xm:sqref>
        </x14:dataValidation>
        <x14:dataValidation xr:uid="{00D60040-00FD-445A-9030-00FF003B00FC}" type="textLength" allowBlank="1" error="Допускается ввод не более 900 символов!" errorStyle="stop" errorTitle="Ошибка" imeMode="noControl" operator="lessThanOrEqual" showDropDown="0" showErrorMessage="1" showInputMessage="1">
          <x14:formula1>
            <xm:f>900</xm:f>
          </x14:formula1>
          <xm:sqref>K96</xm:sqref>
        </x14:dataValidation>
        <x14:dataValidation xr:uid="{003D0006-0080-4793-98BD-00AC00810019}"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AF96</xm:sqref>
        </x14:dataValidation>
        <x14:dataValidation xr:uid="{002F002B-007F-4DCF-B74B-0060004700A2}"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AI96</xm:sqref>
        </x14:dataValidation>
        <x14:dataValidation xr:uid="{00D40028-0056-48D8-84D5-000A003E0019}"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I97</xm:sqref>
        </x14:dataValidation>
        <x14:dataValidation xr:uid="{003E00C1-0049-4C25-9D19-000800270091}"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J97</xm:sqref>
        </x14:dataValidation>
        <x14:dataValidation xr:uid="{0090009A-0088-44EE-8F8C-0081006E00CA}" type="textLength" allowBlank="1" error="Допускается ввод не более 900 символов!" errorStyle="stop" errorTitle="Ошибка" imeMode="noControl" operator="lessThanOrEqual" showDropDown="0" showErrorMessage="1" showInputMessage="1">
          <x14:formula1>
            <xm:f>900</xm:f>
          </x14:formula1>
          <xm:sqref>K97</xm:sqref>
        </x14:dataValidation>
        <x14:dataValidation xr:uid="{009300CE-0028-497A-8BA9-00FD00FB00CF}"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AC97</xm:sqref>
        </x14:dataValidation>
        <x14:dataValidation xr:uid="{00C00012-0000-442E-8FFC-00D800D80066}"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AE97</xm:sqref>
        </x14:dataValidation>
        <x14:dataValidation xr:uid="{002E008B-006D-4864-86E1-00AB001B0028}"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AF97</xm:sqref>
        </x14:dataValidation>
        <x14:dataValidation xr:uid="{00630059-0026-4D94-8B20-008B000C00DB}"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AI97</xm:sqref>
        </x14:dataValidation>
        <x14:dataValidation xr:uid="{00E5002E-00D0-4E7E-ABD1-000200560021}"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I98</xm:sqref>
        </x14:dataValidation>
        <x14:dataValidation xr:uid="{002F0096-0036-4C07-944D-0023000600A8}"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J98</xm:sqref>
        </x14:dataValidation>
        <x14:dataValidation xr:uid="{008A00E3-0007-43AF-88F4-007C00420051}" type="textLength" allowBlank="1" error="Допускается ввод не более 900 символов!" errorStyle="stop" errorTitle="Ошибка" imeMode="noControl" operator="lessThanOrEqual" showDropDown="0" showErrorMessage="1" showInputMessage="1">
          <x14:formula1>
            <xm:f>900</xm:f>
          </x14:formula1>
          <xm:sqref>K98</xm:sqref>
        </x14:dataValidation>
        <x14:dataValidation xr:uid="{00B5000B-00AC-4894-A6FC-0053006E0013}"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AF98</xm:sqref>
        </x14:dataValidation>
        <x14:dataValidation xr:uid="{00850065-007E-4FDD-8B32-0050000D0002}"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AI98</xm:sqref>
        </x14:dataValidation>
        <x14:dataValidation xr:uid="{001000BB-00F2-4EBF-B4F6-005C00890085}"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AF99</xm:sqref>
        </x14:dataValidation>
        <x14:dataValidation xr:uid="{0051006D-00A8-403E-A4FA-00C500370034}"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AI99</xm:sqref>
        </x14:dataValidation>
        <x14:dataValidation xr:uid="{006E0060-0005-466C-B1BA-00F900C00016}"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I137</xm:sqref>
        </x14:dataValidation>
        <x14:dataValidation xr:uid="{00B40075-0054-472F-8237-00EF00B10012}"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J137</xm:sqref>
        </x14:dataValidation>
        <x14:dataValidation xr:uid="{00F800AC-00FB-49C4-A2EA-004000D100DD}" type="textLength" allowBlank="1" error="Допускается ввод не более 900 символов!" errorStyle="stop" errorTitle="Ошибка" imeMode="noControl" operator="lessThanOrEqual" showDropDown="0" showErrorMessage="1" showInputMessage="1">
          <x14:formula1>
            <xm:f>900</xm:f>
          </x14:formula1>
          <xm:sqref>K137</xm:sqref>
        </x14:dataValidation>
        <x14:dataValidation xr:uid="{003000C2-0049-4D19-A935-00DC00710032}" type="textLength" allowBlank="1" error="Допускается ввод не более 900 символов!" errorStyle="stop" errorTitle="Ошибка" imeMode="noControl" operator="lessThanOrEqual" showDropDown="0" showErrorMessage="1" showInputMessage="1">
          <x14:formula1>
            <xm:f>900</xm:f>
          </x14:formula1>
          <xm:sqref>M137</xm:sqref>
        </x14:dataValidation>
        <x14:dataValidation xr:uid="{00D300E5-003B-4BC0-AF15-00DB00BB000A}"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AF137</xm:sqref>
        </x14:dataValidation>
        <x14:dataValidation xr:uid="{000600D0-0038-4528-85DE-00C300D400EC}"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AI137</xm:sqref>
        </x14:dataValidation>
        <x14:dataValidation xr:uid="{003F00C6-004F-420C-9CAA-00A20011000A}"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I138</xm:sqref>
        </x14:dataValidation>
        <x14:dataValidation xr:uid="{00F6000A-0071-49EC-995D-00AF00A200C0}"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J138</xm:sqref>
        </x14:dataValidation>
        <x14:dataValidation xr:uid="{000D00C0-0051-4220-8495-006C00E5002D}" type="textLength" allowBlank="1" error="Допускается ввод не более 900 символов!" errorStyle="stop" errorTitle="Ошибка" imeMode="noControl" operator="lessThanOrEqual" showDropDown="0" showErrorMessage="1" showInputMessage="1">
          <x14:formula1>
            <xm:f>900</xm:f>
          </x14:formula1>
          <xm:sqref>K138</xm:sqref>
        </x14:dataValidation>
        <x14:dataValidation xr:uid="{00C60054-00F9-4FBC-8E92-002900830025}"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AF138</xm:sqref>
        </x14:dataValidation>
        <x14:dataValidation xr:uid="{00060056-005A-4F45-B59B-009400F6000A}"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AI138</xm:sqref>
        </x14:dataValidation>
        <x14:dataValidation xr:uid="{00A400DF-00EA-4877-BF96-00E0000500FD}"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I139</xm:sqref>
        </x14:dataValidation>
        <x14:dataValidation xr:uid="{00C200FC-0052-489D-92AF-0091004B00CF}"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J139</xm:sqref>
        </x14:dataValidation>
        <x14:dataValidation xr:uid="{00290057-0064-491F-90C6-0010002500D5}" type="textLength" allowBlank="1" error="Допускается ввод не более 900 символов!" errorStyle="stop" errorTitle="Ошибка" imeMode="noControl" operator="lessThanOrEqual" showDropDown="0" showErrorMessage="1" showInputMessage="1">
          <x14:formula1>
            <xm:f>900</xm:f>
          </x14:formula1>
          <xm:sqref>K139</xm:sqref>
        </x14:dataValidation>
        <x14:dataValidation xr:uid="{004300A6-0096-4846-A28D-004000EB005B}"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AC139</xm:sqref>
        </x14:dataValidation>
        <x14:dataValidation xr:uid="{003F00B7-000B-4570-ACA1-002C0086009C}"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AE139</xm:sqref>
        </x14:dataValidation>
        <x14:dataValidation xr:uid="{007000B6-002B-4B9A-BBDB-002F00480056}"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AF139</xm:sqref>
        </x14:dataValidation>
        <x14:dataValidation xr:uid="{00860099-0059-442B-811F-000100C60051}"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AI139</xm:sqref>
        </x14:dataValidation>
        <x14:dataValidation xr:uid="{000C00CD-00CD-4D70-9EC9-002600DA0044}"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I140</xm:sqref>
        </x14:dataValidation>
        <x14:dataValidation xr:uid="{005B0003-00D6-4F04-9DE5-001F00F90053}"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J140</xm:sqref>
        </x14:dataValidation>
        <x14:dataValidation xr:uid="{00AF0029-0004-495E-9B6D-004E0032001F}" type="textLength" allowBlank="1" error="Допускается ввод не более 900 символов!" errorStyle="stop" errorTitle="Ошибка" imeMode="noControl" operator="lessThanOrEqual" showDropDown="0" showErrorMessage="1" showInputMessage="1">
          <x14:formula1>
            <xm:f>900</xm:f>
          </x14:formula1>
          <xm:sqref>K140</xm:sqref>
        </x14:dataValidation>
        <x14:dataValidation xr:uid="{00C8007C-00B8-4184-B142-001F002B00CB}"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AF140</xm:sqref>
        </x14:dataValidation>
        <x14:dataValidation xr:uid="{00C3000F-0020-446F-9EDF-005300A20092}"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AI140</xm:sqref>
        </x14:dataValidation>
        <x14:dataValidation xr:uid="{00240079-008A-4D05-AE34-0087002F001A}"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AF141</xm:sqref>
        </x14:dataValidation>
        <x14:dataValidation xr:uid="{009700CA-0007-4DCC-A88B-00DE00C800BD}"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AI141</xm:sqref>
        </x14:dataValidation>
        <x14:dataValidation xr:uid="{0034007F-0009-4EA1-B4B0-008D00E90032}"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I169</xm:sqref>
        </x14:dataValidation>
        <x14:dataValidation xr:uid="{000C00DE-0046-47F2-B1F6-003700D200AC}"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J169</xm:sqref>
        </x14:dataValidation>
        <x14:dataValidation xr:uid="{00AD009F-00A4-4BF0-83DC-002B00650075}" type="textLength" allowBlank="1" error="Допускается ввод не более 900 символов!" errorStyle="stop" errorTitle="Ошибка" imeMode="noControl" operator="lessThanOrEqual" showDropDown="0" showErrorMessage="1" showInputMessage="1">
          <x14:formula1>
            <xm:f>900</xm:f>
          </x14:formula1>
          <xm:sqref>K169</xm:sqref>
        </x14:dataValidation>
        <x14:dataValidation xr:uid="{00B700D0-0092-4185-963A-00C8007D006C}" type="textLength" allowBlank="1" error="Допускается ввод не более 900 символов!" errorStyle="stop" errorTitle="Ошибка" imeMode="noControl" operator="lessThanOrEqual" showDropDown="0" showErrorMessage="1" showInputMessage="1">
          <x14:formula1>
            <xm:f>900</xm:f>
          </x14:formula1>
          <xm:sqref>M169</xm:sqref>
        </x14:dataValidation>
        <x14:dataValidation xr:uid="{00130050-00ED-4967-94F3-006E005E007B}"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AF169</xm:sqref>
        </x14:dataValidation>
        <x14:dataValidation xr:uid="{004300BE-000D-45CE-88A8-002F008700BF}"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AI169</xm:sqref>
        </x14:dataValidation>
        <x14:dataValidation xr:uid="{00FA0010-005E-438D-AB46-00BE00E90073}"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I170</xm:sqref>
        </x14:dataValidation>
        <x14:dataValidation xr:uid="{00E50018-0003-416A-8F18-003300D800DB}"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J170</xm:sqref>
        </x14:dataValidation>
        <x14:dataValidation xr:uid="{003200DC-0052-4A73-9B49-000100860061}" type="textLength" allowBlank="1" error="Допускается ввод не более 900 символов!" errorStyle="stop" errorTitle="Ошибка" imeMode="noControl" operator="lessThanOrEqual" showDropDown="0" showErrorMessage="1" showInputMessage="1">
          <x14:formula1>
            <xm:f>900</xm:f>
          </x14:formula1>
          <xm:sqref>K170</xm:sqref>
        </x14:dataValidation>
        <x14:dataValidation xr:uid="{008C00EB-00A1-4419-8113-00E3000B00D9}"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AF170</xm:sqref>
        </x14:dataValidation>
        <x14:dataValidation xr:uid="{00E30012-00FF-4807-9C48-00EF00A9008A}"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AI170</xm:sqref>
        </x14:dataValidation>
        <x14:dataValidation xr:uid="{00AA0026-005B-4248-A036-0043004500D7}"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I171</xm:sqref>
        </x14:dataValidation>
        <x14:dataValidation xr:uid="{00530086-004F-4A79-8DE6-0073002700E1}"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J171</xm:sqref>
        </x14:dataValidation>
        <x14:dataValidation xr:uid="{00960000-00E5-470B-A3B2-00FA006A005B}" type="textLength" allowBlank="1" error="Допускается ввод не более 900 символов!" errorStyle="stop" errorTitle="Ошибка" imeMode="noControl" operator="lessThanOrEqual" showDropDown="0" showErrorMessage="1" showInputMessage="1">
          <x14:formula1>
            <xm:f>900</xm:f>
          </x14:formula1>
          <xm:sqref>K171</xm:sqref>
        </x14:dataValidation>
        <x14:dataValidation xr:uid="{00C50079-00C0-43EE-BEEE-00AE00EF008F}"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AC171</xm:sqref>
        </x14:dataValidation>
        <x14:dataValidation xr:uid="{00FA00F7-002C-4F18-B399-000600BD0005}"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AE171</xm:sqref>
        </x14:dataValidation>
        <x14:dataValidation xr:uid="{00150020-00D5-47BA-83F8-004E006A0053}"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AF171</xm:sqref>
        </x14:dataValidation>
        <x14:dataValidation xr:uid="{008F00E0-0089-4B00-B745-0089001A003F}"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AI171</xm:sqref>
        </x14:dataValidation>
        <x14:dataValidation xr:uid="{0053002B-009F-464E-84F4-0025008E0078}"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I172</xm:sqref>
        </x14:dataValidation>
        <x14:dataValidation xr:uid="{00B0006E-0098-4D5D-A9C2-00A10031005C}"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J172</xm:sqref>
        </x14:dataValidation>
        <x14:dataValidation xr:uid="{00D100D2-009D-4292-9FE3-007D00BD0003}" type="textLength" allowBlank="1" error="Допускается ввод не более 900 символов!" errorStyle="stop" errorTitle="Ошибка" imeMode="noControl" operator="lessThanOrEqual" showDropDown="0" showErrorMessage="1" showInputMessage="1">
          <x14:formula1>
            <xm:f>900</xm:f>
          </x14:formula1>
          <xm:sqref>K172</xm:sqref>
        </x14:dataValidation>
        <x14:dataValidation xr:uid="{005C0047-00FC-47E4-9B19-001B005B00B8}"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AF172</xm:sqref>
        </x14:dataValidation>
        <x14:dataValidation xr:uid="{0067002C-00ED-460B-8552-00C2006C008A}"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AI172</xm:sqref>
        </x14:dataValidation>
        <x14:dataValidation xr:uid="{0069002B-004A-4D66-9CCE-00DC00CD001E}"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AF173</xm:sqref>
        </x14:dataValidation>
        <x14:dataValidation xr:uid="{00FE006A-00F8-4246-82CB-002600A90007}"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AI173</xm:sqref>
        </x14:dataValidation>
        <x14:dataValidation xr:uid="{000C0093-00FD-4482-8D3A-00B600860053}"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I195</xm:sqref>
        </x14:dataValidation>
        <x14:dataValidation xr:uid="{006000DD-0012-4F42-AF77-00E50055006A}"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J195</xm:sqref>
        </x14:dataValidation>
        <x14:dataValidation xr:uid="{000B00AE-0006-4B03-AEB8-00DB00B900DF}" type="textLength" allowBlank="1" error="Допускается ввод не более 900 символов!" errorStyle="stop" errorTitle="Ошибка" imeMode="noControl" operator="lessThanOrEqual" showDropDown="0" showErrorMessage="1" showInputMessage="1">
          <x14:formula1>
            <xm:f>900</xm:f>
          </x14:formula1>
          <xm:sqref>K195</xm:sqref>
        </x14:dataValidation>
        <x14:dataValidation xr:uid="{001F00F4-000F-40CC-8BE5-00A400D400AF}" type="textLength" allowBlank="1" error="Допускается ввод не более 900 символов!" errorStyle="stop" errorTitle="Ошибка" imeMode="noControl" operator="lessThanOrEqual" showDropDown="0" showErrorMessage="1" showInputMessage="1">
          <x14:formula1>
            <xm:f>900</xm:f>
          </x14:formula1>
          <xm:sqref>M195</xm:sqref>
        </x14:dataValidation>
        <x14:dataValidation xr:uid="{00120023-00E9-48A8-B7B5-005600AB0095}"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AF195</xm:sqref>
        </x14:dataValidation>
        <x14:dataValidation xr:uid="{00FA00E0-0065-411B-91A5-00880009003E}"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AI195</xm:sqref>
        </x14:dataValidation>
        <x14:dataValidation xr:uid="{0071002C-00EE-46C2-9B05-004000BB001E}"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I196</xm:sqref>
        </x14:dataValidation>
        <x14:dataValidation xr:uid="{007500AF-005C-45E0-917A-006700D100C3}"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J196</xm:sqref>
        </x14:dataValidation>
        <x14:dataValidation xr:uid="{002D00C2-00AF-4AEF-AD56-008C00050007}" type="textLength" allowBlank="1" error="Допускается ввод не более 900 символов!" errorStyle="stop" errorTitle="Ошибка" imeMode="noControl" operator="lessThanOrEqual" showDropDown="0" showErrorMessage="1" showInputMessage="1">
          <x14:formula1>
            <xm:f>900</xm:f>
          </x14:formula1>
          <xm:sqref>K196</xm:sqref>
        </x14:dataValidation>
        <x14:dataValidation xr:uid="{00CD00CE-008E-46AF-A8E5-00AE004A00B8}"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AF196</xm:sqref>
        </x14:dataValidation>
        <x14:dataValidation xr:uid="{00BF007D-001B-4DFC-81F6-00EE000E004A}"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AI196</xm:sqref>
        </x14:dataValidation>
        <x14:dataValidation xr:uid="{00480041-00FE-4241-A94A-004F00E500EC}"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I197</xm:sqref>
        </x14:dataValidation>
        <x14:dataValidation xr:uid="{00350020-00B9-447C-BF41-00F700CD0003}"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J197</xm:sqref>
        </x14:dataValidation>
        <x14:dataValidation xr:uid="{00A6007F-00D6-4D5C-AE7F-000800CE0003}" type="textLength" allowBlank="1" error="Допускается ввод не более 900 символов!" errorStyle="stop" errorTitle="Ошибка" imeMode="noControl" operator="lessThanOrEqual" showDropDown="0" showErrorMessage="1" showInputMessage="1">
          <x14:formula1>
            <xm:f>900</xm:f>
          </x14:formula1>
          <xm:sqref>K197</xm:sqref>
        </x14:dataValidation>
        <x14:dataValidation xr:uid="{007500A0-0030-4F89-B42A-00B2006E00E4}"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AC197</xm:sqref>
        </x14:dataValidation>
        <x14:dataValidation xr:uid="{00F1009E-0082-4BED-8557-004100EF0015}"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AE197</xm:sqref>
        </x14:dataValidation>
        <x14:dataValidation xr:uid="{00520000-0003-434F-9A48-00E30095004F}"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AF197</xm:sqref>
        </x14:dataValidation>
        <x14:dataValidation xr:uid="{00C400D4-0084-48DF-90F5-0005000900D1}"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AI197</xm:sqref>
        </x14:dataValidation>
        <x14:dataValidation xr:uid="{00CC00F0-0045-41B7-9F66-00A5008700F2}"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I198</xm:sqref>
        </x14:dataValidation>
        <x14:dataValidation xr:uid="{00020013-00C0-42B3-9FF8-002200310035}"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J198</xm:sqref>
        </x14:dataValidation>
        <x14:dataValidation xr:uid="{00CC00F7-00CE-40FA-B877-00CE00F70055}" type="textLength" allowBlank="1" error="Допускается ввод не более 900 символов!" errorStyle="stop" errorTitle="Ошибка" imeMode="noControl" operator="lessThanOrEqual" showDropDown="0" showErrorMessage="1" showInputMessage="1">
          <x14:formula1>
            <xm:f>900</xm:f>
          </x14:formula1>
          <xm:sqref>K198</xm:sqref>
        </x14:dataValidation>
        <x14:dataValidation xr:uid="{0073007B-00CE-4380-8022-00FA00FC00D7}"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AF198</xm:sqref>
        </x14:dataValidation>
        <x14:dataValidation xr:uid="{009A00D8-00DF-4065-B4C9-00EE00200055}"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AI198</xm:sqref>
        </x14:dataValidation>
        <x14:dataValidation xr:uid="{001000C6-00D0-45BA-9210-00BD00FA0010}"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AF199</xm:sqref>
        </x14:dataValidation>
        <x14:dataValidation xr:uid="{003A008E-00AB-4663-A1F6-00B4009400C7}"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AI199</xm:sqref>
        </x14:dataValidation>
        <x14:dataValidation xr:uid="{00AC009B-006C-4556-92E8-00F1008800A7}"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I20</xm:sqref>
        </x14:dataValidation>
        <x14:dataValidation xr:uid="{0079008C-0091-4F68-A576-00B80089008C}"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J20</xm:sqref>
        </x14:dataValidation>
        <x14:dataValidation xr:uid="{00E10056-0003-4E1A-A615-003D0049008B}" type="textLength" allowBlank="1" error="Допускается ввод не более 900 символов!" errorStyle="stop" errorTitle="Ошибка" imeMode="noControl" operator="lessThanOrEqual" showDropDown="0" showErrorMessage="1" showInputMessage="1">
          <x14:formula1>
            <xm:f>900</xm:f>
          </x14:formula1>
          <xm:sqref>K20</xm:sqref>
        </x14:dataValidation>
        <x14:dataValidation xr:uid="{005D0035-0031-47B6-95F0-00A3000A0098}" type="textLength" allowBlank="1" error="Допускается ввод не более 900 символов!" errorStyle="stop" errorTitle="Ошибка" imeMode="noControl" operator="lessThanOrEqual" showDropDown="0" showErrorMessage="1" showInputMessage="1">
          <x14:formula1>
            <xm:f>900</xm:f>
          </x14:formula1>
          <xm:sqref>M20</xm:sqref>
        </x14:dataValidation>
        <x14:dataValidation xr:uid="{002000BC-0020-4293-8E9F-0085002700B9}"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AF20</xm:sqref>
        </x14:dataValidation>
        <x14:dataValidation xr:uid="{0091008B-009E-4A05-8473-0012007400AA}"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AI20</xm:sqref>
        </x14:dataValidation>
        <x14:dataValidation xr:uid="{006400E3-002D-44CC-80C5-00D700C800E8}"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I21</xm:sqref>
        </x14:dataValidation>
        <x14:dataValidation xr:uid="{0072004B-0094-44B8-89D3-005F00870037}"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J21</xm:sqref>
        </x14:dataValidation>
        <x14:dataValidation xr:uid="{009B006F-003E-40F1-9543-008200D000BB}" type="textLength" allowBlank="1" error="Допускается ввод не более 900 символов!" errorStyle="stop" errorTitle="Ошибка" imeMode="noControl" operator="lessThanOrEqual" showDropDown="0" showErrorMessage="1" showInputMessage="1">
          <x14:formula1>
            <xm:f>900</xm:f>
          </x14:formula1>
          <xm:sqref>K21</xm:sqref>
        </x14:dataValidation>
        <x14:dataValidation xr:uid="{00070049-0039-411F-BD9B-00AD008100B2}"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AF21</xm:sqref>
        </x14:dataValidation>
        <x14:dataValidation xr:uid="{00840031-00ED-474D-80CE-000900200001}"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AI21</xm:sqref>
        </x14:dataValidation>
        <x14:dataValidation xr:uid="{00E0009E-00BD-4C25-A96E-007200900074}"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I22</xm:sqref>
        </x14:dataValidation>
        <x14:dataValidation xr:uid="{00110019-009E-405E-BECB-002F0020008D}"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J22</xm:sqref>
        </x14:dataValidation>
        <x14:dataValidation xr:uid="{00010046-0012-4800-8060-00C900C7001F}" type="textLength" allowBlank="1" error="Допускается ввод не более 900 символов!" errorStyle="stop" errorTitle="Ошибка" imeMode="noControl" operator="lessThanOrEqual" showDropDown="0" showErrorMessage="1" showInputMessage="1">
          <x14:formula1>
            <xm:f>900</xm:f>
          </x14:formula1>
          <xm:sqref>K22</xm:sqref>
        </x14:dataValidation>
        <x14:dataValidation xr:uid="{00B10003-0000-493D-A0FF-00CF00500032}"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AC22</xm:sqref>
        </x14:dataValidation>
        <x14:dataValidation xr:uid="{00C00096-007C-4C32-8ED1-00DD00750091}"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AE22</xm:sqref>
        </x14:dataValidation>
        <x14:dataValidation xr:uid="{0084000C-0058-4B64-8777-003E00C6009C}"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AF22</xm:sqref>
        </x14:dataValidation>
        <x14:dataValidation xr:uid="{00190020-0009-44E7-B0A9-00C300D5001F}"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AI22</xm:sqref>
        </x14:dataValidation>
        <x14:dataValidation xr:uid="{00810047-009B-44F0-A2C1-009800EF0059}"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I23</xm:sqref>
        </x14:dataValidation>
        <x14:dataValidation xr:uid="{003D0003-00CD-44A1-98B0-003700250011}"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J23</xm:sqref>
        </x14:dataValidation>
        <x14:dataValidation xr:uid="{00B9007C-0044-409A-8529-003800420093}" type="textLength" allowBlank="1" error="Допускается ввод не более 900 символов!" errorStyle="stop" errorTitle="Ошибка" imeMode="noControl" operator="lessThanOrEqual" showDropDown="0" showErrorMessage="1" showInputMessage="1">
          <x14:formula1>
            <xm:f>900</xm:f>
          </x14:formula1>
          <xm:sqref>K23</xm:sqref>
        </x14:dataValidation>
        <x14:dataValidation xr:uid="{00A20019-00F8-4248-AF2E-00D8003F0019}"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AF23</xm:sqref>
        </x14:dataValidation>
        <x14:dataValidation xr:uid="{005E0059-0080-4D4D-95AE-003800B100E8}"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AI23</xm:sqref>
        </x14:dataValidation>
        <x14:dataValidation xr:uid="{00F10083-00A5-455D-B293-00A1009000A5}"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AF24</xm:sqref>
        </x14:dataValidation>
        <x14:dataValidation xr:uid="{001A003A-0065-4E00-B5CF-00E900BC00E7}"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AI24</xm:sqref>
        </x14:dataValidation>
        <x14:dataValidation xr:uid="{00F2008E-0034-4C0A-902C-001A001200A4}"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I25</xm:sqref>
        </x14:dataValidation>
        <x14:dataValidation xr:uid="{00EC0090-0023-4347-A7A6-00CA00C700E5}"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J25</xm:sqref>
        </x14:dataValidation>
        <x14:dataValidation xr:uid="{00BE0002-00B5-46D7-844D-0032003200B3}" type="textLength" allowBlank="1" error="Допускается ввод не более 900 символов!" errorStyle="stop" errorTitle="Ошибка" imeMode="noControl" operator="lessThanOrEqual" showDropDown="0" showErrorMessage="1" showInputMessage="1">
          <x14:formula1>
            <xm:f>900</xm:f>
          </x14:formula1>
          <xm:sqref>K25</xm:sqref>
        </x14:dataValidation>
        <x14:dataValidation xr:uid="{00F4008C-0079-4D50-8804-003F00EB0071}" type="textLength" allowBlank="1" error="Допускается ввод не более 900 символов!" errorStyle="stop" errorTitle="Ошибка" imeMode="noControl" operator="lessThanOrEqual" showDropDown="0" showErrorMessage="1" showInputMessage="1">
          <x14:formula1>
            <xm:f>900</xm:f>
          </x14:formula1>
          <xm:sqref>M25</xm:sqref>
        </x14:dataValidation>
        <x14:dataValidation xr:uid="{00C00088-006F-47DA-B16C-00E000A6008B}"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AF25</xm:sqref>
        </x14:dataValidation>
        <x14:dataValidation xr:uid="{00290069-0083-4F76-A811-00F200520036}"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AI25</xm:sqref>
        </x14:dataValidation>
        <x14:dataValidation xr:uid="{00C2004A-003C-4D50-BF45-003A009B00B5}"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I26</xm:sqref>
        </x14:dataValidation>
        <x14:dataValidation xr:uid="{008D006B-00C0-4302-8F3D-003400890027}"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J26</xm:sqref>
        </x14:dataValidation>
        <x14:dataValidation xr:uid="{00F10001-00AA-44BB-B3A5-0022004C0066}" type="textLength" allowBlank="1" error="Допускается ввод не более 900 символов!" errorStyle="stop" errorTitle="Ошибка" imeMode="noControl" operator="lessThanOrEqual" showDropDown="0" showErrorMessage="1" showInputMessage="1">
          <x14:formula1>
            <xm:f>900</xm:f>
          </x14:formula1>
          <xm:sqref>K26</xm:sqref>
        </x14:dataValidation>
        <x14:dataValidation xr:uid="{002B009C-00D7-4676-9744-006E00F300FD}"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AF26</xm:sqref>
        </x14:dataValidation>
        <x14:dataValidation xr:uid="{003B0084-0001-4913-9CDC-00B700D70072}"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AI26</xm:sqref>
        </x14:dataValidation>
        <x14:dataValidation xr:uid="{00DF0019-001E-4678-9AAE-00B200B8008A}"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I27</xm:sqref>
        </x14:dataValidation>
        <x14:dataValidation xr:uid="{00E30016-0021-4BE6-9F5F-0020003C006A}"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J27</xm:sqref>
        </x14:dataValidation>
        <x14:dataValidation xr:uid="{00CD00B6-00F3-415B-B80C-005600840014}" type="textLength" allowBlank="1" error="Допускается ввод не более 900 символов!" errorStyle="stop" errorTitle="Ошибка" imeMode="noControl" operator="lessThanOrEqual" showDropDown="0" showErrorMessage="1" showInputMessage="1">
          <x14:formula1>
            <xm:f>900</xm:f>
          </x14:formula1>
          <xm:sqref>K27</xm:sqref>
        </x14:dataValidation>
        <x14:dataValidation xr:uid="{00FA0018-0014-416F-8D71-008F006E00CA}"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AC27</xm:sqref>
        </x14:dataValidation>
        <x14:dataValidation xr:uid="{00530024-00A0-44E9-B51F-008600CB00CC}"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AE27</xm:sqref>
        </x14:dataValidation>
        <x14:dataValidation xr:uid="{007900A6-008E-4665-9C84-0078004400DC}"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AF27</xm:sqref>
        </x14:dataValidation>
        <x14:dataValidation xr:uid="{00B9003A-00BB-40EF-8B3F-000400FC0012}"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AI27</xm:sqref>
        </x14:dataValidation>
        <x14:dataValidation xr:uid="{00AA0092-00AF-48DD-AA92-009700C90029}"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I29</xm:sqref>
        </x14:dataValidation>
        <x14:dataValidation xr:uid="{009500B6-0013-4EB9-AA48-00EF0019007A}"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J29</xm:sqref>
        </x14:dataValidation>
        <x14:dataValidation xr:uid="{00CE0035-00FD-49BC-B243-0057002E0057}" type="textLength" allowBlank="1" error="Допускается ввод не более 900 символов!" errorStyle="stop" errorTitle="Ошибка" imeMode="noControl" operator="lessThanOrEqual" showDropDown="0" showErrorMessage="1" showInputMessage="1">
          <x14:formula1>
            <xm:f>900</xm:f>
          </x14:formula1>
          <xm:sqref>K29</xm:sqref>
        </x14:dataValidation>
        <x14:dataValidation xr:uid="{001E00A3-0075-4BF5-BE98-003B003A00FA}"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AF29</xm:sqref>
        </x14:dataValidation>
        <x14:dataValidation xr:uid="{006400C6-0049-41E9-9B05-00B6003A003F}"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AI29</xm:sqref>
        </x14:dataValidation>
        <x14:dataValidation xr:uid="{001F00B0-007E-4BC8-910F-00C700B50062}"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AF30</xm:sqref>
        </x14:dataValidation>
        <x14:dataValidation xr:uid="{00FF0037-0011-4205-9389-00DB000700AC}"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AI30</xm:sqref>
        </x14:dataValidation>
        <x14:dataValidation xr:uid="{0027005E-008B-4AE8-88D3-00E80073004B}"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I31</xm:sqref>
        </x14:dataValidation>
        <x14:dataValidation xr:uid="{00BF0013-000A-495D-BED3-0044001400C5}"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J31</xm:sqref>
        </x14:dataValidation>
        <x14:dataValidation xr:uid="{000500A8-008A-4858-A3DE-00DA00DA00C0}" type="textLength" allowBlank="1" error="Допускается ввод не более 900 символов!" errorStyle="stop" errorTitle="Ошибка" imeMode="noControl" operator="lessThanOrEqual" showDropDown="0" showErrorMessage="1" showInputMessage="1">
          <x14:formula1>
            <xm:f>900</xm:f>
          </x14:formula1>
          <xm:sqref>K31</xm:sqref>
        </x14:dataValidation>
        <x14:dataValidation xr:uid="{00DF0096-00A5-4D94-BB0A-006E00830092}" type="textLength" allowBlank="1" error="Допускается ввод не более 900 символов!" errorStyle="stop" errorTitle="Ошибка" imeMode="noControl" operator="lessThanOrEqual" showDropDown="0" showErrorMessage="1" showInputMessage="1">
          <x14:formula1>
            <xm:f>900</xm:f>
          </x14:formula1>
          <xm:sqref>M31</xm:sqref>
        </x14:dataValidation>
        <x14:dataValidation xr:uid="{00CF0028-007D-450A-9A35-001F007E0018}"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AF31</xm:sqref>
        </x14:dataValidation>
        <x14:dataValidation xr:uid="{003700AF-0091-4077-BEA6-007E006C0092}"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AI31</xm:sqref>
        </x14:dataValidation>
        <x14:dataValidation xr:uid="{00A600C9-0067-4714-AD25-00BF0089006C}"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I32</xm:sqref>
        </x14:dataValidation>
        <x14:dataValidation xr:uid="{00F5005F-00D3-4BDD-B6D2-003D003700EB}"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J32</xm:sqref>
        </x14:dataValidation>
        <x14:dataValidation xr:uid="{008E002B-001F-40FC-9996-00F6007E0051}" type="textLength" allowBlank="1" error="Допускается ввод не более 900 символов!" errorStyle="stop" errorTitle="Ошибка" imeMode="noControl" operator="lessThanOrEqual" showDropDown="0" showErrorMessage="1" showInputMessage="1">
          <x14:formula1>
            <xm:f>900</xm:f>
          </x14:formula1>
          <xm:sqref>K32</xm:sqref>
        </x14:dataValidation>
        <x14:dataValidation xr:uid="{00A70039-002C-453B-A0A6-007D00A9008B}"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AF32</xm:sqref>
        </x14:dataValidation>
        <x14:dataValidation xr:uid="{004B0070-0035-4560-9719-006B00F900B6}"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AI32</xm:sqref>
        </x14:dataValidation>
        <x14:dataValidation xr:uid="{00D1003F-002A-4C80-8B7D-00CB00AD006C}"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I33</xm:sqref>
        </x14:dataValidation>
        <x14:dataValidation xr:uid="{00E00032-0058-4C54-9B07-002D003500A8}"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J33</xm:sqref>
        </x14:dataValidation>
        <x14:dataValidation xr:uid="{009200E3-001C-46DC-BF33-00E200B00001}" type="textLength" allowBlank="1" error="Допускается ввод не более 900 символов!" errorStyle="stop" errorTitle="Ошибка" imeMode="noControl" operator="lessThanOrEqual" showDropDown="0" showErrorMessage="1" showInputMessage="1">
          <x14:formula1>
            <xm:f>900</xm:f>
          </x14:formula1>
          <xm:sqref>K33</xm:sqref>
        </x14:dataValidation>
        <x14:dataValidation xr:uid="{00F000C1-00CC-4184-87CA-005C004F0015}"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AC33</xm:sqref>
        </x14:dataValidation>
        <x14:dataValidation xr:uid="{005E00CB-0079-45B6-BCC7-003A008C0079}"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AE33</xm:sqref>
        </x14:dataValidation>
        <x14:dataValidation xr:uid="{005100E3-0035-4850-9D34-000300F800AE}"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AF33</xm:sqref>
        </x14:dataValidation>
        <x14:dataValidation xr:uid="{00F60054-0071-4CE1-9EE5-008E00C500E5}"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AI33</xm:sqref>
        </x14:dataValidation>
        <x14:dataValidation xr:uid="{00F70035-002D-4A7D-A864-006C00B100C0}"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I34</xm:sqref>
        </x14:dataValidation>
        <x14:dataValidation xr:uid="{009600CD-00BB-4AE8-9568-00F0006F00B9}"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J34</xm:sqref>
        </x14:dataValidation>
        <x14:dataValidation xr:uid="{00EB0055-007C-4006-AA67-009900D000B3}" type="textLength" allowBlank="1" error="Допускается ввод не более 900 символов!" errorStyle="stop" errorTitle="Ошибка" imeMode="noControl" operator="lessThanOrEqual" showDropDown="0" showErrorMessage="1" showInputMessage="1">
          <x14:formula1>
            <xm:f>900</xm:f>
          </x14:formula1>
          <xm:sqref>K34</xm:sqref>
        </x14:dataValidation>
        <x14:dataValidation xr:uid="{0015001A-0002-4054-8F6A-00AD00E30042}"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AF34</xm:sqref>
        </x14:dataValidation>
        <x14:dataValidation xr:uid="{006C0027-008E-45B3-A933-0059008600B3}"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AI34</xm:sqref>
        </x14:dataValidation>
        <x14:dataValidation xr:uid="{0087007C-00A8-4FD3-989B-00DB001800FD}"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AF35</xm:sqref>
        </x14:dataValidation>
        <x14:dataValidation xr:uid="{00D4006A-00DF-4892-83CD-008A00150079}"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AI35</xm:sqref>
        </x14:dataValidation>
        <x14:dataValidation xr:uid="{00CD002C-0011-451A-8B1A-00F7001800C2}"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I36</xm:sqref>
        </x14:dataValidation>
        <x14:dataValidation xr:uid="{001100B6-0025-4514-83EE-00FD00850097}"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J36</xm:sqref>
        </x14:dataValidation>
        <x14:dataValidation xr:uid="{00B30097-0073-463A-94D9-00F70091003D}" type="textLength" allowBlank="1" error="Допускается ввод не более 900 символов!" errorStyle="stop" errorTitle="Ошибка" imeMode="noControl" operator="lessThanOrEqual" showDropDown="0" showErrorMessage="1" showInputMessage="1">
          <x14:formula1>
            <xm:f>900</xm:f>
          </x14:formula1>
          <xm:sqref>K36</xm:sqref>
        </x14:dataValidation>
        <x14:dataValidation xr:uid="{00C400EE-009C-4501-8EB2-003200220088}" type="textLength" allowBlank="1" error="Допускается ввод не более 900 символов!" errorStyle="stop" errorTitle="Ошибка" imeMode="noControl" operator="lessThanOrEqual" showDropDown="0" showErrorMessage="1" showInputMessage="1">
          <x14:formula1>
            <xm:f>900</xm:f>
          </x14:formula1>
          <xm:sqref>M36</xm:sqref>
        </x14:dataValidation>
        <x14:dataValidation xr:uid="{008F009B-0007-48F7-BC51-00DB00E600B4}"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AF36</xm:sqref>
        </x14:dataValidation>
        <x14:dataValidation xr:uid="{00FB00B2-0090-41BE-A166-00D90099008C}"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AI36</xm:sqref>
        </x14:dataValidation>
        <x14:dataValidation xr:uid="{00A4000E-00A3-481C-B7B3-000B00A90021}"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I37</xm:sqref>
        </x14:dataValidation>
        <x14:dataValidation xr:uid="{0091008A-00AD-4BDD-96B4-00BF004000C5}"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J37</xm:sqref>
        </x14:dataValidation>
        <x14:dataValidation xr:uid="{00F9001A-00FB-426C-8001-006000650093}" type="textLength" allowBlank="1" error="Допускается ввод не более 900 символов!" errorStyle="stop" errorTitle="Ошибка" imeMode="noControl" operator="lessThanOrEqual" showDropDown="0" showErrorMessage="1" showInputMessage="1">
          <x14:formula1>
            <xm:f>900</xm:f>
          </x14:formula1>
          <xm:sqref>K37</xm:sqref>
        </x14:dataValidation>
        <x14:dataValidation xr:uid="{00A5004D-004B-4083-AC52-009900F30094}"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AF37</xm:sqref>
        </x14:dataValidation>
        <x14:dataValidation xr:uid="{00C100B5-000F-45FC-98A0-0000005900F4}"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AI37</xm:sqref>
        </x14:dataValidation>
        <x14:dataValidation xr:uid="{00B500BE-0012-4421-9F23-00870074004F}"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I38</xm:sqref>
        </x14:dataValidation>
        <x14:dataValidation xr:uid="{00AE00DD-005A-4B19-95C9-0040001E0077}"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J38</xm:sqref>
        </x14:dataValidation>
        <x14:dataValidation xr:uid="{00B60076-004E-45C2-B103-00000076004D}" type="textLength" allowBlank="1" error="Допускается ввод не более 900 символов!" errorStyle="stop" errorTitle="Ошибка" imeMode="noControl" operator="lessThanOrEqual" showDropDown="0" showErrorMessage="1" showInputMessage="1">
          <x14:formula1>
            <xm:f>900</xm:f>
          </x14:formula1>
          <xm:sqref>K38</xm:sqref>
        </x14:dataValidation>
        <x14:dataValidation xr:uid="{00D50064-007C-4285-94B8-00C7007600A7}"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AC38</xm:sqref>
        </x14:dataValidation>
        <x14:dataValidation xr:uid="{007500C6-00BF-4EFD-8A1E-000100EB00F0}"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AE38</xm:sqref>
        </x14:dataValidation>
        <x14:dataValidation xr:uid="{00AE00A5-0036-4360-A00F-0059000600DD}"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AF38</xm:sqref>
        </x14:dataValidation>
        <x14:dataValidation xr:uid="{009A0025-00F5-4AF3-9FCD-007F00A500AC}"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AI38</xm:sqref>
        </x14:dataValidation>
        <x14:dataValidation xr:uid="{005800C6-00A1-4368-AC91-003D00EC006B}"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I39</xm:sqref>
        </x14:dataValidation>
        <x14:dataValidation xr:uid="{006400FF-0030-4087-9C8A-006900C7008D}"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J39</xm:sqref>
        </x14:dataValidation>
        <x14:dataValidation xr:uid="{003B0045-0000-4C8E-B03F-005B00580036}" type="textLength" allowBlank="1" error="Допускается ввод не более 900 символов!" errorStyle="stop" errorTitle="Ошибка" imeMode="noControl" operator="lessThanOrEqual" showDropDown="0" showErrorMessage="1" showInputMessage="1">
          <x14:formula1>
            <xm:f>900</xm:f>
          </x14:formula1>
          <xm:sqref>K39</xm:sqref>
        </x14:dataValidation>
        <x14:dataValidation xr:uid="{00240034-00CE-46B9-94C5-00A900C400A6}"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AF39</xm:sqref>
        </x14:dataValidation>
        <x14:dataValidation xr:uid="{00A0007A-00DB-4F13-8BB3-0015007100BA}"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AI39</xm:sqref>
        </x14:dataValidation>
        <x14:dataValidation xr:uid="{004A008E-002A-4D14-A789-002A00E400A3}"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AF40</xm:sqref>
        </x14:dataValidation>
        <x14:dataValidation xr:uid="{0090004C-0026-46EA-9888-00E100EA0082}"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AI40</xm:sqref>
        </x14:dataValidation>
        <x14:dataValidation xr:uid="{007E00C8-005E-4AC4-B2F8-002A00F500EA}"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I41</xm:sqref>
        </x14:dataValidation>
        <x14:dataValidation xr:uid="{005C0082-001B-43B9-93D8-00A100DD00CF}"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J41</xm:sqref>
        </x14:dataValidation>
        <x14:dataValidation xr:uid="{0059005E-0014-4BD7-AFDF-008600AD00FF}" type="textLength" allowBlank="1" error="Допускается ввод не более 900 символов!" errorStyle="stop" errorTitle="Ошибка" imeMode="noControl" operator="lessThanOrEqual" showDropDown="0" showErrorMessage="1" showInputMessage="1">
          <x14:formula1>
            <xm:f>900</xm:f>
          </x14:formula1>
          <xm:sqref>K41</xm:sqref>
        </x14:dataValidation>
        <x14:dataValidation xr:uid="{00500079-00B6-4B66-AFD5-006A003F00FE}" type="textLength" allowBlank="1" error="Допускается ввод не более 900 символов!" errorStyle="stop" errorTitle="Ошибка" imeMode="noControl" operator="lessThanOrEqual" showDropDown="0" showErrorMessage="1" showInputMessage="1">
          <x14:formula1>
            <xm:f>900</xm:f>
          </x14:formula1>
          <xm:sqref>M41</xm:sqref>
        </x14:dataValidation>
        <x14:dataValidation xr:uid="{00D100EE-00BC-4C01-B9D7-00F400A300AC}"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AF41</xm:sqref>
        </x14:dataValidation>
        <x14:dataValidation xr:uid="{00AA00AE-0036-45AB-B632-00B3008F0099}"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AI41</xm:sqref>
        </x14:dataValidation>
        <x14:dataValidation xr:uid="{00470013-001C-4749-8C1D-00BE003400E3}"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I42</xm:sqref>
        </x14:dataValidation>
        <x14:dataValidation xr:uid="{00E00012-00AA-4834-8C7B-0030007E005B}"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J42</xm:sqref>
        </x14:dataValidation>
        <x14:dataValidation xr:uid="{005B0020-003F-4AC2-A0CB-00500006004D}" type="textLength" allowBlank="1" error="Допускается ввод не более 900 символов!" errorStyle="stop" errorTitle="Ошибка" imeMode="noControl" operator="lessThanOrEqual" showDropDown="0" showErrorMessage="1" showInputMessage="1">
          <x14:formula1>
            <xm:f>900</xm:f>
          </x14:formula1>
          <xm:sqref>K42</xm:sqref>
        </x14:dataValidation>
        <x14:dataValidation xr:uid="{00EC0024-005C-4309-80F3-00AE00D300CE}"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AF42</xm:sqref>
        </x14:dataValidation>
        <x14:dataValidation xr:uid="{00590021-00BA-4FFE-B992-00A600E20091}"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AI42</xm:sqref>
        </x14:dataValidation>
        <x14:dataValidation xr:uid="{0049004D-002D-45FC-ABA7-001B00520038}"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I43</xm:sqref>
        </x14:dataValidation>
        <x14:dataValidation xr:uid="{00AB0050-00B8-47DC-91F6-0098009D0033}"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J43</xm:sqref>
        </x14:dataValidation>
        <x14:dataValidation xr:uid="{00EC0082-0048-405B-9FA4-002400FE008C}" type="textLength" allowBlank="1" error="Допускается ввод не более 900 символов!" errorStyle="stop" errorTitle="Ошибка" imeMode="noControl" operator="lessThanOrEqual" showDropDown="0" showErrorMessage="1" showInputMessage="1">
          <x14:formula1>
            <xm:f>900</xm:f>
          </x14:formula1>
          <xm:sqref>K43</xm:sqref>
        </x14:dataValidation>
        <x14:dataValidation xr:uid="{001A0082-00E7-4DE2-A882-00C60028002A}"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AC43</xm:sqref>
        </x14:dataValidation>
        <x14:dataValidation xr:uid="{00FD007F-00D4-4DCA-9D94-0087009D0039}"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AE43</xm:sqref>
        </x14:dataValidation>
        <x14:dataValidation xr:uid="{005C00F9-0042-46D0-87B4-00F200170071}"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AF43</xm:sqref>
        </x14:dataValidation>
        <x14:dataValidation xr:uid="{00900088-0073-4066-9656-00F1001D0041}"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AI43</xm:sqref>
        </x14:dataValidation>
        <x14:dataValidation xr:uid="{006F0099-003B-4F35-92CA-00B9004E009C}"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I45</xm:sqref>
        </x14:dataValidation>
        <x14:dataValidation xr:uid="{0065009F-0023-45F4-BAFA-00A4002000D8}"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J45</xm:sqref>
        </x14:dataValidation>
        <x14:dataValidation xr:uid="{00140067-00AC-40D3-8372-00B30091003B}" type="textLength" allowBlank="1" error="Допускается ввод не более 900 символов!" errorStyle="stop" errorTitle="Ошибка" imeMode="noControl" operator="lessThanOrEqual" showDropDown="0" showErrorMessage="1" showInputMessage="1">
          <x14:formula1>
            <xm:f>900</xm:f>
          </x14:formula1>
          <xm:sqref>K45</xm:sqref>
        </x14:dataValidation>
        <x14:dataValidation xr:uid="{006800C0-0038-40CC-9F7E-00B0005800CA}"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AF45</xm:sqref>
        </x14:dataValidation>
        <x14:dataValidation xr:uid="{008C002B-007F-4AB4-B958-00E600790086}"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AI45</xm:sqref>
        </x14:dataValidation>
        <x14:dataValidation xr:uid="{002E00F9-00CD-43F3-BE90-002E00CF009F}"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AF46</xm:sqref>
        </x14:dataValidation>
        <x14:dataValidation xr:uid="{00230046-00A0-4159-904E-003900AC005E}"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AI46</xm:sqref>
        </x14:dataValidation>
        <x14:dataValidation xr:uid="{00B6002C-0013-4F2F-AD51-005300F700F8}"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I47</xm:sqref>
        </x14:dataValidation>
        <x14:dataValidation xr:uid="{003200CE-009D-4D92-9611-00720013008D}"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J47</xm:sqref>
        </x14:dataValidation>
        <x14:dataValidation xr:uid="{0028008D-00BE-4CCA-9CF3-00C500FC006C}" type="textLength" allowBlank="1" error="Допускается ввод не более 900 символов!" errorStyle="stop" errorTitle="Ошибка" imeMode="noControl" operator="lessThanOrEqual" showDropDown="0" showErrorMessage="1" showInputMessage="1">
          <x14:formula1>
            <xm:f>900</xm:f>
          </x14:formula1>
          <xm:sqref>K47</xm:sqref>
        </x14:dataValidation>
        <x14:dataValidation xr:uid="{005F00E7-00A1-4B66-BEA0-005A00C6006B}" type="textLength" allowBlank="1" error="Допускается ввод не более 900 символов!" errorStyle="stop" errorTitle="Ошибка" imeMode="noControl" operator="lessThanOrEqual" showDropDown="0" showErrorMessage="1" showInputMessage="1">
          <x14:formula1>
            <xm:f>900</xm:f>
          </x14:formula1>
          <xm:sqref>M47</xm:sqref>
        </x14:dataValidation>
        <x14:dataValidation xr:uid="{00DA007D-0050-494D-9984-0023003A0098}"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AF47</xm:sqref>
        </x14:dataValidation>
        <x14:dataValidation xr:uid="{00F90027-00EA-488C-B5C4-001C00EF0063}"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AI47</xm:sqref>
        </x14:dataValidation>
        <x14:dataValidation xr:uid="{001600D9-00E6-41AB-BCE9-005800ED00E6}"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I48</xm:sqref>
        </x14:dataValidation>
        <x14:dataValidation xr:uid="{006C0072-00C1-46D4-B8F1-00DA003300AC}"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J48</xm:sqref>
        </x14:dataValidation>
        <x14:dataValidation xr:uid="{00480023-00B1-42E5-868E-0034009500FB}" type="textLength" allowBlank="1" error="Допускается ввод не более 900 символов!" errorStyle="stop" errorTitle="Ошибка" imeMode="noControl" operator="lessThanOrEqual" showDropDown="0" showErrorMessage="1" showInputMessage="1">
          <x14:formula1>
            <xm:f>900</xm:f>
          </x14:formula1>
          <xm:sqref>K48</xm:sqref>
        </x14:dataValidation>
        <x14:dataValidation xr:uid="{00100026-0065-4A29-A1EF-003E003F00A1}"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AF48</xm:sqref>
        </x14:dataValidation>
        <x14:dataValidation xr:uid="{00110014-0099-4D65-A207-00C0007F0052}"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AI48</xm:sqref>
        </x14:dataValidation>
        <x14:dataValidation xr:uid="{00AC000E-0096-4EB0-A7FF-002400EF00CD}"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I49</xm:sqref>
        </x14:dataValidation>
        <x14:dataValidation xr:uid="{0094005A-0018-41F3-8256-00F50042002C}"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J49</xm:sqref>
        </x14:dataValidation>
        <x14:dataValidation xr:uid="{00500091-00E8-48FD-B3A8-00C200980058}" type="textLength" allowBlank="1" error="Допускается ввод не более 900 символов!" errorStyle="stop" errorTitle="Ошибка" imeMode="noControl" operator="lessThanOrEqual" showDropDown="0" showErrorMessage="1" showInputMessage="1">
          <x14:formula1>
            <xm:f>900</xm:f>
          </x14:formula1>
          <xm:sqref>K49</xm:sqref>
        </x14:dataValidation>
        <x14:dataValidation xr:uid="{00B800DE-0062-44EB-BB60-004E00520067}"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AC49</xm:sqref>
        </x14:dataValidation>
        <x14:dataValidation xr:uid="{00C500AE-0068-4599-8A09-005A00020051}"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AE49</xm:sqref>
        </x14:dataValidation>
        <x14:dataValidation xr:uid="{00130032-0030-48BB-8DD6-00D600A300AA}"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AF49</xm:sqref>
        </x14:dataValidation>
        <x14:dataValidation xr:uid="{00440016-0026-41DC-889B-009500F400C8}"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AI49</xm:sqref>
        </x14:dataValidation>
        <x14:dataValidation xr:uid="{0018001C-00EE-40C6-9E94-001000640078}"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I50</xm:sqref>
        </x14:dataValidation>
        <x14:dataValidation xr:uid="{0088004F-00C8-47DE-A82D-001A007600F1}"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J50</xm:sqref>
        </x14:dataValidation>
        <x14:dataValidation xr:uid="{001E003A-0058-4F56-A775-00260025006B}" type="textLength" allowBlank="1" error="Допускается ввод не более 900 символов!" errorStyle="stop" errorTitle="Ошибка" imeMode="noControl" operator="lessThanOrEqual" showDropDown="0" showErrorMessage="1" showInputMessage="1">
          <x14:formula1>
            <xm:f>900</xm:f>
          </x14:formula1>
          <xm:sqref>K50</xm:sqref>
        </x14:dataValidation>
        <x14:dataValidation xr:uid="{006E006C-00FA-47F5-8DC0-00E400CF004C}"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AF50</xm:sqref>
        </x14:dataValidation>
        <x14:dataValidation xr:uid="{005C003D-00EE-446B-8387-00D2007D005E}"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AI50</xm:sqref>
        </x14:dataValidation>
        <x14:dataValidation xr:uid="{008A00CC-0035-4C1F-8FC1-00E600570065}"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AF51</xm:sqref>
        </x14:dataValidation>
        <x14:dataValidation xr:uid="{009600CF-00EA-4E4A-A719-00B000F2005B}"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AI51</xm:sqref>
        </x14:dataValidation>
        <x14:dataValidation xr:uid="{000D001D-002B-41AE-BE55-00BE00B400B9}"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I52</xm:sqref>
        </x14:dataValidation>
        <x14:dataValidation xr:uid="{00420070-006F-4ADD-BCA9-003200EF00A8}"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J52</xm:sqref>
        </x14:dataValidation>
        <x14:dataValidation xr:uid="{00E7006F-0052-4A8C-A216-0086005600C6}" type="textLength" allowBlank="1" error="Допускается ввод не более 900 символов!" errorStyle="stop" errorTitle="Ошибка" imeMode="noControl" operator="lessThanOrEqual" showDropDown="0" showErrorMessage="1" showInputMessage="1">
          <x14:formula1>
            <xm:f>900</xm:f>
          </x14:formula1>
          <xm:sqref>K52</xm:sqref>
        </x14:dataValidation>
        <x14:dataValidation xr:uid="{00C30024-0067-430A-B3D5-0098001F0044}" type="textLength" allowBlank="1" error="Допускается ввод не более 900 символов!" errorStyle="stop" errorTitle="Ошибка" imeMode="noControl" operator="lessThanOrEqual" showDropDown="0" showErrorMessage="1" showInputMessage="1">
          <x14:formula1>
            <xm:f>900</xm:f>
          </x14:formula1>
          <xm:sqref>M52</xm:sqref>
        </x14:dataValidation>
        <x14:dataValidation xr:uid="{00B500D7-008F-4A0D-8EB5-007200E2001B}"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AF52</xm:sqref>
        </x14:dataValidation>
        <x14:dataValidation xr:uid="{003E009E-0039-4178-BE25-00C90009007E}"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AI52</xm:sqref>
        </x14:dataValidation>
        <x14:dataValidation xr:uid="{00BA0002-0092-4A76-911E-00230024008F}"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I53</xm:sqref>
        </x14:dataValidation>
        <x14:dataValidation xr:uid="{001D007F-006C-4B02-84CE-0048009A00B1}"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J53</xm:sqref>
        </x14:dataValidation>
        <x14:dataValidation xr:uid="{00FF0012-00BE-4181-B3DE-00E700F1004F}" type="textLength" allowBlank="1" error="Допускается ввод не более 900 символов!" errorStyle="stop" errorTitle="Ошибка" imeMode="noControl" operator="lessThanOrEqual" showDropDown="0" showErrorMessage="1" showInputMessage="1">
          <x14:formula1>
            <xm:f>900</xm:f>
          </x14:formula1>
          <xm:sqref>K53</xm:sqref>
        </x14:dataValidation>
        <x14:dataValidation xr:uid="{00A3007D-00FA-4614-B08F-005B00DB00C7}"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AF53</xm:sqref>
        </x14:dataValidation>
        <x14:dataValidation xr:uid="{00E4004F-00C1-4432-AB83-00BF00A0001E}"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AI53</xm:sqref>
        </x14:dataValidation>
        <x14:dataValidation xr:uid="{0053007B-001E-4C04-A035-009F0098005C}"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I54</xm:sqref>
        </x14:dataValidation>
        <x14:dataValidation xr:uid="{00E90090-00C2-4B21-9C0C-00B000630010}"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J54</xm:sqref>
        </x14:dataValidation>
        <x14:dataValidation xr:uid="{00040054-00A6-4DE6-BE22-002800EC009D}" type="textLength" allowBlank="1" error="Допускается ввод не более 900 символов!" errorStyle="stop" errorTitle="Ошибка" imeMode="noControl" operator="lessThanOrEqual" showDropDown="0" showErrorMessage="1" showInputMessage="1">
          <x14:formula1>
            <xm:f>900</xm:f>
          </x14:formula1>
          <xm:sqref>K54</xm:sqref>
        </x14:dataValidation>
        <x14:dataValidation xr:uid="{0031005D-00E9-4FD5-AE22-009900130046}"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AC54</xm:sqref>
        </x14:dataValidation>
        <x14:dataValidation xr:uid="{002B00D9-000A-4F1B-A73F-008F00FC0081}"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AE54</xm:sqref>
        </x14:dataValidation>
        <x14:dataValidation xr:uid="{00E80078-004C-404B-9B02-00BC0089006D}"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AF54</xm:sqref>
        </x14:dataValidation>
        <x14:dataValidation xr:uid="{008D0023-00ED-4E46-902D-009900A00038}"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AI54</xm:sqref>
        </x14:dataValidation>
        <x14:dataValidation xr:uid="{00260007-0063-4FA5-9F2F-000600BC0001}"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I55</xm:sqref>
        </x14:dataValidation>
        <x14:dataValidation xr:uid="{000E00A5-0085-49A0-9253-00AC0096005F}"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J55</xm:sqref>
        </x14:dataValidation>
        <x14:dataValidation xr:uid="{00E60041-0015-49AE-B633-009D0061000E}" type="textLength" allowBlank="1" error="Допускается ввод не более 900 символов!" errorStyle="stop" errorTitle="Ошибка" imeMode="noControl" operator="lessThanOrEqual" showDropDown="0" showErrorMessage="1" showInputMessage="1">
          <x14:formula1>
            <xm:f>900</xm:f>
          </x14:formula1>
          <xm:sqref>K55</xm:sqref>
        </x14:dataValidation>
        <x14:dataValidation xr:uid="{00C80089-0028-42C7-8F0B-000500DA00B5}"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AF55</xm:sqref>
        </x14:dataValidation>
        <x14:dataValidation xr:uid="{005100B0-00A5-41F2-8321-009E008F00E4}"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AI55</xm:sqref>
        </x14:dataValidation>
        <x14:dataValidation xr:uid="{00EF00EA-0071-46E1-8B35-00CC005C003B}"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AF56</xm:sqref>
        </x14:dataValidation>
        <x14:dataValidation xr:uid="{00510067-0089-459C-8B56-0048008700D3}"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AI56</xm:sqref>
        </x14:dataValidation>
        <x14:dataValidation xr:uid="{007900F3-00D6-4794-B5B6-004D006C0063}"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I63</xm:sqref>
        </x14:dataValidation>
        <x14:dataValidation xr:uid="{007300A9-00B3-4437-8AE0-000300920065}"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J63</xm:sqref>
        </x14:dataValidation>
        <x14:dataValidation xr:uid="{00B900E1-0039-49E6-A117-004F00750010}" type="textLength" allowBlank="1" error="Допускается ввод не более 900 символов!" errorStyle="stop" errorTitle="Ошибка" imeMode="noControl" operator="lessThanOrEqual" showDropDown="0" showErrorMessage="1" showInputMessage="1">
          <x14:formula1>
            <xm:f>900</xm:f>
          </x14:formula1>
          <xm:sqref>K63</xm:sqref>
        </x14:dataValidation>
        <x14:dataValidation xr:uid="{001600AD-00A2-46B3-B448-003A002900C0}" type="textLength" allowBlank="1" error="Допускается ввод не более 900 символов!" errorStyle="stop" errorTitle="Ошибка" imeMode="noControl" operator="lessThanOrEqual" showDropDown="0" showErrorMessage="1" showInputMessage="1">
          <x14:formula1>
            <xm:f>900</xm:f>
          </x14:formula1>
          <xm:sqref>M63</xm:sqref>
        </x14:dataValidation>
        <x14:dataValidation xr:uid="{0037001C-0035-45D1-9CD5-004100FB000E}"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AF63</xm:sqref>
        </x14:dataValidation>
        <x14:dataValidation xr:uid="{00E20071-0037-44D2-86AB-008E001F00C7}"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AI63</xm:sqref>
        </x14:dataValidation>
        <x14:dataValidation xr:uid="{00B9004C-00B5-4EF9-A193-00D400C000AC}"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I64</xm:sqref>
        </x14:dataValidation>
        <x14:dataValidation xr:uid="{003700A8-00C3-4A29-A2FD-0015008700DE}"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J64</xm:sqref>
        </x14:dataValidation>
        <x14:dataValidation xr:uid="{00E500C6-00F6-491E-B5EA-00DA00E900BE}" type="textLength" allowBlank="1" error="Допускается ввод не более 900 символов!" errorStyle="stop" errorTitle="Ошибка" imeMode="noControl" operator="lessThanOrEqual" showDropDown="0" showErrorMessage="1" showInputMessage="1">
          <x14:formula1>
            <xm:f>900</xm:f>
          </x14:formula1>
          <xm:sqref>K64</xm:sqref>
        </x14:dataValidation>
        <x14:dataValidation xr:uid="{003900CA-0055-4E8C-9A78-00E400550015}"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AF64</xm:sqref>
        </x14:dataValidation>
        <x14:dataValidation xr:uid="{003200C9-0018-4153-A3C4-00CC009E0016}"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AI64</xm:sqref>
        </x14:dataValidation>
        <x14:dataValidation xr:uid="{005F0000-006B-4BA1-AD40-00C300DE009F}"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I65</xm:sqref>
        </x14:dataValidation>
        <x14:dataValidation xr:uid="{00E60059-00B5-41D1-B968-00EF00DA0055}"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J65</xm:sqref>
        </x14:dataValidation>
        <x14:dataValidation xr:uid="{00A800D0-0099-4D92-BF70-00CE003D000A}" type="textLength" allowBlank="1" error="Допускается ввод не более 900 символов!" errorStyle="stop" errorTitle="Ошибка" imeMode="noControl" operator="lessThanOrEqual" showDropDown="0" showErrorMessage="1" showInputMessage="1">
          <x14:formula1>
            <xm:f>900</xm:f>
          </x14:formula1>
          <xm:sqref>K65</xm:sqref>
        </x14:dataValidation>
        <x14:dataValidation xr:uid="{005400BD-0081-48B4-800C-00B8009C0037}"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AC65</xm:sqref>
        </x14:dataValidation>
        <x14:dataValidation xr:uid="{00410060-001C-4CEC-A6C7-001C0080005F}"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AE65</xm:sqref>
        </x14:dataValidation>
        <x14:dataValidation xr:uid="{000F00AE-000D-4A05-B851-00B4004F00F7}"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AF65</xm:sqref>
        </x14:dataValidation>
        <x14:dataValidation xr:uid="{004D0085-0076-4016-9A1C-00A6007D004A}"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AI65</xm:sqref>
        </x14:dataValidation>
        <x14:dataValidation xr:uid="{001E001B-0095-4ABE-AAFF-00D8003D0012}"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I66</xm:sqref>
        </x14:dataValidation>
        <x14:dataValidation xr:uid="{004B0043-007F-4954-9234-001F00370016}"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J66</xm:sqref>
        </x14:dataValidation>
        <x14:dataValidation xr:uid="{004F00E3-00C1-4805-9BE2-001300F700CF}" type="textLength" allowBlank="1" error="Допускается ввод не более 900 символов!" errorStyle="stop" errorTitle="Ошибка" imeMode="noControl" operator="lessThanOrEqual" showDropDown="0" showErrorMessage="1" showInputMessage="1">
          <x14:formula1>
            <xm:f>900</xm:f>
          </x14:formula1>
          <xm:sqref>K66</xm:sqref>
        </x14:dataValidation>
        <x14:dataValidation xr:uid="{001300A2-00B2-4B00-93C1-002C008A003E}"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AF66</xm:sqref>
        </x14:dataValidation>
        <x14:dataValidation xr:uid="{002600CC-00F5-4F10-B1AD-00DA007A00EF}"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AI66</xm:sqref>
        </x14:dataValidation>
        <x14:dataValidation xr:uid="{003900CB-006B-466A-8BFF-002800EB002C}"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AF67</xm:sqref>
        </x14:dataValidation>
        <x14:dataValidation xr:uid="{00DE00B7-00F1-4FA0-8A77-000D00DE0062}"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AI67</xm:sqref>
        </x14:dataValidation>
        <x14:dataValidation xr:uid="{0085008E-00D5-4795-9B7F-003300E3007B}"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I68</xm:sqref>
        </x14:dataValidation>
        <x14:dataValidation xr:uid="{008A0085-00FF-455D-99AC-00330068004F}"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J68</xm:sqref>
        </x14:dataValidation>
        <x14:dataValidation xr:uid="{007B008E-00D6-4F18-B9FE-000A00AD00EA}" type="textLength" allowBlank="1" error="Допускается ввод не более 900 символов!" errorStyle="stop" errorTitle="Ошибка" imeMode="noControl" operator="lessThanOrEqual" showDropDown="0" showErrorMessage="1" showInputMessage="1">
          <x14:formula1>
            <xm:f>900</xm:f>
          </x14:formula1>
          <xm:sqref>K68</xm:sqref>
        </x14:dataValidation>
        <x14:dataValidation xr:uid="{00070033-0099-408C-B147-00E2009B00B4}" type="textLength" allowBlank="1" error="Допускается ввод не более 900 символов!" errorStyle="stop" errorTitle="Ошибка" imeMode="noControl" operator="lessThanOrEqual" showDropDown="0" showErrorMessage="1" showInputMessage="1">
          <x14:formula1>
            <xm:f>900</xm:f>
          </x14:formula1>
          <xm:sqref>M68</xm:sqref>
        </x14:dataValidation>
        <x14:dataValidation xr:uid="{008A0097-0011-4C3B-BE5A-00830066007D}"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AF68</xm:sqref>
        </x14:dataValidation>
        <x14:dataValidation xr:uid="{00B30061-006F-4CC9-BFCF-00EA00CA007A}"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AI68</xm:sqref>
        </x14:dataValidation>
        <x14:dataValidation xr:uid="{00F600B0-0096-4D42-AAD8-0008006C001D}"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I69</xm:sqref>
        </x14:dataValidation>
        <x14:dataValidation xr:uid="{00A900C5-007E-462C-8264-004B00930031}"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J69</xm:sqref>
        </x14:dataValidation>
        <x14:dataValidation xr:uid="{00D400A9-0053-4B5A-80CC-00BC004800E4}" type="textLength" allowBlank="1" error="Допускается ввод не более 900 символов!" errorStyle="stop" errorTitle="Ошибка" imeMode="noControl" operator="lessThanOrEqual" showDropDown="0" showErrorMessage="1" showInputMessage="1">
          <x14:formula1>
            <xm:f>900</xm:f>
          </x14:formula1>
          <xm:sqref>K69</xm:sqref>
        </x14:dataValidation>
        <x14:dataValidation xr:uid="{0020009B-000D-4B03-82EB-00AB0093001E}"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AF69</xm:sqref>
        </x14:dataValidation>
        <x14:dataValidation xr:uid="{006A00B1-0006-4939-9C94-005500A30079}"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AI69</xm:sqref>
        </x14:dataValidation>
        <x14:dataValidation xr:uid="{005E006F-00EE-427A-9296-002800FC0099}"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I70</xm:sqref>
        </x14:dataValidation>
        <x14:dataValidation xr:uid="{009C0064-0027-457E-9513-007D002B0036}"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J70</xm:sqref>
        </x14:dataValidation>
        <x14:dataValidation xr:uid="{009600DD-001F-461D-846B-0084001000BA}" type="textLength" allowBlank="1" error="Допускается ввод не более 900 символов!" errorStyle="stop" errorTitle="Ошибка" imeMode="noControl" operator="lessThanOrEqual" showDropDown="0" showErrorMessage="1" showInputMessage="1">
          <x14:formula1>
            <xm:f>900</xm:f>
          </x14:formula1>
          <xm:sqref>K70</xm:sqref>
        </x14:dataValidation>
        <x14:dataValidation xr:uid="{00D20065-0002-4239-8548-0051003300C2}"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AC70</xm:sqref>
        </x14:dataValidation>
        <x14:dataValidation xr:uid="{00B200D8-0006-4D7C-8596-0097008E00FF}"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AE70</xm:sqref>
        </x14:dataValidation>
        <x14:dataValidation xr:uid="{0037004C-00A7-457C-9AA2-004300550031}"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AF70</xm:sqref>
        </x14:dataValidation>
        <x14:dataValidation xr:uid="{00B1006A-00D2-49EF-891C-00F400D000B7}"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AI70</xm:sqref>
        </x14:dataValidation>
        <x14:dataValidation xr:uid="{00BD0010-0012-47BE-86E2-00AC00BB0005}"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I72</xm:sqref>
        </x14:dataValidation>
        <x14:dataValidation xr:uid="{00DF00CE-000E-44AE-B7F0-003600A700A0}"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J72</xm:sqref>
        </x14:dataValidation>
        <x14:dataValidation xr:uid="{00700017-00DC-4BB9-A24D-008F00110064}" type="textLength" allowBlank="1" error="Допускается ввод не более 900 символов!" errorStyle="stop" errorTitle="Ошибка" imeMode="noControl" operator="lessThanOrEqual" showDropDown="0" showErrorMessage="1" showInputMessage="1">
          <x14:formula1>
            <xm:f>900</xm:f>
          </x14:formula1>
          <xm:sqref>K72</xm:sqref>
        </x14:dataValidation>
        <x14:dataValidation xr:uid="{00E3004D-00AF-4BDE-BED3-0045000C00AC}"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AF72</xm:sqref>
        </x14:dataValidation>
        <x14:dataValidation xr:uid="{00AC00E6-0031-450C-9820-002100FA006B}"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AI72</xm:sqref>
        </x14:dataValidation>
        <x14:dataValidation xr:uid="{008F0066-0096-462B-8D8B-00C8001C00D8}"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AF73</xm:sqref>
        </x14:dataValidation>
        <x14:dataValidation xr:uid="{007E00D1-0087-45D1-9D29-006F00F500A8}"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AI73</xm:sqref>
        </x14:dataValidation>
        <x14:dataValidation xr:uid="{00310054-0067-45C6-A7B3-001A00160093}"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I74</xm:sqref>
        </x14:dataValidation>
        <x14:dataValidation xr:uid="{007E0019-0040-4EA6-88F4-005A00750061}"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J74</xm:sqref>
        </x14:dataValidation>
        <x14:dataValidation xr:uid="{00200016-006B-4278-A011-000500E1005C}" type="textLength" allowBlank="1" error="Допускается ввод не более 900 символов!" errorStyle="stop" errorTitle="Ошибка" imeMode="noControl" operator="lessThanOrEqual" showDropDown="0" showErrorMessage="1" showInputMessage="1">
          <x14:formula1>
            <xm:f>900</xm:f>
          </x14:formula1>
          <xm:sqref>K74</xm:sqref>
        </x14:dataValidation>
        <x14:dataValidation xr:uid="{00A000B0-0052-410D-B50C-008100860060}" type="textLength" allowBlank="1" error="Допускается ввод не более 900 символов!" errorStyle="stop" errorTitle="Ошибка" imeMode="noControl" operator="lessThanOrEqual" showDropDown="0" showErrorMessage="1" showInputMessage="1">
          <x14:formula1>
            <xm:f>900</xm:f>
          </x14:formula1>
          <xm:sqref>M74</xm:sqref>
        </x14:dataValidation>
        <x14:dataValidation xr:uid="{00930060-0065-4E31-A66E-001100CA0069}"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AF74</xm:sqref>
        </x14:dataValidation>
        <x14:dataValidation xr:uid="{005600FE-001A-4EFA-8518-000000BA00DA}"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AI74</xm:sqref>
        </x14:dataValidation>
        <x14:dataValidation xr:uid="{00CF0093-00F4-486E-B248-00DE000300FB}"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I75</xm:sqref>
        </x14:dataValidation>
        <x14:dataValidation xr:uid="{00D00027-00B1-4467-9099-00010014007A}"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J75</xm:sqref>
        </x14:dataValidation>
        <x14:dataValidation xr:uid="{0077003F-005F-419D-BBBE-00FF0038007B}" type="textLength" allowBlank="1" error="Допускается ввод не более 900 символов!" errorStyle="stop" errorTitle="Ошибка" imeMode="noControl" operator="lessThanOrEqual" showDropDown="0" showErrorMessage="1" showInputMessage="1">
          <x14:formula1>
            <xm:f>900</xm:f>
          </x14:formula1>
          <xm:sqref>K75</xm:sqref>
        </x14:dataValidation>
        <x14:dataValidation xr:uid="{00550069-00F6-425A-A76D-00F700400019}"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AF75</xm:sqref>
        </x14:dataValidation>
        <x14:dataValidation xr:uid="{00B60037-005C-473C-A41E-00C9004700F9}"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AI75</xm:sqref>
        </x14:dataValidation>
        <x14:dataValidation xr:uid="{006400A8-0065-4BE9-8E61-003E00380071}"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I76</xm:sqref>
        </x14:dataValidation>
        <x14:dataValidation xr:uid="{001F00B3-0050-4506-902F-001000A7009E}"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J76</xm:sqref>
        </x14:dataValidation>
        <x14:dataValidation xr:uid="{009A003F-009B-49A0-9B5F-003200AA0090}" type="textLength" allowBlank="1" error="Допускается ввод не более 900 символов!" errorStyle="stop" errorTitle="Ошибка" imeMode="noControl" operator="lessThanOrEqual" showDropDown="0" showErrorMessage="1" showInputMessage="1">
          <x14:formula1>
            <xm:f>900</xm:f>
          </x14:formula1>
          <xm:sqref>K76</xm:sqref>
        </x14:dataValidation>
        <x14:dataValidation xr:uid="{00D600D5-0039-4D65-ABD7-0002000800E3}"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AC76</xm:sqref>
        </x14:dataValidation>
        <x14:dataValidation xr:uid="{001700BE-0056-4579-AEAA-00AE00130071}"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AE76</xm:sqref>
        </x14:dataValidation>
        <x14:dataValidation xr:uid="{00AE0022-0005-4D1E-9F8B-005200CE00FD}"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AF76</xm:sqref>
        </x14:dataValidation>
        <x14:dataValidation xr:uid="{00D200EA-00D8-41EF-B8BA-0098005400B0}"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AI76</xm:sqref>
        </x14:dataValidation>
        <x14:dataValidation xr:uid="{0096001B-00C7-4A25-97B6-00F100EC00E0}"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I77</xm:sqref>
        </x14:dataValidation>
        <x14:dataValidation xr:uid="{001C006A-00AE-481F-A0DF-00F000C900DA}"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J77</xm:sqref>
        </x14:dataValidation>
        <x14:dataValidation xr:uid="{0072004A-0041-46C2-837F-001F00BD007D}" type="textLength" allowBlank="1" error="Допускается ввод не более 900 символов!" errorStyle="stop" errorTitle="Ошибка" imeMode="noControl" operator="lessThanOrEqual" showDropDown="0" showErrorMessage="1" showInputMessage="1">
          <x14:formula1>
            <xm:f>900</xm:f>
          </x14:formula1>
          <xm:sqref>K77</xm:sqref>
        </x14:dataValidation>
        <x14:dataValidation xr:uid="{009B0057-00AD-44BA-A14F-00C300E20095}"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AF77</xm:sqref>
        </x14:dataValidation>
        <x14:dataValidation xr:uid="{00EA0056-00FC-4410-89A4-00E00049009A}"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AI77</xm:sqref>
        </x14:dataValidation>
        <x14:dataValidation xr:uid="{00720001-00A8-45F5-88B9-003E004600C5}"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AF78</xm:sqref>
        </x14:dataValidation>
        <x14:dataValidation xr:uid="{00F8009A-0057-4362-85FD-000D00210065}"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AI78</xm:sqref>
        </x14:dataValidation>
        <x14:dataValidation xr:uid="{00A5008F-00D4-450B-807C-007D005D003A}"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I79</xm:sqref>
        </x14:dataValidation>
        <x14:dataValidation xr:uid="{00310018-00BA-426C-81F4-00640070001D}"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J79</xm:sqref>
        </x14:dataValidation>
        <x14:dataValidation xr:uid="{00640068-0018-4AFE-A892-001600560001}" type="textLength" allowBlank="1" error="Допускается ввод не более 900 символов!" errorStyle="stop" errorTitle="Ошибка" imeMode="noControl" operator="lessThanOrEqual" showDropDown="0" showErrorMessage="1" showInputMessage="1">
          <x14:formula1>
            <xm:f>900</xm:f>
          </x14:formula1>
          <xm:sqref>K79</xm:sqref>
        </x14:dataValidation>
        <x14:dataValidation xr:uid="{00070093-0026-48CD-B83A-008C00750039}" type="textLength" allowBlank="1" error="Допускается ввод не более 900 символов!" errorStyle="stop" errorTitle="Ошибка" imeMode="noControl" operator="lessThanOrEqual" showDropDown="0" showErrorMessage="1" showInputMessage="1">
          <x14:formula1>
            <xm:f>900</xm:f>
          </x14:formula1>
          <xm:sqref>M79</xm:sqref>
        </x14:dataValidation>
        <x14:dataValidation xr:uid="{00020034-008B-44E5-8E3A-00FB00100084}"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AF79</xm:sqref>
        </x14:dataValidation>
        <x14:dataValidation xr:uid="{00540098-0048-4753-9460-0030009800FB}"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AI79</xm:sqref>
        </x14:dataValidation>
        <x14:dataValidation xr:uid="{00000000-00B2-4EC7-B5B3-004A00AF009E}"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I80</xm:sqref>
        </x14:dataValidation>
        <x14:dataValidation xr:uid="{003700FB-002F-4BB3-B9EF-009B008C0027}"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J80</xm:sqref>
        </x14:dataValidation>
        <x14:dataValidation xr:uid="{007D0027-00FA-4382-BD0A-00C600F7003F}" type="textLength" allowBlank="1" error="Допускается ввод не более 900 символов!" errorStyle="stop" errorTitle="Ошибка" imeMode="noControl" operator="lessThanOrEqual" showDropDown="0" showErrorMessage="1" showInputMessage="1">
          <x14:formula1>
            <xm:f>900</xm:f>
          </x14:formula1>
          <xm:sqref>K80</xm:sqref>
        </x14:dataValidation>
        <x14:dataValidation xr:uid="{003D0039-007C-489F-9555-00E400570092}"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AF80</xm:sqref>
        </x14:dataValidation>
        <x14:dataValidation xr:uid="{005D00F2-00DA-4D35-9BD4-00D90083002B}"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AI80</xm:sqref>
        </x14:dataValidation>
        <x14:dataValidation xr:uid="{00FC0050-004D-46BD-9BDD-0051008E0066}"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I81</xm:sqref>
        </x14:dataValidation>
        <x14:dataValidation xr:uid="{00A30043-0048-4D10-9FEB-002100160044}"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J81</xm:sqref>
        </x14:dataValidation>
        <x14:dataValidation xr:uid="{00CF007B-00C2-44A3-9B97-00880027009F}" type="textLength" allowBlank="1" error="Допускается ввод не более 900 символов!" errorStyle="stop" errorTitle="Ошибка" imeMode="noControl" operator="lessThanOrEqual" showDropDown="0" showErrorMessage="1" showInputMessage="1">
          <x14:formula1>
            <xm:f>900</xm:f>
          </x14:formula1>
          <xm:sqref>K81</xm:sqref>
        </x14:dataValidation>
        <x14:dataValidation xr:uid="{009500D8-00B4-442E-8CF1-00C100540045}"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AC81</xm:sqref>
        </x14:dataValidation>
        <x14:dataValidation xr:uid="{00BA00FB-00FF-4176-8C73-00AE00290042}"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AE81</xm:sqref>
        </x14:dataValidation>
        <x14:dataValidation xr:uid="{000300C9-00C3-4A64-BA76-0080001C0015}"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AF81</xm:sqref>
        </x14:dataValidation>
        <x14:dataValidation xr:uid="{0059005D-00BC-4A13-B9BE-0041005100EA}"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AI81</xm:sqref>
        </x14:dataValidation>
        <x14:dataValidation xr:uid="{001400D4-00AC-41D2-BAD5-00D4001E0011}"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I82</xm:sqref>
        </x14:dataValidation>
        <x14:dataValidation xr:uid="{00970006-000F-4782-9C8D-0013008300D5}"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J82</xm:sqref>
        </x14:dataValidation>
        <x14:dataValidation xr:uid="{00350093-0086-4C4A-8E16-00BD0087002B}" type="textLength" allowBlank="1" error="Допускается ввод не более 900 символов!" errorStyle="stop" errorTitle="Ошибка" imeMode="noControl" operator="lessThanOrEqual" showDropDown="0" showErrorMessage="1" showInputMessage="1">
          <x14:formula1>
            <xm:f>900</xm:f>
          </x14:formula1>
          <xm:sqref>K82</xm:sqref>
        </x14:dataValidation>
        <x14:dataValidation xr:uid="{00A20044-0020-4191-A711-00C300D500D8}"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AF82</xm:sqref>
        </x14:dataValidation>
        <x14:dataValidation xr:uid="{009A0025-00B6-4EC4-BFDE-00E20018003E}"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AI82</xm:sqref>
        </x14:dataValidation>
        <x14:dataValidation xr:uid="{00730053-00EC-4B48-B813-00E600390039}"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AF83</xm:sqref>
        </x14:dataValidation>
        <x14:dataValidation xr:uid="{006F00F3-0097-4197-8844-000300100073}"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AI83</xm:sqref>
        </x14:dataValidation>
        <x14:dataValidation xr:uid="{001400A0-009F-43D6-A261-005A00B6006C}"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I84</xm:sqref>
        </x14:dataValidation>
        <x14:dataValidation xr:uid="{00720016-004B-4E38-8F6B-0025008200B7}"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J84</xm:sqref>
        </x14:dataValidation>
        <x14:dataValidation xr:uid="{005C003F-0080-4BE8-AAC9-002D00FC0084}" type="textLength" allowBlank="1" error="Допускается ввод не более 900 символов!" errorStyle="stop" errorTitle="Ошибка" imeMode="noControl" operator="lessThanOrEqual" showDropDown="0" showErrorMessage="1" showInputMessage="1">
          <x14:formula1>
            <xm:f>900</xm:f>
          </x14:formula1>
          <xm:sqref>K84</xm:sqref>
        </x14:dataValidation>
        <x14:dataValidation xr:uid="{00460097-000D-42DA-834A-001A00430091}" type="textLength" allowBlank="1" error="Допускается ввод не более 900 символов!" errorStyle="stop" errorTitle="Ошибка" imeMode="noControl" operator="lessThanOrEqual" showDropDown="0" showErrorMessage="1" showInputMessage="1">
          <x14:formula1>
            <xm:f>900</xm:f>
          </x14:formula1>
          <xm:sqref>M84</xm:sqref>
        </x14:dataValidation>
        <x14:dataValidation xr:uid="{004800AD-00E3-4490-A402-004300F100C3}"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AF84</xm:sqref>
        </x14:dataValidation>
        <x14:dataValidation xr:uid="{00A20010-00DA-4C1E-B0C4-00C400D30065}"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AI84</xm:sqref>
        </x14:dataValidation>
        <x14:dataValidation xr:uid="{004F001A-00AD-49BE-ACF0-006E003D00D6}"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I85</xm:sqref>
        </x14:dataValidation>
        <x14:dataValidation xr:uid="{00040010-000E-4841-83B7-0077003400F0}"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J85</xm:sqref>
        </x14:dataValidation>
        <x14:dataValidation xr:uid="{009D00D8-004B-4937-9531-009D005400FF}" type="textLength" allowBlank="1" error="Допускается ввод не более 900 символов!" errorStyle="stop" errorTitle="Ошибка" imeMode="noControl" operator="lessThanOrEqual" showDropDown="0" showErrorMessage="1" showInputMessage="1">
          <x14:formula1>
            <xm:f>900</xm:f>
          </x14:formula1>
          <xm:sqref>K85</xm:sqref>
        </x14:dataValidation>
        <x14:dataValidation xr:uid="{004C00DE-004B-4E76-8DE6-003B009C001E}"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AF85</xm:sqref>
        </x14:dataValidation>
        <x14:dataValidation xr:uid="{00EA0095-0025-48F9-8049-000A004C0088}"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AI85</xm:sqref>
        </x14:dataValidation>
        <x14:dataValidation xr:uid="{001A009F-00C5-4B1A-80E2-00B4000C0059}"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I86</xm:sqref>
        </x14:dataValidation>
        <x14:dataValidation xr:uid="{00A600ED-0082-4588-AF27-00AA003D0019}"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J86</xm:sqref>
        </x14:dataValidation>
        <x14:dataValidation xr:uid="{00FC00E0-00C0-4D73-8886-00E20028001E}" type="textLength" allowBlank="1" error="Допускается ввод не более 900 символов!" errorStyle="stop" errorTitle="Ошибка" imeMode="noControl" operator="lessThanOrEqual" showDropDown="0" showErrorMessage="1" showInputMessage="1">
          <x14:formula1>
            <xm:f>900</xm:f>
          </x14:formula1>
          <xm:sqref>K86</xm:sqref>
        </x14:dataValidation>
        <x14:dataValidation xr:uid="{006900EF-00D8-420F-80B7-004200EA000C}"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AC86</xm:sqref>
        </x14:dataValidation>
        <x14:dataValidation xr:uid="{00820019-00A3-4669-8466-000400A400E4}"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AE86</xm:sqref>
        </x14:dataValidation>
        <x14:dataValidation xr:uid="{0063000E-00C0-4245-A237-00D200C300E0}"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AF86</xm:sqref>
        </x14:dataValidation>
        <x14:dataValidation xr:uid="{00BC0058-00D7-44B0-AFA9-00F700F000E8}"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AI86</xm:sqref>
        </x14:dataValidation>
        <x14:dataValidation xr:uid="{0057003A-00B1-4F72-A564-00C2009A00C1}"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I87</xm:sqref>
        </x14:dataValidation>
        <x14:dataValidation xr:uid="{00C20040-006F-45E1-B20F-0056003E0055}"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J87</xm:sqref>
        </x14:dataValidation>
        <x14:dataValidation xr:uid="{00BB00DA-0039-4CD3-BF4B-002A00130032}" type="textLength" allowBlank="1" error="Допускается ввод не более 900 символов!" errorStyle="stop" errorTitle="Ошибка" imeMode="noControl" operator="lessThanOrEqual" showDropDown="0" showErrorMessage="1" showInputMessage="1">
          <x14:formula1>
            <xm:f>900</xm:f>
          </x14:formula1>
          <xm:sqref>K87</xm:sqref>
        </x14:dataValidation>
        <x14:dataValidation xr:uid="{00690096-006F-4AA8-8795-001700D10029}"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AF87</xm:sqref>
        </x14:dataValidation>
        <x14:dataValidation xr:uid="{005F00D3-0074-430A-B3A2-003A0058000A}"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AI87</xm:sqref>
        </x14:dataValidation>
        <x14:dataValidation xr:uid="{00CA0056-005E-4998-B59D-001E002900B2}"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AF88</xm:sqref>
        </x14:dataValidation>
        <x14:dataValidation xr:uid="{00E30000-001B-41B9-959E-004100800071}"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AI88</xm:sqref>
        </x14:dataValidation>
        <x14:dataValidation xr:uid="{009100FE-0053-4187-BE6B-00BD001700EC}"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I89</xm:sqref>
        </x14:dataValidation>
        <x14:dataValidation xr:uid="{005F0015-00E1-49AD-A55F-000D003800AC}"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J89</xm:sqref>
        </x14:dataValidation>
        <x14:dataValidation xr:uid="{0003006D-0049-4692-B275-00F30033000A}" type="textLength" allowBlank="1" error="Допускается ввод не более 900 символов!" errorStyle="stop" errorTitle="Ошибка" imeMode="noControl" operator="lessThanOrEqual" showDropDown="0" showErrorMessage="1" showInputMessage="1">
          <x14:formula1>
            <xm:f>900</xm:f>
          </x14:formula1>
          <xm:sqref>K89</xm:sqref>
        </x14:dataValidation>
        <x14:dataValidation xr:uid="{00B70066-0048-41CA-9C79-004800AF00CA}" type="textLength" allowBlank="1" error="Допускается ввод не более 900 символов!" errorStyle="stop" errorTitle="Ошибка" imeMode="noControl" operator="lessThanOrEqual" showDropDown="0" showErrorMessage="1" showInputMessage="1">
          <x14:formula1>
            <xm:f>900</xm:f>
          </x14:formula1>
          <xm:sqref>M89</xm:sqref>
        </x14:dataValidation>
        <x14:dataValidation xr:uid="{00230077-0049-4177-9755-004B0023005F}"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AF89</xm:sqref>
        </x14:dataValidation>
        <x14:dataValidation xr:uid="{0070008E-00EE-4666-9B12-00D900850082}"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AI89</xm:sqref>
        </x14:dataValidation>
        <x14:dataValidation xr:uid="{009500B7-0081-42CB-9125-001300820022}"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I90</xm:sqref>
        </x14:dataValidation>
        <x14:dataValidation xr:uid="{00A700B1-007F-4047-ABA8-001900FF0030}"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J90</xm:sqref>
        </x14:dataValidation>
        <x14:dataValidation xr:uid="{00C8003D-0005-4346-A51C-008D00FD00A3}" type="textLength" allowBlank="1" error="Допускается ввод не более 900 символов!" errorStyle="stop" errorTitle="Ошибка" imeMode="noControl" operator="lessThanOrEqual" showDropDown="0" showErrorMessage="1" showInputMessage="1">
          <x14:formula1>
            <xm:f>900</xm:f>
          </x14:formula1>
          <xm:sqref>K90</xm:sqref>
        </x14:dataValidation>
        <x14:dataValidation xr:uid="{00260060-0086-4B04-B229-00F70016008A}"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AF90</xm:sqref>
        </x14:dataValidation>
        <x14:dataValidation xr:uid="{00250069-0092-4EF5-B806-00DA00740008}"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AI90</xm:sqref>
        </x14:dataValidation>
        <x14:dataValidation xr:uid="{00A40080-00D1-4A01-A5F4-001F00820091}"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I91</xm:sqref>
        </x14:dataValidation>
        <x14:dataValidation xr:uid="{009C00DD-00FB-4012-BF8F-00BE000D00CE}"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J91</xm:sqref>
        </x14:dataValidation>
        <x14:dataValidation xr:uid="{0062003C-00ED-4F5A-8821-008C00D40011}" type="textLength" allowBlank="1" error="Допускается ввод не более 900 символов!" errorStyle="stop" errorTitle="Ошибка" imeMode="noControl" operator="lessThanOrEqual" showDropDown="0" showErrorMessage="1" showInputMessage="1">
          <x14:formula1>
            <xm:f>900</xm:f>
          </x14:formula1>
          <xm:sqref>K91</xm:sqref>
        </x14:dataValidation>
        <x14:dataValidation xr:uid="{003A007B-009F-42A9-A6AE-003600170061}"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AC91</xm:sqref>
        </x14:dataValidation>
        <x14:dataValidation xr:uid="{003900C7-0093-4B6B-BDB9-0013009A0021}"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AE91</xm:sqref>
        </x14:dataValidation>
        <x14:dataValidation xr:uid="{00920050-002B-4081-B102-004E008500A1}"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AF91</xm:sqref>
        </x14:dataValidation>
        <x14:dataValidation xr:uid="{002A00BC-00E5-4BC9-AEAB-00A800DC00FF}"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AI91</xm:sqref>
        </x14:dataValidation>
        <x14:dataValidation xr:uid="{00B200DF-00FB-4791-BA6F-008000F200FC}"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I92</xm:sqref>
        </x14:dataValidation>
        <x14:dataValidation xr:uid="{0027003B-009C-4D86-B4DA-00D500F30096}"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J92</xm:sqref>
        </x14:dataValidation>
        <x14:dataValidation xr:uid="{00B30035-002B-47B4-B26C-00DB00890021}" type="textLength" allowBlank="1" error="Допускается ввод не более 900 символов!" errorStyle="stop" errorTitle="Ошибка" imeMode="noControl" operator="lessThanOrEqual" showDropDown="0" showErrorMessage="1" showInputMessage="1">
          <x14:formula1>
            <xm:f>900</xm:f>
          </x14:formula1>
          <xm:sqref>K92</xm:sqref>
        </x14:dataValidation>
        <x14:dataValidation xr:uid="{00BE00FB-00CA-4EC2-BD71-000D00DD0007}"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AF92</xm:sqref>
        </x14:dataValidation>
        <x14:dataValidation xr:uid="{000D0000-0043-4577-9A09-0063007C00BC}"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AI92</xm:sqref>
        </x14:dataValidation>
        <x14:dataValidation xr:uid="{009300E4-004A-4571-94F2-000F00D50036}"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AF93</xm:sqref>
        </x14:dataValidation>
        <x14:dataValidation xr:uid="{00F1003A-006A-4BEA-B7B7-003500BF00D3}"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AI93</xm:sqref>
        </x14:dataValidation>
        <x14:dataValidation xr:uid="{00CE00C9-00BE-4312-B2D7-00C200480048}"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I100</xm:sqref>
        </x14:dataValidation>
        <x14:dataValidation xr:uid="{00A500BF-001D-436F-9419-001C002C003A}"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J100</xm:sqref>
        </x14:dataValidation>
        <x14:dataValidation xr:uid="{00EB00F7-0046-4118-A0C9-006200CE00F2}" type="textLength" allowBlank="1" error="Допускается ввод не более 900 символов!" errorStyle="stop" errorTitle="Ошибка" imeMode="noControl" operator="lessThanOrEqual" showDropDown="0" showErrorMessage="1" showInputMessage="1">
          <x14:formula1>
            <xm:f>900</xm:f>
          </x14:formula1>
          <xm:sqref>K100</xm:sqref>
        </x14:dataValidation>
        <x14:dataValidation xr:uid="{00DF00E0-00AC-4D97-B2B0-0072002C0005}" type="textLength" allowBlank="1" error="Допускается ввод не более 900 символов!" errorStyle="stop" errorTitle="Ошибка" imeMode="noControl" operator="lessThanOrEqual" showDropDown="0" showErrorMessage="1" showInputMessage="1">
          <x14:formula1>
            <xm:f>900</xm:f>
          </x14:formula1>
          <xm:sqref>M100</xm:sqref>
        </x14:dataValidation>
        <x14:dataValidation xr:uid="{009B00D5-00B2-4B61-BA97-00E900A300F4}"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AF100</xm:sqref>
        </x14:dataValidation>
        <x14:dataValidation xr:uid="{000100F4-000B-4A0E-832E-004C00F100DF}"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AI100</xm:sqref>
        </x14:dataValidation>
        <x14:dataValidation xr:uid="{00A100DC-005C-4A9C-BC00-0065005600D9}"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I101</xm:sqref>
        </x14:dataValidation>
        <x14:dataValidation xr:uid="{00EF00FE-0070-4CFB-AF64-0090004E0088}"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J101</xm:sqref>
        </x14:dataValidation>
        <x14:dataValidation xr:uid="{0079000F-00CB-449A-800B-00F600E80013}" type="textLength" allowBlank="1" error="Допускается ввод не более 900 символов!" errorStyle="stop" errorTitle="Ошибка" imeMode="noControl" operator="lessThanOrEqual" showDropDown="0" showErrorMessage="1" showInputMessage="1">
          <x14:formula1>
            <xm:f>900</xm:f>
          </x14:formula1>
          <xm:sqref>K101</xm:sqref>
        </x14:dataValidation>
        <x14:dataValidation xr:uid="{004100CC-00BC-4E67-9683-00C8005C00BC}"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AF101</xm:sqref>
        </x14:dataValidation>
        <x14:dataValidation xr:uid="{0015004F-000F-438D-830A-003200310012}"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AI101</xm:sqref>
        </x14:dataValidation>
        <x14:dataValidation xr:uid="{00630048-0033-424F-A71A-003500DF005D}"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I102</xm:sqref>
        </x14:dataValidation>
        <x14:dataValidation xr:uid="{00C5002F-00E7-4E09-8462-00D7003E001B}"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J102</xm:sqref>
        </x14:dataValidation>
        <x14:dataValidation xr:uid="{00C500EB-005C-4BB3-9AAB-009000F70043}" type="textLength" allowBlank="1" error="Допускается ввод не более 900 символов!" errorStyle="stop" errorTitle="Ошибка" imeMode="noControl" operator="lessThanOrEqual" showDropDown="0" showErrorMessage="1" showInputMessage="1">
          <x14:formula1>
            <xm:f>900</xm:f>
          </x14:formula1>
          <xm:sqref>K102</xm:sqref>
        </x14:dataValidation>
        <x14:dataValidation xr:uid="{008A0030-00C2-472D-816B-0073001E008D}"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AC102</xm:sqref>
        </x14:dataValidation>
        <x14:dataValidation xr:uid="{00B40054-002B-4898-913C-00E3006500A1}"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AE102</xm:sqref>
        </x14:dataValidation>
        <x14:dataValidation xr:uid="{00550037-0099-4612-83D2-006A002B0069}"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AF102</xm:sqref>
        </x14:dataValidation>
        <x14:dataValidation xr:uid="{00B2000A-00EB-4224-AD61-000000C80091}"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AI102</xm:sqref>
        </x14:dataValidation>
        <x14:dataValidation xr:uid="{00E100C1-00FC-4740-AACE-00CC007D0009}"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I103</xm:sqref>
        </x14:dataValidation>
        <x14:dataValidation xr:uid="{003800AE-0026-44CF-B31F-00D200A40061}"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J103</xm:sqref>
        </x14:dataValidation>
        <x14:dataValidation xr:uid="{004200BA-00E1-46B1-8C5B-00AA00180052}" type="textLength" allowBlank="1" error="Допускается ввод не более 900 символов!" errorStyle="stop" errorTitle="Ошибка" imeMode="noControl" operator="lessThanOrEqual" showDropDown="0" showErrorMessage="1" showInputMessage="1">
          <x14:formula1>
            <xm:f>900</xm:f>
          </x14:formula1>
          <xm:sqref>K103</xm:sqref>
        </x14:dataValidation>
        <x14:dataValidation xr:uid="{00AF0080-0091-4BA5-9605-008700BA00A9}"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AF103</xm:sqref>
        </x14:dataValidation>
        <x14:dataValidation xr:uid="{00AA0030-00A6-4149-9500-00E5004C000E}"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AI103</xm:sqref>
        </x14:dataValidation>
        <x14:dataValidation xr:uid="{007B0051-0052-4029-A882-00A40002004A}"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AF104</xm:sqref>
        </x14:dataValidation>
        <x14:dataValidation xr:uid="{0086005E-0099-4EDD-97A4-00DF00FB006A}"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AI104</xm:sqref>
        </x14:dataValidation>
        <x14:dataValidation xr:uid="{008500A8-00D4-4D76-ACD5-005400E50053}"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I105</xm:sqref>
        </x14:dataValidation>
        <x14:dataValidation xr:uid="{007E0014-0003-4834-8AD5-00D3008D0021}"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J105</xm:sqref>
        </x14:dataValidation>
        <x14:dataValidation xr:uid="{007600AA-00E9-430B-9877-009800B90006}" type="textLength" allowBlank="1" error="Допускается ввод не более 900 символов!" errorStyle="stop" errorTitle="Ошибка" imeMode="noControl" operator="lessThanOrEqual" showDropDown="0" showErrorMessage="1" showInputMessage="1">
          <x14:formula1>
            <xm:f>900</xm:f>
          </x14:formula1>
          <xm:sqref>K105</xm:sqref>
        </x14:dataValidation>
        <x14:dataValidation xr:uid="{00760048-00F0-4823-BE0C-0092008900E5}" type="textLength" allowBlank="1" error="Допускается ввод не более 900 символов!" errorStyle="stop" errorTitle="Ошибка" imeMode="noControl" operator="lessThanOrEqual" showDropDown="0" showErrorMessage="1" showInputMessage="1">
          <x14:formula1>
            <xm:f>900</xm:f>
          </x14:formula1>
          <xm:sqref>M105</xm:sqref>
        </x14:dataValidation>
        <x14:dataValidation xr:uid="{009200D1-0017-4E71-88E7-006F009D00D6}"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AF105</xm:sqref>
        </x14:dataValidation>
        <x14:dataValidation xr:uid="{00AE0057-0011-45A8-8B91-00FC00A500A5}"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AI105</xm:sqref>
        </x14:dataValidation>
        <x14:dataValidation xr:uid="{00BE004B-0087-4BD9-92FF-00DD00EF00CA}"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I106</xm:sqref>
        </x14:dataValidation>
        <x14:dataValidation xr:uid="{00A400AA-00C8-4BCE-969A-008000DD0011}"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J106</xm:sqref>
        </x14:dataValidation>
        <x14:dataValidation xr:uid="{00D60069-00C2-4F31-A777-00F0001A0065}" type="textLength" allowBlank="1" error="Допускается ввод не более 900 символов!" errorStyle="stop" errorTitle="Ошибка" imeMode="noControl" operator="lessThanOrEqual" showDropDown="0" showErrorMessage="1" showInputMessage="1">
          <x14:formula1>
            <xm:f>900</xm:f>
          </x14:formula1>
          <xm:sqref>K106</xm:sqref>
        </x14:dataValidation>
        <x14:dataValidation xr:uid="{004100BE-0007-4A77-9A57-00AF00660067}"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AF106</xm:sqref>
        </x14:dataValidation>
        <x14:dataValidation xr:uid="{0034008D-0062-4223-A2CC-0016009B00F6}"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AI106</xm:sqref>
        </x14:dataValidation>
        <x14:dataValidation xr:uid="{003B00B1-0012-42D6-B560-0068000D003F}"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I107</xm:sqref>
        </x14:dataValidation>
        <x14:dataValidation xr:uid="{00CB0034-007C-4C64-AF3A-001200A2002C}"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J107</xm:sqref>
        </x14:dataValidation>
        <x14:dataValidation xr:uid="{00E1009A-0098-42EB-AA9E-00DA00E400E2}" type="textLength" allowBlank="1" error="Допускается ввод не более 900 символов!" errorStyle="stop" errorTitle="Ошибка" imeMode="noControl" operator="lessThanOrEqual" showDropDown="0" showErrorMessage="1" showInputMessage="1">
          <x14:formula1>
            <xm:f>900</xm:f>
          </x14:formula1>
          <xm:sqref>K107</xm:sqref>
        </x14:dataValidation>
        <x14:dataValidation xr:uid="{0052008B-003E-4F12-A0EC-00B100B00034}"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AC107</xm:sqref>
        </x14:dataValidation>
        <x14:dataValidation xr:uid="{0032005D-0011-4F05-81BC-005F00F3004C}"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AE107</xm:sqref>
        </x14:dataValidation>
        <x14:dataValidation xr:uid="{00CE00E2-00C4-41EC-ABD2-0090007000B3}"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AF107</xm:sqref>
        </x14:dataValidation>
        <x14:dataValidation xr:uid="{00890075-00C1-4655-A58A-002700BC00A8}"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AI107</xm:sqref>
        </x14:dataValidation>
        <x14:dataValidation xr:uid="{00B000D6-006B-4464-895B-00E000260071}"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I109</xm:sqref>
        </x14:dataValidation>
        <x14:dataValidation xr:uid="{00F90095-0030-4246-BA5A-00D20035005E}"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J109</xm:sqref>
        </x14:dataValidation>
        <x14:dataValidation xr:uid="{0092005A-00F2-48EA-8168-0010002500A0}" type="textLength" allowBlank="1" error="Допускается ввод не более 900 символов!" errorStyle="stop" errorTitle="Ошибка" imeMode="noControl" operator="lessThanOrEqual" showDropDown="0" showErrorMessage="1" showInputMessage="1">
          <x14:formula1>
            <xm:f>900</xm:f>
          </x14:formula1>
          <xm:sqref>K109</xm:sqref>
        </x14:dataValidation>
        <x14:dataValidation xr:uid="{00B3008D-009B-4642-9799-0026008100AF}"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AF109</xm:sqref>
        </x14:dataValidation>
        <x14:dataValidation xr:uid="{003600D6-000D-4BD8-A735-0037006D00C1}"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AI109</xm:sqref>
        </x14:dataValidation>
        <x14:dataValidation xr:uid="{00780083-002F-44D8-8D68-009900A80043}"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AF110</xm:sqref>
        </x14:dataValidation>
        <x14:dataValidation xr:uid="{003500D1-005E-4786-9F6E-000400930054}"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AI110</xm:sqref>
        </x14:dataValidation>
        <x14:dataValidation xr:uid="{005300D5-00C6-4D92-B4BB-003900F700DF}"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I111</xm:sqref>
        </x14:dataValidation>
        <x14:dataValidation xr:uid="{005D0041-004E-411A-AA7A-0078000C0033}"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J111</xm:sqref>
        </x14:dataValidation>
        <x14:dataValidation xr:uid="{005E0048-0069-4D09-BF22-00E600DA00F7}" type="textLength" allowBlank="1" error="Допускается ввод не более 900 символов!" errorStyle="stop" errorTitle="Ошибка" imeMode="noControl" operator="lessThanOrEqual" showDropDown="0" showErrorMessage="1" showInputMessage="1">
          <x14:formula1>
            <xm:f>900</xm:f>
          </x14:formula1>
          <xm:sqref>K111</xm:sqref>
        </x14:dataValidation>
        <x14:dataValidation xr:uid="{008A00B8-006D-4AAB-8A75-009C004C00FD}" type="textLength" allowBlank="1" error="Допускается ввод не более 900 символов!" errorStyle="stop" errorTitle="Ошибка" imeMode="noControl" operator="lessThanOrEqual" showDropDown="0" showErrorMessage="1" showInputMessage="1">
          <x14:formula1>
            <xm:f>900</xm:f>
          </x14:formula1>
          <xm:sqref>M111</xm:sqref>
        </x14:dataValidation>
        <x14:dataValidation xr:uid="{00EA0049-0081-4AB7-BE3B-00AC00F10064}"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AF111</xm:sqref>
        </x14:dataValidation>
        <x14:dataValidation xr:uid="{00070004-0036-4A10-B55B-00F500C2008D}"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AI111</xm:sqref>
        </x14:dataValidation>
        <x14:dataValidation xr:uid="{00510078-001F-4554-AACF-00D700EB0010}"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I112</xm:sqref>
        </x14:dataValidation>
        <x14:dataValidation xr:uid="{00E600A1-008C-4082-9CD6-00D40014006B}"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J112</xm:sqref>
        </x14:dataValidation>
        <x14:dataValidation xr:uid="{005B001E-0026-42CE-860D-00DD004D007D}" type="textLength" allowBlank="1" error="Допускается ввод не более 900 символов!" errorStyle="stop" errorTitle="Ошибка" imeMode="noControl" operator="lessThanOrEqual" showDropDown="0" showErrorMessage="1" showInputMessage="1">
          <x14:formula1>
            <xm:f>900</xm:f>
          </x14:formula1>
          <xm:sqref>K112</xm:sqref>
        </x14:dataValidation>
        <x14:dataValidation xr:uid="{005A0000-0007-4149-ACCB-0003001300E8}"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AF112</xm:sqref>
        </x14:dataValidation>
        <x14:dataValidation xr:uid="{00620098-00EC-4EF6-8B5B-007400D700F2}"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AI112</xm:sqref>
        </x14:dataValidation>
        <x14:dataValidation xr:uid="{00770069-0019-46F9-9AAA-0078006D0000}"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I113</xm:sqref>
        </x14:dataValidation>
        <x14:dataValidation xr:uid="{00550090-00CA-436C-AD74-00AB00460066}"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J113</xm:sqref>
        </x14:dataValidation>
        <x14:dataValidation xr:uid="{008D0081-004E-489A-85F1-004E009300DD}" type="textLength" allowBlank="1" error="Допускается ввод не более 900 символов!" errorStyle="stop" errorTitle="Ошибка" imeMode="noControl" operator="lessThanOrEqual" showDropDown="0" showErrorMessage="1" showInputMessage="1">
          <x14:formula1>
            <xm:f>900</xm:f>
          </x14:formula1>
          <xm:sqref>K113</xm:sqref>
        </x14:dataValidation>
        <x14:dataValidation xr:uid="{00E1007E-006C-48E1-8CC6-00D400F50026}"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AC113</xm:sqref>
        </x14:dataValidation>
        <x14:dataValidation xr:uid="{0077004A-00CD-4810-81B8-006400F700D9}"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AE113</xm:sqref>
        </x14:dataValidation>
        <x14:dataValidation xr:uid="{009D00D4-003B-46BF-AB17-00AB00F50013}"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AF113</xm:sqref>
        </x14:dataValidation>
        <x14:dataValidation xr:uid="{009700F6-0045-4571-BBCD-00C4002200CE}"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AI113</xm:sqref>
        </x14:dataValidation>
        <x14:dataValidation xr:uid="{001000FC-0032-4636-B3EC-00B300CA003A}"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I114</xm:sqref>
        </x14:dataValidation>
        <x14:dataValidation xr:uid="{004000B0-002D-4A2D-A4C1-00E300600029}"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J114</xm:sqref>
        </x14:dataValidation>
        <x14:dataValidation xr:uid="{0066007F-0094-4697-8DD4-00C0005C0022}" type="textLength" allowBlank="1" error="Допускается ввод не более 900 символов!" errorStyle="stop" errorTitle="Ошибка" imeMode="noControl" operator="lessThanOrEqual" showDropDown="0" showErrorMessage="1" showInputMessage="1">
          <x14:formula1>
            <xm:f>900</xm:f>
          </x14:formula1>
          <xm:sqref>K114</xm:sqref>
        </x14:dataValidation>
        <x14:dataValidation xr:uid="{00C200BF-00C5-4A88-A26E-00CF004300B7}"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AF114</xm:sqref>
        </x14:dataValidation>
        <x14:dataValidation xr:uid="{00CD00D5-00D9-4AA4-9E6F-00DD0072008F}"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AI114</xm:sqref>
        </x14:dataValidation>
        <x14:dataValidation xr:uid="{000800A8-00B7-45E5-9322-000700B8003A}"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AF115</xm:sqref>
        </x14:dataValidation>
        <x14:dataValidation xr:uid="{00B30011-0069-44FC-A431-00EA00680013}"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AI115</xm:sqref>
        </x14:dataValidation>
        <x14:dataValidation xr:uid="{003400F6-009A-42A5-AA04-00DB00E000AC}"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I116</xm:sqref>
        </x14:dataValidation>
        <x14:dataValidation xr:uid="{00E6007F-00CF-42AC-B1E3-00F900D3000D}"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J116</xm:sqref>
        </x14:dataValidation>
        <x14:dataValidation xr:uid="{00510075-00F6-4A3D-A7F1-004E00860087}" type="textLength" allowBlank="1" error="Допускается ввод не более 900 символов!" errorStyle="stop" errorTitle="Ошибка" imeMode="noControl" operator="lessThanOrEqual" showDropDown="0" showErrorMessage="1" showInputMessage="1">
          <x14:formula1>
            <xm:f>900</xm:f>
          </x14:formula1>
          <xm:sqref>K116</xm:sqref>
        </x14:dataValidation>
        <x14:dataValidation xr:uid="{0074000E-000D-49C8-9A36-00FC005F005E}" type="textLength" allowBlank="1" error="Допускается ввод не более 900 символов!" errorStyle="stop" errorTitle="Ошибка" imeMode="noControl" operator="lessThanOrEqual" showDropDown="0" showErrorMessage="1" showInputMessage="1">
          <x14:formula1>
            <xm:f>900</xm:f>
          </x14:formula1>
          <xm:sqref>M116</xm:sqref>
        </x14:dataValidation>
        <x14:dataValidation xr:uid="{009100C6-009E-4E84-A766-00A800E900ED}"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AF116</xm:sqref>
        </x14:dataValidation>
        <x14:dataValidation xr:uid="{00160004-00C1-4C8E-B7B2-004200BF0071}"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AI116</xm:sqref>
        </x14:dataValidation>
        <x14:dataValidation xr:uid="{00A600D6-00F8-4748-9360-008300520047}"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I117</xm:sqref>
        </x14:dataValidation>
        <x14:dataValidation xr:uid="{00CC0093-000E-40DF-B819-000000D20057}"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J117</xm:sqref>
        </x14:dataValidation>
        <x14:dataValidation xr:uid="{004A000D-0024-47D9-9EB9-005E003B00F8}" type="textLength" allowBlank="1" error="Допускается ввод не более 900 символов!" errorStyle="stop" errorTitle="Ошибка" imeMode="noControl" operator="lessThanOrEqual" showDropDown="0" showErrorMessage="1" showInputMessage="1">
          <x14:formula1>
            <xm:f>900</xm:f>
          </x14:formula1>
          <xm:sqref>K117</xm:sqref>
        </x14:dataValidation>
        <x14:dataValidation xr:uid="{00580088-006B-4C11-B532-0067004F00E3}"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AF117</xm:sqref>
        </x14:dataValidation>
        <x14:dataValidation xr:uid="{005A00AB-00B3-4E03-B1A5-00DD000B00BD}"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AI117</xm:sqref>
        </x14:dataValidation>
        <x14:dataValidation xr:uid="{00B20030-000C-48BA-AF7A-007900AC0085}"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I118</xm:sqref>
        </x14:dataValidation>
        <x14:dataValidation xr:uid="{0096006A-003B-49B2-8BED-002E008E0047}"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J118</xm:sqref>
        </x14:dataValidation>
        <x14:dataValidation xr:uid="{00FA00F4-0090-473D-85F4-000800D1008B}" type="textLength" allowBlank="1" error="Допускается ввод не более 900 символов!" errorStyle="stop" errorTitle="Ошибка" imeMode="noControl" operator="lessThanOrEqual" showDropDown="0" showErrorMessage="1" showInputMessage="1">
          <x14:formula1>
            <xm:f>900</xm:f>
          </x14:formula1>
          <xm:sqref>K118</xm:sqref>
        </x14:dataValidation>
        <x14:dataValidation xr:uid="{000B00F8-00AB-4385-B079-000000D2009B}"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AC118</xm:sqref>
        </x14:dataValidation>
        <x14:dataValidation xr:uid="{00C400C4-00A0-4F7D-BF0C-006F00710057}"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AE118</xm:sqref>
        </x14:dataValidation>
        <x14:dataValidation xr:uid="{00B90077-004E-4B2E-A496-00E400F3002E}"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AF118</xm:sqref>
        </x14:dataValidation>
        <x14:dataValidation xr:uid="{00AA0057-004A-400F-B401-0055007F001F}"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AI118</xm:sqref>
        </x14:dataValidation>
        <x14:dataValidation xr:uid="{005A00AC-0040-4F02-9478-00480057001C}"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I119</xm:sqref>
        </x14:dataValidation>
        <x14:dataValidation xr:uid="{00EA00F2-0030-49BC-924A-006C001C00B1}"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J119</xm:sqref>
        </x14:dataValidation>
        <x14:dataValidation xr:uid="{0043000B-0042-4C24-BB82-00CB00D60023}" type="textLength" allowBlank="1" error="Допускается ввод не более 900 символов!" errorStyle="stop" errorTitle="Ошибка" imeMode="noControl" operator="lessThanOrEqual" showDropDown="0" showErrorMessage="1" showInputMessage="1">
          <x14:formula1>
            <xm:f>900</xm:f>
          </x14:formula1>
          <xm:sqref>K119</xm:sqref>
        </x14:dataValidation>
        <x14:dataValidation xr:uid="{00C7007A-00F7-4AAB-9926-00A0006100C1}"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AF119</xm:sqref>
        </x14:dataValidation>
        <x14:dataValidation xr:uid="{00B300AA-0015-4E02-BC72-006800C2004E}"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AI119</xm:sqref>
        </x14:dataValidation>
        <x14:dataValidation xr:uid="{006A00D7-00D3-4A47-A254-00E100160031}"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AF120</xm:sqref>
        </x14:dataValidation>
        <x14:dataValidation xr:uid="{00A70011-00C8-48E5-A550-00BC00A300A9}"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AI120</xm:sqref>
        </x14:dataValidation>
        <x14:dataValidation xr:uid="{00F6009B-00F2-49A8-A181-007700B10029}"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I121</xm:sqref>
        </x14:dataValidation>
        <x14:dataValidation xr:uid="{0049006A-00F1-4518-8A06-0046000300B4}"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J121</xm:sqref>
        </x14:dataValidation>
        <x14:dataValidation xr:uid="{00C900B9-000E-4C1F-947B-0036004C0007}" type="textLength" allowBlank="1" error="Допускается ввод не более 900 символов!" errorStyle="stop" errorTitle="Ошибка" imeMode="noControl" operator="lessThanOrEqual" showDropDown="0" showErrorMessage="1" showInputMessage="1">
          <x14:formula1>
            <xm:f>900</xm:f>
          </x14:formula1>
          <xm:sqref>K121</xm:sqref>
        </x14:dataValidation>
        <x14:dataValidation xr:uid="{0066003D-00A7-4E3D-A457-0096007500B1}" type="textLength" allowBlank="1" error="Допускается ввод не более 900 символов!" errorStyle="stop" errorTitle="Ошибка" imeMode="noControl" operator="lessThanOrEqual" showDropDown="0" showErrorMessage="1" showInputMessage="1">
          <x14:formula1>
            <xm:f>900</xm:f>
          </x14:formula1>
          <xm:sqref>M121</xm:sqref>
        </x14:dataValidation>
        <x14:dataValidation xr:uid="{005B00F6-00D5-43A7-870C-003A00B50058}"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AF121</xm:sqref>
        </x14:dataValidation>
        <x14:dataValidation xr:uid="{0035003B-007D-442E-9083-0012003D00D9}"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AI121</xm:sqref>
        </x14:dataValidation>
        <x14:dataValidation xr:uid="{003000B1-003D-4E7F-8EBF-0084007100C9}"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I122</xm:sqref>
        </x14:dataValidation>
        <x14:dataValidation xr:uid="{00480056-0004-4DEF-8631-00C7004800B2}"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J122</xm:sqref>
        </x14:dataValidation>
        <x14:dataValidation xr:uid="{003F00BC-003F-4F66-A1AE-0048009100B9}" type="textLength" allowBlank="1" error="Допускается ввод не более 900 символов!" errorStyle="stop" errorTitle="Ошибка" imeMode="noControl" operator="lessThanOrEqual" showDropDown="0" showErrorMessage="1" showInputMessage="1">
          <x14:formula1>
            <xm:f>900</xm:f>
          </x14:formula1>
          <xm:sqref>K122</xm:sqref>
        </x14:dataValidation>
        <x14:dataValidation xr:uid="{001400DF-006C-4A4B-A0DF-003100CE007C}"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AF122</xm:sqref>
        </x14:dataValidation>
        <x14:dataValidation xr:uid="{0053008D-00AE-40A0-BAFB-00FD006300DD}"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AI122</xm:sqref>
        </x14:dataValidation>
        <x14:dataValidation xr:uid="{0012002E-0099-4659-8FA1-0043005400F6}"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I123</xm:sqref>
        </x14:dataValidation>
        <x14:dataValidation xr:uid="{003100D0-002F-49B5-AD3E-00730076002A}"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J123</xm:sqref>
        </x14:dataValidation>
        <x14:dataValidation xr:uid="{004B005D-00BB-4E6D-9441-00DB000100FD}" type="textLength" allowBlank="1" error="Допускается ввод не более 900 символов!" errorStyle="stop" errorTitle="Ошибка" imeMode="noControl" operator="lessThanOrEqual" showDropDown="0" showErrorMessage="1" showInputMessage="1">
          <x14:formula1>
            <xm:f>900</xm:f>
          </x14:formula1>
          <xm:sqref>K123</xm:sqref>
        </x14:dataValidation>
        <x14:dataValidation xr:uid="{00FF0012-0035-4909-AB4B-00A8005A001E}"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AC123</xm:sqref>
        </x14:dataValidation>
        <x14:dataValidation xr:uid="{001900F5-0013-4CEE-966B-00E50055008A}"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AE123</xm:sqref>
        </x14:dataValidation>
        <x14:dataValidation xr:uid="{00950071-007A-4797-900C-00AA0068008A}"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AF123</xm:sqref>
        </x14:dataValidation>
        <x14:dataValidation xr:uid="{00260034-003B-4707-A723-00DE004C007C}"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AI123</xm:sqref>
        </x14:dataValidation>
        <x14:dataValidation xr:uid="{009C009E-00F7-4812-A640-00E500DC0096}"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I124</xm:sqref>
        </x14:dataValidation>
        <x14:dataValidation xr:uid="{00210053-0074-4597-AAEB-007F0084004C}"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J124</xm:sqref>
        </x14:dataValidation>
        <x14:dataValidation xr:uid="{00F40009-00D2-4578-A1FD-006100FD00DD}" type="textLength" allowBlank="1" error="Допускается ввод не более 900 символов!" errorStyle="stop" errorTitle="Ошибка" imeMode="noControl" operator="lessThanOrEqual" showDropDown="0" showErrorMessage="1" showInputMessage="1">
          <x14:formula1>
            <xm:f>900</xm:f>
          </x14:formula1>
          <xm:sqref>K124</xm:sqref>
        </x14:dataValidation>
        <x14:dataValidation xr:uid="{00B9004C-0012-4B23-A690-00DD00E7001E}"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AF124</xm:sqref>
        </x14:dataValidation>
        <x14:dataValidation xr:uid="{0074009C-00F6-4728-8524-0058003100EE}"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AI124</xm:sqref>
        </x14:dataValidation>
        <x14:dataValidation xr:uid="{006D0033-0002-4290-B6F3-00AE001B007A}"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AF125</xm:sqref>
        </x14:dataValidation>
        <x14:dataValidation xr:uid="{0085006B-00EB-4D66-AE21-00E1009400FF}"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AI125</xm:sqref>
        </x14:dataValidation>
        <x14:dataValidation xr:uid="{004900AE-00F7-445B-9165-00AB004900D2}"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I126</xm:sqref>
        </x14:dataValidation>
        <x14:dataValidation xr:uid="{007700C4-00E6-4EFD-B463-004A00060028}"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J126</xm:sqref>
        </x14:dataValidation>
        <x14:dataValidation xr:uid="{007400FF-00BD-4774-978F-008900720002}" type="textLength" allowBlank="1" error="Допускается ввод не более 900 символов!" errorStyle="stop" errorTitle="Ошибка" imeMode="noControl" operator="lessThanOrEqual" showDropDown="0" showErrorMessage="1" showInputMessage="1">
          <x14:formula1>
            <xm:f>900</xm:f>
          </x14:formula1>
          <xm:sqref>K126</xm:sqref>
        </x14:dataValidation>
        <x14:dataValidation xr:uid="{009E003D-0057-4ACB-AE40-00EB00E00051}" type="textLength" allowBlank="1" error="Допускается ввод не более 900 символов!" errorStyle="stop" errorTitle="Ошибка" imeMode="noControl" operator="lessThanOrEqual" showDropDown="0" showErrorMessage="1" showInputMessage="1">
          <x14:formula1>
            <xm:f>900</xm:f>
          </x14:formula1>
          <xm:sqref>M126</xm:sqref>
        </x14:dataValidation>
        <x14:dataValidation xr:uid="{00070044-0042-4FDF-A253-009300E800A0}"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AF126</xm:sqref>
        </x14:dataValidation>
        <x14:dataValidation xr:uid="{007700BD-001B-4A75-B023-0057008E0048}"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AI126</xm:sqref>
        </x14:dataValidation>
        <x14:dataValidation xr:uid="{00550076-0008-4B03-9AA9-00090046008D}"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I127</xm:sqref>
        </x14:dataValidation>
        <x14:dataValidation xr:uid="{00580052-004A-4FB8-A3DA-000D006100E8}"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J127</xm:sqref>
        </x14:dataValidation>
        <x14:dataValidation xr:uid="{00700018-0098-4027-ABD9-005300E50032}" type="textLength" allowBlank="1" error="Допускается ввод не более 900 символов!" errorStyle="stop" errorTitle="Ошибка" imeMode="noControl" operator="lessThanOrEqual" showDropDown="0" showErrorMessage="1" showInputMessage="1">
          <x14:formula1>
            <xm:f>900</xm:f>
          </x14:formula1>
          <xm:sqref>K127</xm:sqref>
        </x14:dataValidation>
        <x14:dataValidation xr:uid="{00170012-0072-438A-80EA-00B5006F0026}"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AF127</xm:sqref>
        </x14:dataValidation>
        <x14:dataValidation xr:uid="{000C0011-008F-4123-84DF-0019001B00B9}"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AI127</xm:sqref>
        </x14:dataValidation>
        <x14:dataValidation xr:uid="{009A0002-0012-4668-BD58-00C0001E00F1}"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I128</xm:sqref>
        </x14:dataValidation>
        <x14:dataValidation xr:uid="{0014008F-00C3-4BED-962E-00AB005500F7}"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J128</xm:sqref>
        </x14:dataValidation>
        <x14:dataValidation xr:uid="{007000D4-00C2-4BB7-8E0E-00AF00440032}" type="textLength" allowBlank="1" error="Допускается ввод не более 900 символов!" errorStyle="stop" errorTitle="Ошибка" imeMode="noControl" operator="lessThanOrEqual" showDropDown="0" showErrorMessage="1" showInputMessage="1">
          <x14:formula1>
            <xm:f>900</xm:f>
          </x14:formula1>
          <xm:sqref>K128</xm:sqref>
        </x14:dataValidation>
        <x14:dataValidation xr:uid="{006E000D-003E-457D-9E67-002C00ED00DD}"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AC128</xm:sqref>
        </x14:dataValidation>
        <x14:dataValidation xr:uid="{00D6005F-0019-4CDF-98C3-001700CD005C}"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AE128</xm:sqref>
        </x14:dataValidation>
        <x14:dataValidation xr:uid="{00010070-0084-46CE-93A9-00F5000B006F}"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AF128</xm:sqref>
        </x14:dataValidation>
        <x14:dataValidation xr:uid="{00BF00F0-0091-49E2-A04B-00BD002000C9}"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AI128</xm:sqref>
        </x14:dataValidation>
        <x14:dataValidation xr:uid="{00B7006A-00CD-4F5A-AB12-00C0001C007F}"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I129</xm:sqref>
        </x14:dataValidation>
        <x14:dataValidation xr:uid="{000A0050-00DB-479B-BB8C-007C0081009A}"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J129</xm:sqref>
        </x14:dataValidation>
        <x14:dataValidation xr:uid="{009300B6-00D7-4ACA-97E3-0066004500E6}" type="textLength" allowBlank="1" error="Допускается ввод не более 900 символов!" errorStyle="stop" errorTitle="Ошибка" imeMode="noControl" operator="lessThanOrEqual" showDropDown="0" showErrorMessage="1" showInputMessage="1">
          <x14:formula1>
            <xm:f>900</xm:f>
          </x14:formula1>
          <xm:sqref>K129</xm:sqref>
        </x14:dataValidation>
        <x14:dataValidation xr:uid="{00840098-0003-4805-A9ED-0013007300F7}"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AF129</xm:sqref>
        </x14:dataValidation>
        <x14:dataValidation xr:uid="{00C10031-00EA-4C26-A0FB-00800059001F}"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AI129</xm:sqref>
        </x14:dataValidation>
        <x14:dataValidation xr:uid="{006F0010-008A-4D88-B14C-003A00AD006B}"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AF130</xm:sqref>
        </x14:dataValidation>
        <x14:dataValidation xr:uid="{0045002D-00DA-434E-B5D6-0024007700D0}"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AI130</xm:sqref>
        </x14:dataValidation>
        <x14:dataValidation xr:uid="{006200D6-00B6-4743-8DD5-001E0040004D}"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I131</xm:sqref>
        </x14:dataValidation>
        <x14:dataValidation xr:uid="{00AC00F7-000D-4B40-AE36-00DC0056000F}"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J131</xm:sqref>
        </x14:dataValidation>
        <x14:dataValidation xr:uid="{008C00B2-00C3-4ABC-8D23-00B2003100BA}" type="textLength" allowBlank="1" error="Допускается ввод не более 900 символов!" errorStyle="stop" errorTitle="Ошибка" imeMode="noControl" operator="lessThanOrEqual" showDropDown="0" showErrorMessage="1" showInputMessage="1">
          <x14:formula1>
            <xm:f>900</xm:f>
          </x14:formula1>
          <xm:sqref>K131</xm:sqref>
        </x14:dataValidation>
        <x14:dataValidation xr:uid="{00FD00CD-0053-4AB0-B4E2-002600D6003A}" type="textLength" allowBlank="1" error="Допускается ввод не более 900 символов!" errorStyle="stop" errorTitle="Ошибка" imeMode="noControl" operator="lessThanOrEqual" showDropDown="0" showErrorMessage="1" showInputMessage="1">
          <x14:formula1>
            <xm:f>900</xm:f>
          </x14:formula1>
          <xm:sqref>M131</xm:sqref>
        </x14:dataValidation>
        <x14:dataValidation xr:uid="{00B10038-0026-46A1-AC94-005000EB0093}"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AF131</xm:sqref>
        </x14:dataValidation>
        <x14:dataValidation xr:uid="{00DD0069-00DE-4C22-8C55-00E70015007D}"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AI131</xm:sqref>
        </x14:dataValidation>
        <x14:dataValidation xr:uid="{00190057-00D2-47DF-934D-0020001C000F}"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I132</xm:sqref>
        </x14:dataValidation>
        <x14:dataValidation xr:uid="{00630055-006E-4DD0-AA44-00A1007D00A8}"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J132</xm:sqref>
        </x14:dataValidation>
        <x14:dataValidation xr:uid="{004900AB-0072-4DCC-873C-003900A50059}" type="textLength" allowBlank="1" error="Допускается ввод не более 900 символов!" errorStyle="stop" errorTitle="Ошибка" imeMode="noControl" operator="lessThanOrEqual" showDropDown="0" showErrorMessage="1" showInputMessage="1">
          <x14:formula1>
            <xm:f>900</xm:f>
          </x14:formula1>
          <xm:sqref>K132</xm:sqref>
        </x14:dataValidation>
        <x14:dataValidation xr:uid="{00800086-0070-4270-84F3-000600920087}"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AF132</xm:sqref>
        </x14:dataValidation>
        <x14:dataValidation xr:uid="{00200084-00A3-4078-8F03-004B00A6008C}"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AI132</xm:sqref>
        </x14:dataValidation>
        <x14:dataValidation xr:uid="{00EC0054-00CE-4293-940A-007800250020}"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I133</xm:sqref>
        </x14:dataValidation>
        <x14:dataValidation xr:uid="{00870088-0092-4D00-82AC-00E6008E0073}"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J133</xm:sqref>
        </x14:dataValidation>
        <x14:dataValidation xr:uid="{008B0015-00B7-47FF-8CB1-0030008F0024}" type="textLength" allowBlank="1" error="Допускается ввод не более 900 символов!" errorStyle="stop" errorTitle="Ошибка" imeMode="noControl" operator="lessThanOrEqual" showDropDown="0" showErrorMessage="1" showInputMessage="1">
          <x14:formula1>
            <xm:f>900</xm:f>
          </x14:formula1>
          <xm:sqref>K133</xm:sqref>
        </x14:dataValidation>
        <x14:dataValidation xr:uid="{002400F6-007A-4703-80F7-00F60060005D}"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AC133</xm:sqref>
        </x14:dataValidation>
        <x14:dataValidation xr:uid="{00B0001E-0069-4F3D-8A31-0015006F009F}"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AE133</xm:sqref>
        </x14:dataValidation>
        <x14:dataValidation xr:uid="{00BB007E-0078-4F96-8AFC-00F0000400F7}"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AF133</xm:sqref>
        </x14:dataValidation>
        <x14:dataValidation xr:uid="{00C30091-0065-4D66-B3B6-005000AF0007}"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AI133</xm:sqref>
        </x14:dataValidation>
        <x14:dataValidation xr:uid="{00A000ED-0090-4801-AA5F-0099008700C5}"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I134</xm:sqref>
        </x14:dataValidation>
        <x14:dataValidation xr:uid="{006300EC-00F0-4D6B-8E10-00D2000200FF}"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J134</xm:sqref>
        </x14:dataValidation>
        <x14:dataValidation xr:uid="{005C0046-00D9-4955-B6B1-005A00DC00F5}" type="textLength" allowBlank="1" error="Допускается ввод не более 900 символов!" errorStyle="stop" errorTitle="Ошибка" imeMode="noControl" operator="lessThanOrEqual" showDropDown="0" showErrorMessage="1" showInputMessage="1">
          <x14:formula1>
            <xm:f>900</xm:f>
          </x14:formula1>
          <xm:sqref>K134</xm:sqref>
        </x14:dataValidation>
        <x14:dataValidation xr:uid="{00C100B1-00F4-41FB-B9E1-006300960088}"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AF134</xm:sqref>
        </x14:dataValidation>
        <x14:dataValidation xr:uid="{00DA001E-0077-41DB-B148-008A004B007C}"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AI134</xm:sqref>
        </x14:dataValidation>
        <x14:dataValidation xr:uid="{00D60047-0002-49E1-B3BF-001600F00079}"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AF135</xm:sqref>
        </x14:dataValidation>
        <x14:dataValidation xr:uid="{00030090-00A8-4E7B-AD2B-006100A200DF}"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AI135</xm:sqref>
        </x14:dataValidation>
        <x14:dataValidation xr:uid="{006400FB-00A2-4CE8-913F-00F100F3003E}"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I142</xm:sqref>
        </x14:dataValidation>
        <x14:dataValidation xr:uid="{007500A2-00FF-41FC-9F50-00E1008500ED}"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J142</xm:sqref>
        </x14:dataValidation>
        <x14:dataValidation xr:uid="{009A00A7-00A1-41BB-AA57-005900B800F0}" type="textLength" allowBlank="1" error="Допускается ввод не более 900 символов!" errorStyle="stop" errorTitle="Ошибка" imeMode="noControl" operator="lessThanOrEqual" showDropDown="0" showErrorMessage="1" showInputMessage="1">
          <x14:formula1>
            <xm:f>900</xm:f>
          </x14:formula1>
          <xm:sqref>K142</xm:sqref>
        </x14:dataValidation>
        <x14:dataValidation xr:uid="{00EF00C1-005E-49B0-844F-00CE00080043}" type="textLength" allowBlank="1" error="Допускается ввод не более 900 символов!" errorStyle="stop" errorTitle="Ошибка" imeMode="noControl" operator="lessThanOrEqual" showDropDown="0" showErrorMessage="1" showInputMessage="1">
          <x14:formula1>
            <xm:f>900</xm:f>
          </x14:formula1>
          <xm:sqref>M142</xm:sqref>
        </x14:dataValidation>
        <x14:dataValidation xr:uid="{0042009E-0024-4654-BE01-002900B20052}"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AF142</xm:sqref>
        </x14:dataValidation>
        <x14:dataValidation xr:uid="{006F001A-00AD-477F-A0CC-000A007F00A9}"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AI142</xm:sqref>
        </x14:dataValidation>
        <x14:dataValidation xr:uid="{005700BA-00E7-4714-B1FD-004000730065}"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I143</xm:sqref>
        </x14:dataValidation>
        <x14:dataValidation xr:uid="{0039008F-00D6-46E7-8F60-0015008800EF}"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J143</xm:sqref>
        </x14:dataValidation>
        <x14:dataValidation xr:uid="{0085001F-0011-4BDC-BE3B-007300B80088}" type="textLength" allowBlank="1" error="Допускается ввод не более 900 символов!" errorStyle="stop" errorTitle="Ошибка" imeMode="noControl" operator="lessThanOrEqual" showDropDown="0" showErrorMessage="1" showInputMessage="1">
          <x14:formula1>
            <xm:f>900</xm:f>
          </x14:formula1>
          <xm:sqref>K143</xm:sqref>
        </x14:dataValidation>
        <x14:dataValidation xr:uid="{003C007E-0044-47D6-A6AA-002A00290090}"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AF143</xm:sqref>
        </x14:dataValidation>
        <x14:dataValidation xr:uid="{00950023-0017-4AA5-895B-005C00BE00B7}"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AI143</xm:sqref>
        </x14:dataValidation>
        <x14:dataValidation xr:uid="{009800BF-00C4-490F-9014-00350039009F}"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I144</xm:sqref>
        </x14:dataValidation>
        <x14:dataValidation xr:uid="{00D400DD-0094-4F43-AAB7-00750032007C}"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J144</xm:sqref>
        </x14:dataValidation>
        <x14:dataValidation xr:uid="{000200D0-0062-404B-A5FA-00E3000700BD}" type="textLength" allowBlank="1" error="Допускается ввод не более 900 символов!" errorStyle="stop" errorTitle="Ошибка" imeMode="noControl" operator="lessThanOrEqual" showDropDown="0" showErrorMessage="1" showInputMessage="1">
          <x14:formula1>
            <xm:f>900</xm:f>
          </x14:formula1>
          <xm:sqref>K144</xm:sqref>
        </x14:dataValidation>
        <x14:dataValidation xr:uid="{00E3005B-00F2-4843-A5F2-00CE002C0020}"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AC144</xm:sqref>
        </x14:dataValidation>
        <x14:dataValidation xr:uid="{00D000D2-0029-4354-A451-00690090002B}"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AE144</xm:sqref>
        </x14:dataValidation>
        <x14:dataValidation xr:uid="{00990073-0005-40DB-9D93-00280047005B}"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AF144</xm:sqref>
        </x14:dataValidation>
        <x14:dataValidation xr:uid="{00D90059-00FD-42B8-964A-002D0056000C}"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AI144</xm:sqref>
        </x14:dataValidation>
        <x14:dataValidation xr:uid="{00450050-00FA-421A-B142-009F00280029}"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I145</xm:sqref>
        </x14:dataValidation>
        <x14:dataValidation xr:uid="{003E00AE-0052-47E2-9D53-007F00B9008A}"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J145</xm:sqref>
        </x14:dataValidation>
        <x14:dataValidation xr:uid="{00E7000E-0050-4ADB-B867-00DD00D60099}" type="textLength" allowBlank="1" error="Допускается ввод не более 900 символов!" errorStyle="stop" errorTitle="Ошибка" imeMode="noControl" operator="lessThanOrEqual" showDropDown="0" showErrorMessage="1" showInputMessage="1">
          <x14:formula1>
            <xm:f>900</xm:f>
          </x14:formula1>
          <xm:sqref>K145</xm:sqref>
        </x14:dataValidation>
        <x14:dataValidation xr:uid="{00610038-0097-4138-8B9C-003E003B00A6}"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AF145</xm:sqref>
        </x14:dataValidation>
        <x14:dataValidation xr:uid="{005B001E-001E-4AD1-B03E-00CE00D700BF}"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AI145</xm:sqref>
        </x14:dataValidation>
        <x14:dataValidation xr:uid="{008900F8-00E7-40F0-9627-0039009E00D8}"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AF146</xm:sqref>
        </x14:dataValidation>
        <x14:dataValidation xr:uid="{00CC007F-000C-4725-B566-00FE00D500BD}"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AI146</xm:sqref>
        </x14:dataValidation>
        <x14:dataValidation xr:uid="{001400E1-0063-4354-9836-002B00BD0047}"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I147</xm:sqref>
        </x14:dataValidation>
        <x14:dataValidation xr:uid="{00A60066-000C-4ACE-A15E-00ED00AF003A}"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J147</xm:sqref>
        </x14:dataValidation>
        <x14:dataValidation xr:uid="{00430023-0059-4886-A148-0060009F00AA}" type="textLength" allowBlank="1" error="Допускается ввод не более 900 символов!" errorStyle="stop" errorTitle="Ошибка" imeMode="noControl" operator="lessThanOrEqual" showDropDown="0" showErrorMessage="1" showInputMessage="1">
          <x14:formula1>
            <xm:f>900</xm:f>
          </x14:formula1>
          <xm:sqref>K147</xm:sqref>
        </x14:dataValidation>
        <x14:dataValidation xr:uid="{00760020-005A-482E-8A74-00DB0022002E}" type="textLength" allowBlank="1" error="Допускается ввод не более 900 символов!" errorStyle="stop" errorTitle="Ошибка" imeMode="noControl" operator="lessThanOrEqual" showDropDown="0" showErrorMessage="1" showInputMessage="1">
          <x14:formula1>
            <xm:f>900</xm:f>
          </x14:formula1>
          <xm:sqref>M147</xm:sqref>
        </x14:dataValidation>
        <x14:dataValidation xr:uid="{00E8007F-00D6-41AE-BA2D-00F5004B0017}"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AF147</xm:sqref>
        </x14:dataValidation>
        <x14:dataValidation xr:uid="{002300FA-0059-4C79-9438-00F3006D0086}"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AI147</xm:sqref>
        </x14:dataValidation>
        <x14:dataValidation xr:uid="{00E200C1-00E0-4BB3-88F1-00BD005A00F8}"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I148</xm:sqref>
        </x14:dataValidation>
        <x14:dataValidation xr:uid="{000D00A7-0056-47F6-86D2-0036009C0002}"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J148</xm:sqref>
        </x14:dataValidation>
        <x14:dataValidation xr:uid="{00F90037-00F8-4B73-ACBB-0078009C00A1}" type="textLength" allowBlank="1" error="Допускается ввод не более 900 символов!" errorStyle="stop" errorTitle="Ошибка" imeMode="noControl" operator="lessThanOrEqual" showDropDown="0" showErrorMessage="1" showInputMessage="1">
          <x14:formula1>
            <xm:f>900</xm:f>
          </x14:formula1>
          <xm:sqref>K148</xm:sqref>
        </x14:dataValidation>
        <x14:dataValidation xr:uid="{007B0001-0047-4283-AB13-004D002A0065}"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AF148</xm:sqref>
        </x14:dataValidation>
        <x14:dataValidation xr:uid="{00A10037-00BA-449E-9E07-00F900BE00A1}"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AI148</xm:sqref>
        </x14:dataValidation>
        <x14:dataValidation xr:uid="{00640059-0079-40C3-BFBB-00D2006D0056}"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I149</xm:sqref>
        </x14:dataValidation>
        <x14:dataValidation xr:uid="{002E0081-00EA-41C9-8A7C-00B300D10015}"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J149</xm:sqref>
        </x14:dataValidation>
        <x14:dataValidation xr:uid="{00B70012-000D-4315-A22F-000C00CE0014}" type="textLength" allowBlank="1" error="Допускается ввод не более 900 символов!" errorStyle="stop" errorTitle="Ошибка" imeMode="noControl" operator="lessThanOrEqual" showDropDown="0" showErrorMessage="1" showInputMessage="1">
          <x14:formula1>
            <xm:f>900</xm:f>
          </x14:formula1>
          <xm:sqref>K149</xm:sqref>
        </x14:dataValidation>
        <x14:dataValidation xr:uid="{001B000B-0043-41C5-8833-000C000B00CB}"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AC149</xm:sqref>
        </x14:dataValidation>
        <x14:dataValidation xr:uid="{006B00D7-00C0-4056-B2AC-006700DD00B0}"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AE149</xm:sqref>
        </x14:dataValidation>
        <x14:dataValidation xr:uid="{00880089-0075-4274-BE30-00F4008A0091}"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AF149</xm:sqref>
        </x14:dataValidation>
        <x14:dataValidation xr:uid="{006F0010-0031-48A3-BE74-001F00960044}"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AI149</xm:sqref>
        </x14:dataValidation>
        <x14:dataValidation xr:uid="{000F001C-00E4-495F-962C-00D9001C003C}"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I151</xm:sqref>
        </x14:dataValidation>
        <x14:dataValidation xr:uid="{00D40082-0059-4E43-9602-0082008300C1}"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J151</xm:sqref>
        </x14:dataValidation>
        <x14:dataValidation xr:uid="{003000DF-00B9-48EC-B7B5-002F007600E3}" type="textLength" allowBlank="1" error="Допускается ввод не более 900 символов!" errorStyle="stop" errorTitle="Ошибка" imeMode="noControl" operator="lessThanOrEqual" showDropDown="0" showErrorMessage="1" showInputMessage="1">
          <x14:formula1>
            <xm:f>900</xm:f>
          </x14:formula1>
          <xm:sqref>K151</xm:sqref>
        </x14:dataValidation>
        <x14:dataValidation xr:uid="{006B0061-009A-402F-A1AC-008900FE004F}"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AF151</xm:sqref>
        </x14:dataValidation>
        <x14:dataValidation xr:uid="{00DF0025-0088-491E-8DE5-006C003A00B6}"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AI151</xm:sqref>
        </x14:dataValidation>
        <x14:dataValidation xr:uid="{00E50023-0079-4A01-9440-00F600A8000B}"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AF152</xm:sqref>
        </x14:dataValidation>
        <x14:dataValidation xr:uid="{005A000B-001C-4E0B-BE0B-003C005200EF}"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AI152</xm:sqref>
        </x14:dataValidation>
        <x14:dataValidation xr:uid="{00E500B5-00AE-492F-B648-004D0095001A}"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I153</xm:sqref>
        </x14:dataValidation>
        <x14:dataValidation xr:uid="{00B600E7-0021-47AA-A009-00FB002200E9}"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J153</xm:sqref>
        </x14:dataValidation>
        <x14:dataValidation xr:uid="{004600AF-0027-4356-9EA6-000400DD00C9}" type="textLength" allowBlank="1" error="Допускается ввод не более 900 символов!" errorStyle="stop" errorTitle="Ошибка" imeMode="noControl" operator="lessThanOrEqual" showDropDown="0" showErrorMessage="1" showInputMessage="1">
          <x14:formula1>
            <xm:f>900</xm:f>
          </x14:formula1>
          <xm:sqref>K153</xm:sqref>
        </x14:dataValidation>
        <x14:dataValidation xr:uid="{002200E0-002D-4008-B6F2-002100EC007A}" type="textLength" allowBlank="1" error="Допускается ввод не более 900 символов!" errorStyle="stop" errorTitle="Ошибка" imeMode="noControl" operator="lessThanOrEqual" showDropDown="0" showErrorMessage="1" showInputMessage="1">
          <x14:formula1>
            <xm:f>900</xm:f>
          </x14:formula1>
          <xm:sqref>M153</xm:sqref>
        </x14:dataValidation>
        <x14:dataValidation xr:uid="{00C400D6-0022-4DDB-B042-006C002D00C2}"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AF153</xm:sqref>
        </x14:dataValidation>
        <x14:dataValidation xr:uid="{00BC00A4-00B3-4EF3-81EE-00CC00D20044}"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AI153</xm:sqref>
        </x14:dataValidation>
        <x14:dataValidation xr:uid="{004A002D-0036-4CD0-8E63-008600A90090}"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I154</xm:sqref>
        </x14:dataValidation>
        <x14:dataValidation xr:uid="{003D004C-00B0-4A7B-89F5-00D0004E0022}"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J154</xm:sqref>
        </x14:dataValidation>
        <x14:dataValidation xr:uid="{001F007D-0005-45DB-9FD5-002E00B900DD}" type="textLength" allowBlank="1" error="Допускается ввод не более 900 символов!" errorStyle="stop" errorTitle="Ошибка" imeMode="noControl" operator="lessThanOrEqual" showDropDown="0" showErrorMessage="1" showInputMessage="1">
          <x14:formula1>
            <xm:f>900</xm:f>
          </x14:formula1>
          <xm:sqref>K154</xm:sqref>
        </x14:dataValidation>
        <x14:dataValidation xr:uid="{008C0086-00B2-45FC-9018-000D004900D7}"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AF154</xm:sqref>
        </x14:dataValidation>
        <x14:dataValidation xr:uid="{00640076-00A0-4442-A24C-0073000C005B}"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AI154</xm:sqref>
        </x14:dataValidation>
        <x14:dataValidation xr:uid="{00D300A8-00DB-48F6-B126-008E004600EF}"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I155</xm:sqref>
        </x14:dataValidation>
        <x14:dataValidation xr:uid="{00B2008E-0008-4ADB-A5B5-008B00D60094}"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J155</xm:sqref>
        </x14:dataValidation>
        <x14:dataValidation xr:uid="{00A800DA-0002-424D-B56A-007C009B0051}" type="textLength" allowBlank="1" error="Допускается ввод не более 900 символов!" errorStyle="stop" errorTitle="Ошибка" imeMode="noControl" operator="lessThanOrEqual" showDropDown="0" showErrorMessage="1" showInputMessage="1">
          <x14:formula1>
            <xm:f>900</xm:f>
          </x14:formula1>
          <xm:sqref>K155</xm:sqref>
        </x14:dataValidation>
        <x14:dataValidation xr:uid="{00DD00B6-004A-4CEE-9B55-00D4004D000F}"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AC155</xm:sqref>
        </x14:dataValidation>
        <x14:dataValidation xr:uid="{00B30059-00EF-461F-93AB-004700440090}"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AE155</xm:sqref>
        </x14:dataValidation>
        <x14:dataValidation xr:uid="{003E0054-00B0-4BED-9F92-002200E400C6}"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AF155</xm:sqref>
        </x14:dataValidation>
        <x14:dataValidation xr:uid="{00E20042-0066-43D3-9D39-008C00D0004C}"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AI155</xm:sqref>
        </x14:dataValidation>
        <x14:dataValidation xr:uid="{00F0007E-00E9-4E60-A52E-0033001600B3}"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I156</xm:sqref>
        </x14:dataValidation>
        <x14:dataValidation xr:uid="{007B0001-00CF-42B5-847A-007600C6002E}"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J156</xm:sqref>
        </x14:dataValidation>
        <x14:dataValidation xr:uid="{002000DF-0071-43D4-BAEA-001D002300B3}" type="textLength" allowBlank="1" error="Допускается ввод не более 900 символов!" errorStyle="stop" errorTitle="Ошибка" imeMode="noControl" operator="lessThanOrEqual" showDropDown="0" showErrorMessage="1" showInputMessage="1">
          <x14:formula1>
            <xm:f>900</xm:f>
          </x14:formula1>
          <xm:sqref>K156</xm:sqref>
        </x14:dataValidation>
        <x14:dataValidation xr:uid="{008400F6-00FB-48D1-BA9B-00B9006B0041}"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AF156</xm:sqref>
        </x14:dataValidation>
        <x14:dataValidation xr:uid="{00410061-00A4-4C13-A278-0026002A0011}"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AI156</xm:sqref>
        </x14:dataValidation>
        <x14:dataValidation xr:uid="{005A009B-0090-42A6-B45F-008F00D7006A}"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AF157</xm:sqref>
        </x14:dataValidation>
        <x14:dataValidation xr:uid="{006B00A7-00D9-4529-973D-00FA00B800B3}"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AI157</xm:sqref>
        </x14:dataValidation>
        <x14:dataValidation xr:uid="{006E009A-0076-475C-AB1F-007F00610044}"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I158</xm:sqref>
        </x14:dataValidation>
        <x14:dataValidation xr:uid="{00CF00F5-0041-4064-82D2-00DF00C000A0}"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J158</xm:sqref>
        </x14:dataValidation>
        <x14:dataValidation xr:uid="{00C70019-008A-4114-A6E6-00EF00840018}" type="textLength" allowBlank="1" error="Допускается ввод не более 900 символов!" errorStyle="stop" errorTitle="Ошибка" imeMode="noControl" operator="lessThanOrEqual" showDropDown="0" showErrorMessage="1" showInputMessage="1">
          <x14:formula1>
            <xm:f>900</xm:f>
          </x14:formula1>
          <xm:sqref>K158</xm:sqref>
        </x14:dataValidation>
        <x14:dataValidation xr:uid="{003100D7-00F6-49ED-A997-004F00130043}" type="textLength" allowBlank="1" error="Допускается ввод не более 900 символов!" errorStyle="stop" errorTitle="Ошибка" imeMode="noControl" operator="lessThanOrEqual" showDropDown="0" showErrorMessage="1" showInputMessage="1">
          <x14:formula1>
            <xm:f>900</xm:f>
          </x14:formula1>
          <xm:sqref>M158</xm:sqref>
        </x14:dataValidation>
        <x14:dataValidation xr:uid="{006D0022-00E1-4CCD-834F-004700570057}"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AF158</xm:sqref>
        </x14:dataValidation>
        <x14:dataValidation xr:uid="{005B00D4-0015-4842-828E-0020000100A1}"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AI158</xm:sqref>
        </x14:dataValidation>
        <x14:dataValidation xr:uid="{00910075-0033-4C4E-ABD6-001A00C30099}"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I159</xm:sqref>
        </x14:dataValidation>
        <x14:dataValidation xr:uid="{00120065-00D5-48BA-9E80-00FD00C40046}"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J159</xm:sqref>
        </x14:dataValidation>
        <x14:dataValidation xr:uid="{002E0066-00E8-468D-AE2B-00C600AC002C}" type="textLength" allowBlank="1" error="Допускается ввод не более 900 символов!" errorStyle="stop" errorTitle="Ошибка" imeMode="noControl" operator="lessThanOrEqual" showDropDown="0" showErrorMessage="1" showInputMessage="1">
          <x14:formula1>
            <xm:f>900</xm:f>
          </x14:formula1>
          <xm:sqref>K159</xm:sqref>
        </x14:dataValidation>
        <x14:dataValidation xr:uid="{00350087-0008-449C-9A43-0033008600E9}"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AF159</xm:sqref>
        </x14:dataValidation>
        <x14:dataValidation xr:uid="{001A00AA-0058-42D4-B43A-00E300A100CB}"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AI159</xm:sqref>
        </x14:dataValidation>
        <x14:dataValidation xr:uid="{00A900E8-00B3-447D-8151-004E00A8001C}"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I160</xm:sqref>
        </x14:dataValidation>
        <x14:dataValidation xr:uid="{0080001A-0008-4B96-A5E4-00A200AE005F}"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J160</xm:sqref>
        </x14:dataValidation>
        <x14:dataValidation xr:uid="{00210060-0033-4E55-91FC-00AC004D008E}" type="textLength" allowBlank="1" error="Допускается ввод не более 900 символов!" errorStyle="stop" errorTitle="Ошибка" imeMode="noControl" operator="lessThanOrEqual" showDropDown="0" showErrorMessage="1" showInputMessage="1">
          <x14:formula1>
            <xm:f>900</xm:f>
          </x14:formula1>
          <xm:sqref>K160</xm:sqref>
        </x14:dataValidation>
        <x14:dataValidation xr:uid="{00B700C2-00E5-449B-9D44-003A004300D4}"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AC160</xm:sqref>
        </x14:dataValidation>
        <x14:dataValidation xr:uid="{002200B3-0076-46C3-9639-008D0010008D}"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AE160</xm:sqref>
        </x14:dataValidation>
        <x14:dataValidation xr:uid="{00EB003B-0028-4B5D-8055-000E00550024}"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AF160</xm:sqref>
        </x14:dataValidation>
        <x14:dataValidation xr:uid="{00EE00EC-0076-4C1A-85E5-001600E70076}"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AI160</xm:sqref>
        </x14:dataValidation>
        <x14:dataValidation xr:uid="{0099000B-0058-440C-B0DC-0096002700B9}"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I161</xm:sqref>
        </x14:dataValidation>
        <x14:dataValidation xr:uid="{0033004F-0056-4D0E-A84F-00A300980069}"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J161</xm:sqref>
        </x14:dataValidation>
        <x14:dataValidation xr:uid="{00FC00F3-0029-4086-828E-00EE005D00AB}" type="textLength" allowBlank="1" error="Допускается ввод не более 900 символов!" errorStyle="stop" errorTitle="Ошибка" imeMode="noControl" operator="lessThanOrEqual" showDropDown="0" showErrorMessage="1" showInputMessage="1">
          <x14:formula1>
            <xm:f>900</xm:f>
          </x14:formula1>
          <xm:sqref>K161</xm:sqref>
        </x14:dataValidation>
        <x14:dataValidation xr:uid="{00380018-00B4-447F-9DC3-00C700090010}"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AF161</xm:sqref>
        </x14:dataValidation>
        <x14:dataValidation xr:uid="{006F0080-0097-4906-BF07-008C00AE00DB}"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AI161</xm:sqref>
        </x14:dataValidation>
        <x14:dataValidation xr:uid="{00240071-00EB-4479-9342-009C00230030}"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AF162</xm:sqref>
        </x14:dataValidation>
        <x14:dataValidation xr:uid="{009800CA-001F-4C88-89A3-002C005F0048}"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AI162</xm:sqref>
        </x14:dataValidation>
        <x14:dataValidation xr:uid="{002100E1-00DA-4D46-9877-00C200920029}"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I163</xm:sqref>
        </x14:dataValidation>
        <x14:dataValidation xr:uid="{003500FE-0088-4B05-A6DB-0008006D0088}"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J163</xm:sqref>
        </x14:dataValidation>
        <x14:dataValidation xr:uid="{00CE0048-00E5-4C85-A967-0073009A00AB}" type="textLength" allowBlank="1" error="Допускается ввод не более 900 символов!" errorStyle="stop" errorTitle="Ошибка" imeMode="noControl" operator="lessThanOrEqual" showDropDown="0" showErrorMessage="1" showInputMessage="1">
          <x14:formula1>
            <xm:f>900</xm:f>
          </x14:formula1>
          <xm:sqref>K163</xm:sqref>
        </x14:dataValidation>
        <x14:dataValidation xr:uid="{00BC0065-0067-4F93-8E91-009C00740044}" type="textLength" allowBlank="1" error="Допускается ввод не более 900 символов!" errorStyle="stop" errorTitle="Ошибка" imeMode="noControl" operator="lessThanOrEqual" showDropDown="0" showErrorMessage="1" showInputMessage="1">
          <x14:formula1>
            <xm:f>900</xm:f>
          </x14:formula1>
          <xm:sqref>M163</xm:sqref>
        </x14:dataValidation>
        <x14:dataValidation xr:uid="{008B0060-0046-4302-8EF6-0065002800F9}"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AF163</xm:sqref>
        </x14:dataValidation>
        <x14:dataValidation xr:uid="{009B00ED-0018-4EF0-BD59-001A006800B3}"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AI163</xm:sqref>
        </x14:dataValidation>
        <x14:dataValidation xr:uid="{008A0006-0007-4E46-B177-00BF006100B3}"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I164</xm:sqref>
        </x14:dataValidation>
        <x14:dataValidation xr:uid="{000300CB-00BD-460A-81B7-005700A3007B}"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J164</xm:sqref>
        </x14:dataValidation>
        <x14:dataValidation xr:uid="{00290072-00A2-4076-9253-0042003000E5}" type="textLength" allowBlank="1" error="Допускается ввод не более 900 символов!" errorStyle="stop" errorTitle="Ошибка" imeMode="noControl" operator="lessThanOrEqual" showDropDown="0" showErrorMessage="1" showInputMessage="1">
          <x14:formula1>
            <xm:f>900</xm:f>
          </x14:formula1>
          <xm:sqref>K164</xm:sqref>
        </x14:dataValidation>
        <x14:dataValidation xr:uid="{00580095-00CF-43A5-B667-00E2008C000A}"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AF164</xm:sqref>
        </x14:dataValidation>
        <x14:dataValidation xr:uid="{00D60001-0097-4F5B-879F-009000540030}"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AI164</xm:sqref>
        </x14:dataValidation>
        <x14:dataValidation xr:uid="{00FA0047-00AF-4315-AC41-00E40058003A}"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I165</xm:sqref>
        </x14:dataValidation>
        <x14:dataValidation xr:uid="{0035007F-0054-422B-9534-00E2008900DF}"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J165</xm:sqref>
        </x14:dataValidation>
        <x14:dataValidation xr:uid="{006100DE-00C4-4E30-B2A9-002F006100E1}" type="textLength" allowBlank="1" error="Допускается ввод не более 900 символов!" errorStyle="stop" errorTitle="Ошибка" imeMode="noControl" operator="lessThanOrEqual" showDropDown="0" showErrorMessage="1" showInputMessage="1">
          <x14:formula1>
            <xm:f>900</xm:f>
          </x14:formula1>
          <xm:sqref>K165</xm:sqref>
        </x14:dataValidation>
        <x14:dataValidation xr:uid="{003F0049-00D8-4A05-BE02-00D7006E0018}"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AC165</xm:sqref>
        </x14:dataValidation>
        <x14:dataValidation xr:uid="{00BC0041-00CA-4FDD-9D71-0083002D0031}"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AE165</xm:sqref>
        </x14:dataValidation>
        <x14:dataValidation xr:uid="{005800B3-0091-4377-9CB2-001200230053}"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AF165</xm:sqref>
        </x14:dataValidation>
        <x14:dataValidation xr:uid="{00BE0083-00BC-4EA6-9C0C-00DE00E200F2}"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AI165</xm:sqref>
        </x14:dataValidation>
        <x14:dataValidation xr:uid="{00640070-007A-4B33-A2C4-0031005B002B}"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I166</xm:sqref>
        </x14:dataValidation>
        <x14:dataValidation xr:uid="{00110041-00EC-4CBE-8112-00AB00F300A8}"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J166</xm:sqref>
        </x14:dataValidation>
        <x14:dataValidation xr:uid="{00D600DF-0043-43E4-B939-00900053000F}" type="textLength" allowBlank="1" error="Допускается ввод не более 900 символов!" errorStyle="stop" errorTitle="Ошибка" imeMode="noControl" operator="lessThanOrEqual" showDropDown="0" showErrorMessage="1" showInputMessage="1">
          <x14:formula1>
            <xm:f>900</xm:f>
          </x14:formula1>
          <xm:sqref>K166</xm:sqref>
        </x14:dataValidation>
        <x14:dataValidation xr:uid="{00A5008B-007C-4C7A-BE2A-00F900BD0026}"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AF166</xm:sqref>
        </x14:dataValidation>
        <x14:dataValidation xr:uid="{00DF006F-0045-4737-ACF3-00D500BC00D7}"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AI166</xm:sqref>
        </x14:dataValidation>
        <x14:dataValidation xr:uid="{00150008-00A5-4D06-AED1-0064001A0039}"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AF167</xm:sqref>
        </x14:dataValidation>
        <x14:dataValidation xr:uid="{000200B4-007B-4EDC-9130-009C009800F9}"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AI167</xm:sqref>
        </x14:dataValidation>
        <x14:dataValidation xr:uid="{00010057-0059-4C29-90DD-00CE00AD0038}"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I174</xm:sqref>
        </x14:dataValidation>
        <x14:dataValidation xr:uid="{00AB002C-007B-4772-8090-000C002D0016}"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J174</xm:sqref>
        </x14:dataValidation>
        <x14:dataValidation xr:uid="{002E00B2-00AB-4F35-8556-00A200900096}" type="textLength" allowBlank="1" error="Допускается ввод не более 900 символов!" errorStyle="stop" errorTitle="Ошибка" imeMode="noControl" operator="lessThanOrEqual" showDropDown="0" showErrorMessage="1" showInputMessage="1">
          <x14:formula1>
            <xm:f>900</xm:f>
          </x14:formula1>
          <xm:sqref>K174</xm:sqref>
        </x14:dataValidation>
        <x14:dataValidation xr:uid="{00010021-00C0-42C9-AE8F-000C004E0043}" type="textLength" allowBlank="1" error="Допускается ввод не более 900 символов!" errorStyle="stop" errorTitle="Ошибка" imeMode="noControl" operator="lessThanOrEqual" showDropDown="0" showErrorMessage="1" showInputMessage="1">
          <x14:formula1>
            <xm:f>900</xm:f>
          </x14:formula1>
          <xm:sqref>M174</xm:sqref>
        </x14:dataValidation>
        <x14:dataValidation xr:uid="{005F0097-000B-4649-82E3-00B400F0006D}"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AF174</xm:sqref>
        </x14:dataValidation>
        <x14:dataValidation xr:uid="{00B50056-00D8-431F-B140-00AC00A30038}"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AI174</xm:sqref>
        </x14:dataValidation>
        <x14:dataValidation xr:uid="{00E700CC-0003-43A4-882E-005100F90068}"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I175</xm:sqref>
        </x14:dataValidation>
        <x14:dataValidation xr:uid="{0005001C-0028-4A98-91A4-000700D80051}"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J175</xm:sqref>
        </x14:dataValidation>
        <x14:dataValidation xr:uid="{001400C1-0033-4BDB-9791-009C00D00018}" type="textLength" allowBlank="1" error="Допускается ввод не более 900 символов!" errorStyle="stop" errorTitle="Ошибка" imeMode="noControl" operator="lessThanOrEqual" showDropDown="0" showErrorMessage="1" showInputMessage="1">
          <x14:formula1>
            <xm:f>900</xm:f>
          </x14:formula1>
          <xm:sqref>K175</xm:sqref>
        </x14:dataValidation>
        <x14:dataValidation xr:uid="{00AF00AB-0015-4E46-9A15-00BF006E00D7}"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AF175</xm:sqref>
        </x14:dataValidation>
        <x14:dataValidation xr:uid="{0051009A-0019-4500-BCEE-004D00FC000E}"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AI175</xm:sqref>
        </x14:dataValidation>
        <x14:dataValidation xr:uid="{00E20090-0088-44C9-8EFB-006C00A100F2}"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I176</xm:sqref>
        </x14:dataValidation>
        <x14:dataValidation xr:uid="{00360047-0005-445F-96BE-0044002C0058}"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J176</xm:sqref>
        </x14:dataValidation>
        <x14:dataValidation xr:uid="{002A0069-00D7-4D1C-822A-002C00060073}" type="textLength" allowBlank="1" error="Допускается ввод не более 900 символов!" errorStyle="stop" errorTitle="Ошибка" imeMode="noControl" operator="lessThanOrEqual" showDropDown="0" showErrorMessage="1" showInputMessage="1">
          <x14:formula1>
            <xm:f>900</xm:f>
          </x14:formula1>
          <xm:sqref>K176</xm:sqref>
        </x14:dataValidation>
        <x14:dataValidation xr:uid="{00C10025-0077-43CF-A8EF-00DD00B600D4}"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AC176</xm:sqref>
        </x14:dataValidation>
        <x14:dataValidation xr:uid="{007100C3-00DC-4A19-89EF-004C00910018}"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AE176</xm:sqref>
        </x14:dataValidation>
        <x14:dataValidation xr:uid="{0080009E-00EC-450D-AED3-00A500070008}"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AF176</xm:sqref>
        </x14:dataValidation>
        <x14:dataValidation xr:uid="{00760039-00A3-44A2-A861-003A00CA00F3}"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AI176</xm:sqref>
        </x14:dataValidation>
        <x14:dataValidation xr:uid="{00A500EA-006F-4C8D-9268-004A00160059}"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I177</xm:sqref>
        </x14:dataValidation>
        <x14:dataValidation xr:uid="{001A008C-004A-4912-88C9-008700360001}"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J177</xm:sqref>
        </x14:dataValidation>
        <x14:dataValidation xr:uid="{001000DF-0020-491D-9CFA-008200310052}" type="textLength" allowBlank="1" error="Допускается ввод не более 900 символов!" errorStyle="stop" errorTitle="Ошибка" imeMode="noControl" operator="lessThanOrEqual" showDropDown="0" showErrorMessage="1" showInputMessage="1">
          <x14:formula1>
            <xm:f>900</xm:f>
          </x14:formula1>
          <xm:sqref>K177</xm:sqref>
        </x14:dataValidation>
        <x14:dataValidation xr:uid="{00170002-0059-4CBD-9876-001F001A00EA}"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AF177</xm:sqref>
        </x14:dataValidation>
        <x14:dataValidation xr:uid="{00BD00A2-002A-46BC-A107-0040004C006F}"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AI177</xm:sqref>
        </x14:dataValidation>
        <x14:dataValidation xr:uid="{00C6008E-0063-4874-A7C8-00D700290061}"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AF178</xm:sqref>
        </x14:dataValidation>
        <x14:dataValidation xr:uid="{001A00C2-0004-4330-B99E-002500100094}"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AI178</xm:sqref>
        </x14:dataValidation>
        <x14:dataValidation xr:uid="{00AA00F3-00A9-463B-BE96-00A700E2001E}"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I179</xm:sqref>
        </x14:dataValidation>
        <x14:dataValidation xr:uid="{00BE006F-004A-455D-B7EC-00A7003300F6}"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J179</xm:sqref>
        </x14:dataValidation>
        <x14:dataValidation xr:uid="{003E00AD-00C0-46AA-A138-003200460073}" type="textLength" allowBlank="1" error="Допускается ввод не более 900 символов!" errorStyle="stop" errorTitle="Ошибка" imeMode="noControl" operator="lessThanOrEqual" showDropDown="0" showErrorMessage="1" showInputMessage="1">
          <x14:formula1>
            <xm:f>900</xm:f>
          </x14:formula1>
          <xm:sqref>K179</xm:sqref>
        </x14:dataValidation>
        <x14:dataValidation xr:uid="{00F5001A-00B3-4AD7-A4E4-00F000D200D0}" type="textLength" allowBlank="1" error="Допускается ввод не более 900 символов!" errorStyle="stop" errorTitle="Ошибка" imeMode="noControl" operator="lessThanOrEqual" showDropDown="0" showErrorMessage="1" showInputMessage="1">
          <x14:formula1>
            <xm:f>900</xm:f>
          </x14:formula1>
          <xm:sqref>M179</xm:sqref>
        </x14:dataValidation>
        <x14:dataValidation xr:uid="{0061007A-00C4-4A6B-96CA-00D100C10095}"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AF179</xm:sqref>
        </x14:dataValidation>
        <x14:dataValidation xr:uid="{00DF0013-0082-476C-B27D-0013002200F7}"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AI179</xm:sqref>
        </x14:dataValidation>
        <x14:dataValidation xr:uid="{00D500B1-0074-4405-888D-00C7004500C8}"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I180</xm:sqref>
        </x14:dataValidation>
        <x14:dataValidation xr:uid="{00E90013-00F0-4254-A1F0-00D500A10047}"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J180</xm:sqref>
        </x14:dataValidation>
        <x14:dataValidation xr:uid="{00A1007D-0034-46A9-B3D6-00B900E500B1}" type="textLength" allowBlank="1" error="Допускается ввод не более 900 символов!" errorStyle="stop" errorTitle="Ошибка" imeMode="noControl" operator="lessThanOrEqual" showDropDown="0" showErrorMessage="1" showInputMessage="1">
          <x14:formula1>
            <xm:f>900</xm:f>
          </x14:formula1>
          <xm:sqref>K180</xm:sqref>
        </x14:dataValidation>
        <x14:dataValidation xr:uid="{00DB00A1-0009-4B12-8D3D-00F600900056}"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AF180</xm:sqref>
        </x14:dataValidation>
        <x14:dataValidation xr:uid="{0024002A-00FE-46DD-AF11-004D0068004F}"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AI180</xm:sqref>
        </x14:dataValidation>
        <x14:dataValidation xr:uid="{00A100DE-0055-42EF-B076-004200FF00A0}"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I181</xm:sqref>
        </x14:dataValidation>
        <x14:dataValidation xr:uid="{00210085-003B-4ACB-B9D1-00BD0097003A}"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J181</xm:sqref>
        </x14:dataValidation>
        <x14:dataValidation xr:uid="{00D300B9-0085-4384-BA10-00E3007B00CB}" type="textLength" allowBlank="1" error="Допускается ввод не более 900 символов!" errorStyle="stop" errorTitle="Ошибка" imeMode="noControl" operator="lessThanOrEqual" showDropDown="0" showErrorMessage="1" showInputMessage="1">
          <x14:formula1>
            <xm:f>900</xm:f>
          </x14:formula1>
          <xm:sqref>K181</xm:sqref>
        </x14:dataValidation>
        <x14:dataValidation xr:uid="{00A500EE-0052-4305-BEB6-0028000600ED}"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AC181</xm:sqref>
        </x14:dataValidation>
        <x14:dataValidation xr:uid="{00C000E2-0077-4786-9CE4-009900300051}"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AE181</xm:sqref>
        </x14:dataValidation>
        <x14:dataValidation xr:uid="{00A600FC-0029-43DA-86A1-00A4009F000F}"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AF181</xm:sqref>
        </x14:dataValidation>
        <x14:dataValidation xr:uid="{005200FC-003D-4364-9637-008400DF00A4}"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AI181</xm:sqref>
        </x14:dataValidation>
        <x14:dataValidation xr:uid="{00C800ED-000B-4976-A5A0-001C00240043}"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I182</xm:sqref>
        </x14:dataValidation>
        <x14:dataValidation xr:uid="{000D0082-00EB-42FE-AC32-00090087003B}"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J182</xm:sqref>
        </x14:dataValidation>
        <x14:dataValidation xr:uid="{00F4000B-00E4-4B50-844C-00E80026008A}" type="textLength" allowBlank="1" error="Допускается ввод не более 900 символов!" errorStyle="stop" errorTitle="Ошибка" imeMode="noControl" operator="lessThanOrEqual" showDropDown="0" showErrorMessage="1" showInputMessage="1">
          <x14:formula1>
            <xm:f>900</xm:f>
          </x14:formula1>
          <xm:sqref>K182</xm:sqref>
        </x14:dataValidation>
        <x14:dataValidation xr:uid="{000F007A-001A-42CC-90FA-001D008F00C3}"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AF182</xm:sqref>
        </x14:dataValidation>
        <x14:dataValidation xr:uid="{00DD007D-0045-49A1-AD72-00580096003E}"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AI182</xm:sqref>
        </x14:dataValidation>
        <x14:dataValidation xr:uid="{00FB00D8-0020-4071-81AB-009E008600CC}"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AF183</xm:sqref>
        </x14:dataValidation>
        <x14:dataValidation xr:uid="{0068008B-006B-46A4-A9CC-006000C00047}"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AI183</xm:sqref>
        </x14:dataValidation>
        <x14:dataValidation xr:uid="{000100D6-000A-4DC3-8CEA-009000A900FA}"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I184</xm:sqref>
        </x14:dataValidation>
        <x14:dataValidation xr:uid="{0040001F-0033-4073-8BE0-00B6002E00A0}"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J184</xm:sqref>
        </x14:dataValidation>
        <x14:dataValidation xr:uid="{00250026-00E3-4CDE-82BA-000B00BD00B9}" type="textLength" allowBlank="1" error="Допускается ввод не более 900 символов!" errorStyle="stop" errorTitle="Ошибка" imeMode="noControl" operator="lessThanOrEqual" showDropDown="0" showErrorMessage="1" showInputMessage="1">
          <x14:formula1>
            <xm:f>900</xm:f>
          </x14:formula1>
          <xm:sqref>K184</xm:sqref>
        </x14:dataValidation>
        <x14:dataValidation xr:uid="{00EC00B0-0047-48F2-A134-00BC008600A4}" type="textLength" allowBlank="1" error="Допускается ввод не более 900 символов!" errorStyle="stop" errorTitle="Ошибка" imeMode="noControl" operator="lessThanOrEqual" showDropDown="0" showErrorMessage="1" showInputMessage="1">
          <x14:formula1>
            <xm:f>900</xm:f>
          </x14:formula1>
          <xm:sqref>M184</xm:sqref>
        </x14:dataValidation>
        <x14:dataValidation xr:uid="{00EB00B5-0089-404A-93B0-00B3004000F0}"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AF184</xm:sqref>
        </x14:dataValidation>
        <x14:dataValidation xr:uid="{0058006A-004C-419F-B975-002D006B00B7}"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AI184</xm:sqref>
        </x14:dataValidation>
        <x14:dataValidation xr:uid="{00FD000C-00A9-4859-8CB8-008300750009}"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I185</xm:sqref>
        </x14:dataValidation>
        <x14:dataValidation xr:uid="{0000000E-00F6-4310-ABDC-004500C8002F}"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J185</xm:sqref>
        </x14:dataValidation>
        <x14:dataValidation xr:uid="{0001006C-0069-4F4A-9862-00B400C10036}" type="textLength" allowBlank="1" error="Допускается ввод не более 900 символов!" errorStyle="stop" errorTitle="Ошибка" imeMode="noControl" operator="lessThanOrEqual" showDropDown="0" showErrorMessage="1" showInputMessage="1">
          <x14:formula1>
            <xm:f>900</xm:f>
          </x14:formula1>
          <xm:sqref>K185</xm:sqref>
        </x14:dataValidation>
        <x14:dataValidation xr:uid="{00EE00CC-0096-40E5-9C59-002B009900D4}"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AF185</xm:sqref>
        </x14:dataValidation>
        <x14:dataValidation xr:uid="{00270061-00E2-43F8-87A9-00D6004F000B}"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AI185</xm:sqref>
        </x14:dataValidation>
        <x14:dataValidation xr:uid="{00D300BB-0057-439D-B0FD-004900A700AB}"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I186</xm:sqref>
        </x14:dataValidation>
        <x14:dataValidation xr:uid="{00AD0063-00C0-4DD8-9181-0054006F0018}"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J186</xm:sqref>
        </x14:dataValidation>
        <x14:dataValidation xr:uid="{0030002D-00EC-4524-B1E1-0020008E0059}" type="textLength" allowBlank="1" error="Допускается ввод не более 900 символов!" errorStyle="stop" errorTitle="Ошибка" imeMode="noControl" operator="lessThanOrEqual" showDropDown="0" showErrorMessage="1" showInputMessage="1">
          <x14:formula1>
            <xm:f>900</xm:f>
          </x14:formula1>
          <xm:sqref>K186</xm:sqref>
        </x14:dataValidation>
        <x14:dataValidation xr:uid="{0090005B-00F6-42E5-ABBB-00940003003B}"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AC186</xm:sqref>
        </x14:dataValidation>
        <x14:dataValidation xr:uid="{0013000D-0007-4CFB-AEF5-004B00A4009D}"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AE186</xm:sqref>
        </x14:dataValidation>
        <x14:dataValidation xr:uid="{007C00FC-00D8-4422-B54C-007500620076}"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AF186</xm:sqref>
        </x14:dataValidation>
        <x14:dataValidation xr:uid="{004400BB-00E7-4209-BB1F-00BA001C0066}"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AI186</xm:sqref>
        </x14:dataValidation>
        <x14:dataValidation xr:uid="{00E20060-00D3-4D45-9262-0078004F00EA}"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I187</xm:sqref>
        </x14:dataValidation>
        <x14:dataValidation xr:uid="{00290085-002A-43B3-B9DF-001C00AC0077}"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J187</xm:sqref>
        </x14:dataValidation>
        <x14:dataValidation xr:uid="{0038002A-0074-41D2-992E-007800FA008C}" type="textLength" allowBlank="1" error="Допускается ввод не более 900 символов!" errorStyle="stop" errorTitle="Ошибка" imeMode="noControl" operator="lessThanOrEqual" showDropDown="0" showErrorMessage="1" showInputMessage="1">
          <x14:formula1>
            <xm:f>900</xm:f>
          </x14:formula1>
          <xm:sqref>K187</xm:sqref>
        </x14:dataValidation>
        <x14:dataValidation xr:uid="{00B700DE-007E-49CC-B8E7-00C300E50091}"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AF187</xm:sqref>
        </x14:dataValidation>
        <x14:dataValidation xr:uid="{00A000F6-00E7-4829-A2B2-0087005600CE}"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AI187</xm:sqref>
        </x14:dataValidation>
        <x14:dataValidation xr:uid="{00C80070-0097-4F3C-A7A6-001200120093}"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AF188</xm:sqref>
        </x14:dataValidation>
        <x14:dataValidation xr:uid="{00EE009C-00A1-4F5D-9E05-007700E80091}"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AI188</xm:sqref>
        </x14:dataValidation>
        <x14:dataValidation xr:uid="{00AC000A-0066-48DE-8E0E-0088005F0086}"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I189</xm:sqref>
        </x14:dataValidation>
        <x14:dataValidation xr:uid="{000C0087-00B5-4178-9AE9-00BF009100BD}"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J189</xm:sqref>
        </x14:dataValidation>
        <x14:dataValidation xr:uid="{00C200CD-00C2-4731-B8DB-0052009900C8}" type="textLength" allowBlank="1" error="Допускается ввод не более 900 символов!" errorStyle="stop" errorTitle="Ошибка" imeMode="noControl" operator="lessThanOrEqual" showDropDown="0" showErrorMessage="1" showInputMessage="1">
          <x14:formula1>
            <xm:f>900</xm:f>
          </x14:formula1>
          <xm:sqref>K189</xm:sqref>
        </x14:dataValidation>
        <x14:dataValidation xr:uid="{006C00F6-00C2-4CE5-B076-0026004400AB}" type="textLength" allowBlank="1" error="Допускается ввод не более 900 символов!" errorStyle="stop" errorTitle="Ошибка" imeMode="noControl" operator="lessThanOrEqual" showDropDown="0" showErrorMessage="1" showInputMessage="1">
          <x14:formula1>
            <xm:f>900</xm:f>
          </x14:formula1>
          <xm:sqref>M189</xm:sqref>
        </x14:dataValidation>
        <x14:dataValidation xr:uid="{00A100AB-00C9-4AE4-812A-00BF007E0021}"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AF189</xm:sqref>
        </x14:dataValidation>
        <x14:dataValidation xr:uid="{00E800DE-000F-4520-BA03-0088006B005A}"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AI189</xm:sqref>
        </x14:dataValidation>
        <x14:dataValidation xr:uid="{009E009C-00BA-41F3-96DC-00ED003100A8}"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I190</xm:sqref>
        </x14:dataValidation>
        <x14:dataValidation xr:uid="{00A5004F-009C-4384-8A61-00A600C200FE}"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J190</xm:sqref>
        </x14:dataValidation>
        <x14:dataValidation xr:uid="{003100A0-0050-4FD7-B734-00A5000E001A}" type="textLength" allowBlank="1" error="Допускается ввод не более 900 символов!" errorStyle="stop" errorTitle="Ошибка" imeMode="noControl" operator="lessThanOrEqual" showDropDown="0" showErrorMessage="1" showInputMessage="1">
          <x14:formula1>
            <xm:f>900</xm:f>
          </x14:formula1>
          <xm:sqref>K190</xm:sqref>
        </x14:dataValidation>
        <x14:dataValidation xr:uid="{00E000C4-00E2-4237-A31F-0004002800BB}"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AF190</xm:sqref>
        </x14:dataValidation>
        <x14:dataValidation xr:uid="{006900A5-0055-446B-9D64-00B900B10013}"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AI190</xm:sqref>
        </x14:dataValidation>
        <x14:dataValidation xr:uid="{00030041-009C-44E8-8124-004D004C0017}"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I191</xm:sqref>
        </x14:dataValidation>
        <x14:dataValidation xr:uid="{00F200B4-00A2-4736-9F55-000200E600AB}"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J191</xm:sqref>
        </x14:dataValidation>
        <x14:dataValidation xr:uid="{00AE00E2-0092-4D9A-BE8A-00CE00B800CB}" type="textLength" allowBlank="1" error="Допускается ввод не более 900 символов!" errorStyle="stop" errorTitle="Ошибка" imeMode="noControl" operator="lessThanOrEqual" showDropDown="0" showErrorMessage="1" showInputMessage="1">
          <x14:formula1>
            <xm:f>900</xm:f>
          </x14:formula1>
          <xm:sqref>K191</xm:sqref>
        </x14:dataValidation>
        <x14:dataValidation xr:uid="{00090019-005A-40F1-88D7-00B5009C0044}"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AC191</xm:sqref>
        </x14:dataValidation>
        <x14:dataValidation xr:uid="{00AD0092-00E5-4902-9ACF-00A4006600A6}"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AE191</xm:sqref>
        </x14:dataValidation>
        <x14:dataValidation xr:uid="{000100F4-00E4-4C36-848E-0030009400CB}"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AF191</xm:sqref>
        </x14:dataValidation>
        <x14:dataValidation xr:uid="{009800E4-00E6-4954-A5C5-000400C2009C}"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AI191</xm:sqref>
        </x14:dataValidation>
        <x14:dataValidation xr:uid="{009A007D-0061-4DF4-B48B-004800990082}"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I192</xm:sqref>
        </x14:dataValidation>
        <x14:dataValidation xr:uid="{00D20077-00BB-4007-B3DA-0029002100C7}"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J192</xm:sqref>
        </x14:dataValidation>
        <x14:dataValidation xr:uid="{00270087-00C8-478B-AAEB-00D400A7004F}" type="textLength" allowBlank="1" error="Допускается ввод не более 900 символов!" errorStyle="stop" errorTitle="Ошибка" imeMode="noControl" operator="lessThanOrEqual" showDropDown="0" showErrorMessage="1" showInputMessage="1">
          <x14:formula1>
            <xm:f>900</xm:f>
          </x14:formula1>
          <xm:sqref>K192</xm:sqref>
        </x14:dataValidation>
        <x14:dataValidation xr:uid="{00F40077-0042-4B72-988F-005D008B008A}"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AF192</xm:sqref>
        </x14:dataValidation>
        <x14:dataValidation xr:uid="{00E7006A-00E5-4720-82AA-006800BF00DB}"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AI192</xm:sqref>
        </x14:dataValidation>
        <x14:dataValidation xr:uid="{009E00E0-0028-484F-AA35-00B100930007}"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AF193</xm:sqref>
        </x14:dataValidation>
        <x14:dataValidation xr:uid="{00080081-00AC-407D-A726-002400B500CF}"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AI193</xm:sqref>
        </x14:dataValidation>
        <x14:dataValidation xr:uid="{00FC009E-005E-4920-BCAA-00E700DE0037}"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I200</xm:sqref>
        </x14:dataValidation>
        <x14:dataValidation xr:uid="{00F30026-0035-4CEC-AB8F-00CB0006001E}"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J200</xm:sqref>
        </x14:dataValidation>
        <x14:dataValidation xr:uid="{00CE00B6-00E1-4CFF-A31D-000100D700C9}" type="textLength" allowBlank="1" error="Допускается ввод не более 900 символов!" errorStyle="stop" errorTitle="Ошибка" imeMode="noControl" operator="lessThanOrEqual" showDropDown="0" showErrorMessage="1" showInputMessage="1">
          <x14:formula1>
            <xm:f>900</xm:f>
          </x14:formula1>
          <xm:sqref>K200</xm:sqref>
        </x14:dataValidation>
        <x14:dataValidation xr:uid="{00BE001C-00A9-4F87-852E-002800DB0096}" type="textLength" allowBlank="1" error="Допускается ввод не более 900 символов!" errorStyle="stop" errorTitle="Ошибка" imeMode="noControl" operator="lessThanOrEqual" showDropDown="0" showErrorMessage="1" showInputMessage="1">
          <x14:formula1>
            <xm:f>900</xm:f>
          </x14:formula1>
          <xm:sqref>M200</xm:sqref>
        </x14:dataValidation>
        <x14:dataValidation xr:uid="{007F00A4-0006-4161-BED9-006800030087}"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AF200</xm:sqref>
        </x14:dataValidation>
        <x14:dataValidation xr:uid="{006E00EB-00E4-40A5-BACF-00BE006F000C}"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AI200</xm:sqref>
        </x14:dataValidation>
        <x14:dataValidation xr:uid="{00640088-003C-49CE-B7B1-008600EC00BB}"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I201</xm:sqref>
        </x14:dataValidation>
        <x14:dataValidation xr:uid="{00E0005D-0094-4159-8314-007800B00017}"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J201</xm:sqref>
        </x14:dataValidation>
        <x14:dataValidation xr:uid="{00D70078-002C-4ECB-8780-008800C50097}" type="textLength" allowBlank="1" error="Допускается ввод не более 900 символов!" errorStyle="stop" errorTitle="Ошибка" imeMode="noControl" operator="lessThanOrEqual" showDropDown="0" showErrorMessage="1" showInputMessage="1">
          <x14:formula1>
            <xm:f>900</xm:f>
          </x14:formula1>
          <xm:sqref>K201</xm:sqref>
        </x14:dataValidation>
        <x14:dataValidation xr:uid="{00D500AF-00BB-4F1A-849D-00D00036009C}"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AF201</xm:sqref>
        </x14:dataValidation>
        <x14:dataValidation xr:uid="{008900DA-0017-4F71-B046-008F003500A8}"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AI201</xm:sqref>
        </x14:dataValidation>
        <x14:dataValidation xr:uid="{007F0001-0084-45E7-83AB-0027005300C7}"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I202</xm:sqref>
        </x14:dataValidation>
        <x14:dataValidation xr:uid="{005200EC-00F0-47B6-944B-007800890049}"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J202</xm:sqref>
        </x14:dataValidation>
        <x14:dataValidation xr:uid="{001F0017-0042-4377-AE5F-009300BC0027}" type="textLength" allowBlank="1" error="Допускается ввод не более 900 символов!" errorStyle="stop" errorTitle="Ошибка" imeMode="noControl" operator="lessThanOrEqual" showDropDown="0" showErrorMessage="1" showInputMessage="1">
          <x14:formula1>
            <xm:f>900</xm:f>
          </x14:formula1>
          <xm:sqref>K202</xm:sqref>
        </x14:dataValidation>
        <x14:dataValidation xr:uid="{00850071-0070-47BE-A1F6-009500A60077}"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AC202</xm:sqref>
        </x14:dataValidation>
        <x14:dataValidation xr:uid="{00670029-00A7-401D-A2B9-00A6009900C3}"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AE202</xm:sqref>
        </x14:dataValidation>
        <x14:dataValidation xr:uid="{00B90038-0067-4892-9468-007B00A10030}"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AF202</xm:sqref>
        </x14:dataValidation>
        <x14:dataValidation xr:uid="{008400BA-0011-490D-A948-00FA00CB0023}"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AI202</xm:sqref>
        </x14:dataValidation>
        <x14:dataValidation xr:uid="{008300FB-00DE-43C0-8A4C-006D005000B8}"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I203</xm:sqref>
        </x14:dataValidation>
        <x14:dataValidation xr:uid="{007900FC-0057-4248-8F9F-002D00A10077}"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J203</xm:sqref>
        </x14:dataValidation>
        <x14:dataValidation xr:uid="{00020043-0098-42DF-BF8C-005F007700F8}" type="textLength" allowBlank="1" error="Допускается ввод не более 900 символов!" errorStyle="stop" errorTitle="Ошибка" imeMode="noControl" operator="lessThanOrEqual" showDropDown="0" showErrorMessage="1" showInputMessage="1">
          <x14:formula1>
            <xm:f>900</xm:f>
          </x14:formula1>
          <xm:sqref>K203</xm:sqref>
        </x14:dataValidation>
        <x14:dataValidation xr:uid="{000700F5-0058-4E4F-8CC6-009D003E0063}"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AF203</xm:sqref>
        </x14:dataValidation>
        <x14:dataValidation xr:uid="{00B800EB-0079-4641-8795-007D006200A8}"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AI203</xm:sqref>
        </x14:dataValidation>
        <x14:dataValidation xr:uid="{006800DC-0049-446F-8CE9-004D0018001A}"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AF204</xm:sqref>
        </x14:dataValidation>
        <x14:dataValidation xr:uid="{003700A2-0036-40D3-B87B-00F2003B00C1}"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AI204</xm:sqref>
        </x14:dataValidation>
        <x14:dataValidation xr:uid="{004000CB-009D-4D98-9E7D-00A800400074}"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I205</xm:sqref>
        </x14:dataValidation>
        <x14:dataValidation xr:uid="{00DC00F9-0093-40C1-AAE3-00A800480000}"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J205</xm:sqref>
        </x14:dataValidation>
        <x14:dataValidation xr:uid="{00510083-001B-4990-8B1A-003F004700AB}" type="textLength" allowBlank="1" error="Допускается ввод не более 900 символов!" errorStyle="stop" errorTitle="Ошибка" imeMode="noControl" operator="lessThanOrEqual" showDropDown="0" showErrorMessage="1" showInputMessage="1">
          <x14:formula1>
            <xm:f>900</xm:f>
          </x14:formula1>
          <xm:sqref>K205</xm:sqref>
        </x14:dataValidation>
        <x14:dataValidation xr:uid="{001F0061-0094-4BAB-9D0D-00F100750056}" type="textLength" allowBlank="1" error="Допускается ввод не более 900 символов!" errorStyle="stop" errorTitle="Ошибка" imeMode="noControl" operator="lessThanOrEqual" showDropDown="0" showErrorMessage="1" showInputMessage="1">
          <x14:formula1>
            <xm:f>900</xm:f>
          </x14:formula1>
          <xm:sqref>M205</xm:sqref>
        </x14:dataValidation>
        <x14:dataValidation xr:uid="{00A600AC-00AE-4AA6-B2FD-00E3000900D4}"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AF205</xm:sqref>
        </x14:dataValidation>
        <x14:dataValidation xr:uid="{00920094-00E1-46E7-B16D-00E7005400F6}"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AI205</xm:sqref>
        </x14:dataValidation>
        <x14:dataValidation xr:uid="{0044000A-0030-4CEE-BA16-00AD00D30028}"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I206</xm:sqref>
        </x14:dataValidation>
        <x14:dataValidation xr:uid="{00630071-00CF-478F-8792-006E00FB00A6}"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J206</xm:sqref>
        </x14:dataValidation>
        <x14:dataValidation xr:uid="{00F80025-007B-4902-9744-00CF005400D8}" type="textLength" allowBlank="1" error="Допускается ввод не более 900 символов!" errorStyle="stop" errorTitle="Ошибка" imeMode="noControl" operator="lessThanOrEqual" showDropDown="0" showErrorMessage="1" showInputMessage="1">
          <x14:formula1>
            <xm:f>900</xm:f>
          </x14:formula1>
          <xm:sqref>K206</xm:sqref>
        </x14:dataValidation>
        <x14:dataValidation xr:uid="{00160049-0044-48EE-A84D-00B0000D00CF}"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AF206</xm:sqref>
        </x14:dataValidation>
        <x14:dataValidation xr:uid="{00CD004A-00D8-4C27-AE26-00CE00F60017}"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AI206</xm:sqref>
        </x14:dataValidation>
        <x14:dataValidation xr:uid="{006000C7-008F-4388-879C-001E00B800D4}"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I207</xm:sqref>
        </x14:dataValidation>
        <x14:dataValidation xr:uid="{00E100DE-0005-4912-A7A3-00DF009600E3}"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J207</xm:sqref>
        </x14:dataValidation>
        <x14:dataValidation xr:uid="{00EA0016-00E1-43D3-92BF-0098008E0012}" type="textLength" allowBlank="1" error="Допускается ввод не более 900 символов!" errorStyle="stop" errorTitle="Ошибка" imeMode="noControl" operator="lessThanOrEqual" showDropDown="0" showErrorMessage="1" showInputMessage="1">
          <x14:formula1>
            <xm:f>900</xm:f>
          </x14:formula1>
          <xm:sqref>K207</xm:sqref>
        </x14:dataValidation>
        <x14:dataValidation xr:uid="{009100CB-003A-40BD-80C6-00F000E400D7}"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AC207</xm:sqref>
        </x14:dataValidation>
        <x14:dataValidation xr:uid="{005D00DB-00BB-4379-BBCA-00F400EA00F2}"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AE207</xm:sqref>
        </x14:dataValidation>
        <x14:dataValidation xr:uid="{00D10045-0020-41BF-9CD8-004200BA0052}"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AF207</xm:sqref>
        </x14:dataValidation>
        <x14:dataValidation xr:uid="{0096006C-00E7-4ABE-BC31-00D100DD00AF}"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AI207</xm:sqref>
        </x14:dataValidation>
        <x14:dataValidation xr:uid="{0089001A-0060-4896-9C6C-0094005C00CC}"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I208</xm:sqref>
        </x14:dataValidation>
        <x14:dataValidation xr:uid="{001C0020-00DE-41CA-B0C7-0003000E004A}"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J208</xm:sqref>
        </x14:dataValidation>
        <x14:dataValidation xr:uid="{0032002A-00C5-4283-B8E1-008000630099}" type="textLength" allowBlank="1" error="Допускается ввод не более 900 символов!" errorStyle="stop" errorTitle="Ошибка" imeMode="noControl" operator="lessThanOrEqual" showDropDown="0" showErrorMessage="1" showInputMessage="1">
          <x14:formula1>
            <xm:f>900</xm:f>
          </x14:formula1>
          <xm:sqref>K208</xm:sqref>
        </x14:dataValidation>
        <x14:dataValidation xr:uid="{00AF00F7-0021-46E3-9D76-00B400FB00A3}"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AF208</xm:sqref>
        </x14:dataValidation>
        <x14:dataValidation xr:uid="{0036009D-0052-44EC-AE37-0038008C007D}"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AI208</xm:sqref>
        </x14:dataValidation>
        <x14:dataValidation xr:uid="{00180046-001A-477F-B1EA-00F900A00060}"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AF209</xm:sqref>
        </x14:dataValidation>
        <x14:dataValidation xr:uid="{002F0033-009A-458C-9B13-007000C6007D}"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AI209</xm:sqref>
        </x14:dataValidation>
        <x14:dataValidation xr:uid="{00860028-0088-4F08-8B62-009000E70096}"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I210</xm:sqref>
        </x14:dataValidation>
        <x14:dataValidation xr:uid="{00120036-0037-4FB2-B536-009A00600014}"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J210</xm:sqref>
        </x14:dataValidation>
        <x14:dataValidation xr:uid="{00C6006E-0083-4649-A788-003D002F00D7}" type="textLength" allowBlank="1" error="Допускается ввод не более 900 символов!" errorStyle="stop" errorTitle="Ошибка" imeMode="noControl" operator="lessThanOrEqual" showDropDown="0" showErrorMessage="1" showInputMessage="1">
          <x14:formula1>
            <xm:f>900</xm:f>
          </x14:formula1>
          <xm:sqref>K210</xm:sqref>
        </x14:dataValidation>
        <x14:dataValidation xr:uid="{000F0005-00FA-4779-B8E7-00C700DF004A}" type="textLength" allowBlank="1" error="Допускается ввод не более 900 символов!" errorStyle="stop" errorTitle="Ошибка" imeMode="noControl" operator="lessThanOrEqual" showDropDown="0" showErrorMessage="1" showInputMessage="1">
          <x14:formula1>
            <xm:f>900</xm:f>
          </x14:formula1>
          <xm:sqref>M210</xm:sqref>
        </x14:dataValidation>
        <x14:dataValidation xr:uid="{00310070-00B0-4A1D-A0DF-0088009500E1}"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AF210</xm:sqref>
        </x14:dataValidation>
        <x14:dataValidation xr:uid="{001800D5-0067-4D41-8296-0031000A0010}"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AI210</xm:sqref>
        </x14:dataValidation>
        <x14:dataValidation xr:uid="{00DF00A7-00DD-4B95-B75E-006F00120097}"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I211</xm:sqref>
        </x14:dataValidation>
        <x14:dataValidation xr:uid="{00490045-00BA-4E68-9FC3-00B5006E00BC}"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J211</xm:sqref>
        </x14:dataValidation>
        <x14:dataValidation xr:uid="{008F009F-00A3-427E-84D4-003300CE0050}" type="textLength" allowBlank="1" error="Допускается ввод не более 900 символов!" errorStyle="stop" errorTitle="Ошибка" imeMode="noControl" operator="lessThanOrEqual" showDropDown="0" showErrorMessage="1" showInputMessage="1">
          <x14:formula1>
            <xm:f>900</xm:f>
          </x14:formula1>
          <xm:sqref>K211</xm:sqref>
        </x14:dataValidation>
        <x14:dataValidation xr:uid="{00CF0007-0026-4938-9105-005100D000AD}"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AF211</xm:sqref>
        </x14:dataValidation>
        <x14:dataValidation xr:uid="{001000AD-0056-4853-951F-00AF00760038}"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AI211</xm:sqref>
        </x14:dataValidation>
        <x14:dataValidation xr:uid="{006D0076-008B-4A1D-BAD9-0046006300C4}"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I212</xm:sqref>
        </x14:dataValidation>
        <x14:dataValidation xr:uid="{00FA0067-007A-484D-9027-00DB00A90059}"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J212</xm:sqref>
        </x14:dataValidation>
        <x14:dataValidation xr:uid="{00170051-00F0-49DF-B6B4-00E900B8004A}" type="textLength" allowBlank="1" error="Допускается ввод не более 900 символов!" errorStyle="stop" errorTitle="Ошибка" imeMode="noControl" operator="lessThanOrEqual" showDropDown="0" showErrorMessage="1" showInputMessage="1">
          <x14:formula1>
            <xm:f>900</xm:f>
          </x14:formula1>
          <xm:sqref>K212</xm:sqref>
        </x14:dataValidation>
        <x14:dataValidation xr:uid="{001C00C9-0093-4657-B8EF-00E500010066}"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AC212</xm:sqref>
        </x14:dataValidation>
        <x14:dataValidation xr:uid="{00F40081-00BE-409B-9656-0048000F00F6}"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AE212</xm:sqref>
        </x14:dataValidation>
        <x14:dataValidation xr:uid="{002000AF-0033-4FD6-9666-00CC005C0068}"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AF212</xm:sqref>
        </x14:dataValidation>
        <x14:dataValidation xr:uid="{00EE00E2-00F4-4488-A9C0-00A3009800EC}"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AI212</xm:sqref>
        </x14:dataValidation>
        <x14:dataValidation xr:uid="{00510069-0071-425B-973E-00A800C800F5}"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I213</xm:sqref>
        </x14:dataValidation>
        <x14:dataValidation xr:uid="{00D80010-00E5-4070-B3FA-006400B10081}"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J213</xm:sqref>
        </x14:dataValidation>
        <x14:dataValidation xr:uid="{00FC0038-003C-4E10-8E88-008D00DD0041}" type="textLength" allowBlank="1" error="Допускается ввод не более 900 символов!" errorStyle="stop" errorTitle="Ошибка" imeMode="noControl" operator="lessThanOrEqual" showDropDown="0" showErrorMessage="1" showInputMessage="1">
          <x14:formula1>
            <xm:f>900</xm:f>
          </x14:formula1>
          <xm:sqref>K213</xm:sqref>
        </x14:dataValidation>
        <x14:dataValidation xr:uid="{00C5004C-00AA-4ECF-AF06-00C700DB00D5}"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AF213</xm:sqref>
        </x14:dataValidation>
        <x14:dataValidation xr:uid="{00E6001E-007B-4965-8EE0-001200F40072}"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AI213</xm:sqref>
        </x14:dataValidation>
        <x14:dataValidation xr:uid="{00A90074-0013-4468-A07F-00020082002C}"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AF214</xm:sqref>
        </x14:dataValidation>
        <x14:dataValidation xr:uid="{001300FD-00F9-4E3E-9986-00C1000100F0}"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AI214</xm:sqref>
        </x14:dataValidation>
        <x14:dataValidation xr:uid="{00E00068-00BC-486E-981D-007000C400D4}"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I215</xm:sqref>
        </x14:dataValidation>
        <x14:dataValidation xr:uid="{002200FC-00CB-4EF5-875C-00AD007A00B0}"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J215</xm:sqref>
        </x14:dataValidation>
        <x14:dataValidation xr:uid="{0002005F-0033-4712-9498-00BE00FF004E}" type="textLength" allowBlank="1" error="Допускается ввод не более 900 символов!" errorStyle="stop" errorTitle="Ошибка" imeMode="noControl" operator="lessThanOrEqual" showDropDown="0" showErrorMessage="1" showInputMessage="1">
          <x14:formula1>
            <xm:f>900</xm:f>
          </x14:formula1>
          <xm:sqref>K215</xm:sqref>
        </x14:dataValidation>
        <x14:dataValidation xr:uid="{00ED0085-00FF-4A19-BDC6-000200200034}" type="textLength" allowBlank="1" error="Допускается ввод не более 900 символов!" errorStyle="stop" errorTitle="Ошибка" imeMode="noControl" operator="lessThanOrEqual" showDropDown="0" showErrorMessage="1" showInputMessage="1">
          <x14:formula1>
            <xm:f>900</xm:f>
          </x14:formula1>
          <xm:sqref>M215</xm:sqref>
        </x14:dataValidation>
        <x14:dataValidation xr:uid="{00630013-00F9-47B2-99E1-009100F600C4}"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AF215</xm:sqref>
        </x14:dataValidation>
        <x14:dataValidation xr:uid="{00DA008B-0075-478C-9AFD-007900C00074}"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AI215</xm:sqref>
        </x14:dataValidation>
        <x14:dataValidation xr:uid="{00B10088-00EF-457D-BE27-0090004A0074}"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I216</xm:sqref>
        </x14:dataValidation>
        <x14:dataValidation xr:uid="{004E0017-00A9-448A-9F06-0024008B0010}"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J216</xm:sqref>
        </x14:dataValidation>
        <x14:dataValidation xr:uid="{001500B5-0094-4DA1-A923-008100A8009F}" type="textLength" allowBlank="1" error="Допускается ввод не более 900 символов!" errorStyle="stop" errorTitle="Ошибка" imeMode="noControl" operator="lessThanOrEqual" showDropDown="0" showErrorMessage="1" showInputMessage="1">
          <x14:formula1>
            <xm:f>900</xm:f>
          </x14:formula1>
          <xm:sqref>K216</xm:sqref>
        </x14:dataValidation>
        <x14:dataValidation xr:uid="{001800BA-000A-46A3-BCAB-007F002E0054}"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AF216</xm:sqref>
        </x14:dataValidation>
        <x14:dataValidation xr:uid="{004A0083-0027-423A-9B2A-009E004A0054}"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AI216</xm:sqref>
        </x14:dataValidation>
        <x14:dataValidation xr:uid="{00F0008B-008A-4E50-82F8-007300A700B2}"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I217</xm:sqref>
        </x14:dataValidation>
        <x14:dataValidation xr:uid="{00F400E9-00F7-4AA0-96E8-0042000C0032}"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J217</xm:sqref>
        </x14:dataValidation>
        <x14:dataValidation xr:uid="{00C700E0-008F-4C73-BE1F-00D500680025}" type="textLength" allowBlank="1" error="Допускается ввод не более 900 символов!" errorStyle="stop" errorTitle="Ошибка" imeMode="noControl" operator="lessThanOrEqual" showDropDown="0" showErrorMessage="1" showInputMessage="1">
          <x14:formula1>
            <xm:f>900</xm:f>
          </x14:formula1>
          <xm:sqref>K217</xm:sqref>
        </x14:dataValidation>
        <x14:dataValidation xr:uid="{0058005E-001C-45A6-AA31-0099007F00DA}"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AC217</xm:sqref>
        </x14:dataValidation>
        <x14:dataValidation xr:uid="{008E0003-001F-435C-ACA7-009400D100C3}"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AE217</xm:sqref>
        </x14:dataValidation>
        <x14:dataValidation xr:uid="{006100C0-004C-423C-B35F-00620045002B}"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AF217</xm:sqref>
        </x14:dataValidation>
        <x14:dataValidation xr:uid="{00FE00EF-000A-4824-AB8B-002A009500B4}"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AI217</xm:sqref>
        </x14:dataValidation>
        <x14:dataValidation xr:uid="{00670087-0070-4CA4-9645-001200880089}"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I218</xm:sqref>
        </x14:dataValidation>
        <x14:dataValidation xr:uid="{0067002C-007E-453B-8248-007A001C0042}"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J218</xm:sqref>
        </x14:dataValidation>
        <x14:dataValidation xr:uid="{008F0061-00F2-4EDB-9CA7-0032008F00C3}" type="textLength" allowBlank="1" error="Допускается ввод не более 900 символов!" errorStyle="stop" errorTitle="Ошибка" imeMode="noControl" operator="lessThanOrEqual" showDropDown="0" showErrorMessage="1" showInputMessage="1">
          <x14:formula1>
            <xm:f>900</xm:f>
          </x14:formula1>
          <xm:sqref>K218</xm:sqref>
        </x14:dataValidation>
        <x14:dataValidation xr:uid="{001F00AA-00A6-4396-80F3-00B7008B0087}"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AF218</xm:sqref>
        </x14:dataValidation>
        <x14:dataValidation xr:uid="{006F0039-00D6-492D-9251-004F00BD002E}"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AI218</xm:sqref>
        </x14:dataValidation>
        <x14:dataValidation xr:uid="{00F50095-003A-4131-A668-000D00B300F2}"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AF219</xm:sqref>
        </x14:dataValidation>
        <x14:dataValidation xr:uid="{00410033-0056-47BA-9278-00F500C700C9}"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AI219</xm:sqref>
        </x14:dataValidation>
        <x14:dataValidation xr:uid="{00BE0097-0098-4C90-8300-00ED00EA00E2}"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I220</xm:sqref>
        </x14:dataValidation>
        <x14:dataValidation xr:uid="{00AF00F2-00C9-4BBD-99EE-009000E60055}"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J220</xm:sqref>
        </x14:dataValidation>
        <x14:dataValidation xr:uid="{000200A3-0072-4F39-B6DD-00DD00FF007D}" type="textLength" allowBlank="1" error="Допускается ввод не более 900 символов!" errorStyle="stop" errorTitle="Ошибка" imeMode="noControl" operator="lessThanOrEqual" showDropDown="0" showErrorMessage="1" showInputMessage="1">
          <x14:formula1>
            <xm:f>900</xm:f>
          </x14:formula1>
          <xm:sqref>K220</xm:sqref>
        </x14:dataValidation>
        <x14:dataValidation xr:uid="{00D10035-00DA-45EF-B113-00A60098003A}" type="textLength" allowBlank="1" error="Допускается ввод не более 900 символов!" errorStyle="stop" errorTitle="Ошибка" imeMode="noControl" operator="lessThanOrEqual" showDropDown="0" showErrorMessage="1" showInputMessage="1">
          <x14:formula1>
            <xm:f>900</xm:f>
          </x14:formula1>
          <xm:sqref>M220</xm:sqref>
        </x14:dataValidation>
        <x14:dataValidation xr:uid="{00100013-00E0-4BBB-BEC4-0049002300C4}"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AF220</xm:sqref>
        </x14:dataValidation>
        <x14:dataValidation xr:uid="{00EA0033-0084-406D-A3F7-009200A400C7}"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AI220</xm:sqref>
        </x14:dataValidation>
        <x14:dataValidation xr:uid="{00BD00C0-003C-4783-A7BA-009900110084}"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I221</xm:sqref>
        </x14:dataValidation>
        <x14:dataValidation xr:uid="{00050095-00E7-4440-800D-00B1006600D5}"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J221</xm:sqref>
        </x14:dataValidation>
        <x14:dataValidation xr:uid="{008500D5-006D-41BE-B05B-005A00DE000A}" type="textLength" allowBlank="1" error="Допускается ввод не более 900 символов!" errorStyle="stop" errorTitle="Ошибка" imeMode="noControl" operator="lessThanOrEqual" showDropDown="0" showErrorMessage="1" showInputMessage="1">
          <x14:formula1>
            <xm:f>900</xm:f>
          </x14:formula1>
          <xm:sqref>K221</xm:sqref>
        </x14:dataValidation>
        <x14:dataValidation xr:uid="{00700069-003D-41EC-BC88-000900670011}"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AF221</xm:sqref>
        </x14:dataValidation>
        <x14:dataValidation xr:uid="{0014008F-00ED-493F-9A98-002D0002004E}"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AI221</xm:sqref>
        </x14:dataValidation>
        <x14:dataValidation xr:uid="{00310099-006D-4927-A6EF-00D800400054}"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I222</xm:sqref>
        </x14:dataValidation>
        <x14:dataValidation xr:uid="{0072008F-00CB-4861-AAEA-00F600F3004B}"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J222</xm:sqref>
        </x14:dataValidation>
        <x14:dataValidation xr:uid="{0023008F-005B-40D5-A461-00F100980033}" type="textLength" allowBlank="1" error="Допускается ввод не более 900 символов!" errorStyle="stop" errorTitle="Ошибка" imeMode="noControl" operator="lessThanOrEqual" showDropDown="0" showErrorMessage="1" showInputMessage="1">
          <x14:formula1>
            <xm:f>900</xm:f>
          </x14:formula1>
          <xm:sqref>K222</xm:sqref>
        </x14:dataValidation>
        <x14:dataValidation xr:uid="{00FE00B0-0084-4AAA-AB48-00F500BC005D}"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AC222</xm:sqref>
        </x14:dataValidation>
        <x14:dataValidation xr:uid="{0040001D-002C-44F5-8DE9-0092008800C4}"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AE222</xm:sqref>
        </x14:dataValidation>
        <x14:dataValidation xr:uid="{001200F3-00D9-49DF-8EB9-004A0014001F}"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AF222</xm:sqref>
        </x14:dataValidation>
        <x14:dataValidation xr:uid="{009D006A-00C0-473F-9DBC-003100E40071}"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AI222</xm:sqref>
        </x14:dataValidation>
        <x14:dataValidation xr:uid="{00A80025-00EA-4CE3-9639-0039005F007D}"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I223</xm:sqref>
        </x14:dataValidation>
        <x14:dataValidation xr:uid="{000300A8-00B1-45E3-8BB8-009400B70072}"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J223</xm:sqref>
        </x14:dataValidation>
        <x14:dataValidation xr:uid="{003D00B7-0076-42CB-B21C-008300F200C5}" type="textLength" allowBlank="1" error="Допускается ввод не более 900 символов!" errorStyle="stop" errorTitle="Ошибка" imeMode="noControl" operator="lessThanOrEqual" showDropDown="0" showErrorMessage="1" showInputMessage="1">
          <x14:formula1>
            <xm:f>900</xm:f>
          </x14:formula1>
          <xm:sqref>K223</xm:sqref>
        </x14:dataValidation>
        <x14:dataValidation xr:uid="{00260037-00EE-4BA9-B04E-008400E9005B}"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AF223</xm:sqref>
        </x14:dataValidation>
        <x14:dataValidation xr:uid="{00CD00D9-0072-485B-9439-004D0071004E}"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AI223</xm:sqref>
        </x14:dataValidation>
        <x14:dataValidation xr:uid="{00E40010-00DE-461F-99BF-0035006D002A}"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AF224</xm:sqref>
        </x14:dataValidation>
        <x14:dataValidation xr:uid="{006500D9-0041-470A-82A9-0089009400D0}"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AI224</xm:sqref>
        </x14:dataValidation>
        <x14:dataValidation xr:uid="{009900FA-0037-424B-8D2A-0000005D002A}"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I28</xm:sqref>
        </x14:dataValidation>
        <x14:dataValidation xr:uid="{00E400D1-00A4-4EBA-A787-00CB004700A8}"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J28</xm:sqref>
        </x14:dataValidation>
        <x14:dataValidation xr:uid="{00B50015-0002-47E4-B8A8-00F100060012}" type="textLength" allowBlank="1" error="Допускается ввод не более 900 символов!" errorStyle="stop" errorTitle="Ошибка" imeMode="noControl" operator="lessThanOrEqual" showDropDown="0" showErrorMessage="1" showInputMessage="1">
          <x14:formula1>
            <xm:f>900</xm:f>
          </x14:formula1>
          <xm:sqref>K28</xm:sqref>
        </x14:dataValidation>
        <x14:dataValidation xr:uid="{000A0006-002A-4FE0-B8E7-0051009F0096}"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AC28</xm:sqref>
        </x14:dataValidation>
        <x14:dataValidation xr:uid="{00E6006C-00D7-4B3D-93A0-00DD00060087}"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AE28</xm:sqref>
        </x14:dataValidation>
        <x14:dataValidation xr:uid="{00ED00BD-00BA-44DB-9903-00E90037001F}"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AF28</xm:sqref>
        </x14:dataValidation>
        <x14:dataValidation xr:uid="{0046005A-0034-41B0-9818-001E00AE00C1}"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AI28</xm:sqref>
        </x14:dataValidation>
        <x14:dataValidation xr:uid="{005C00BD-00ED-41D5-848E-00E700AB00D3}"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I44</xm:sqref>
        </x14:dataValidation>
        <x14:dataValidation xr:uid="{00910016-009B-4B72-9875-002F009A00F3}"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J44</xm:sqref>
        </x14:dataValidation>
        <x14:dataValidation xr:uid="{007B009B-0027-4EBA-855C-006A000000D2}" type="textLength" allowBlank="1" error="Допускается ввод не более 900 символов!" errorStyle="stop" errorTitle="Ошибка" imeMode="noControl" operator="lessThanOrEqual" showDropDown="0" showErrorMessage="1" showInputMessage="1">
          <x14:formula1>
            <xm:f>900</xm:f>
          </x14:formula1>
          <xm:sqref>K44</xm:sqref>
        </x14:dataValidation>
        <x14:dataValidation xr:uid="{00C000CC-007B-44ED-8DFA-002100B900D5}"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AC44</xm:sqref>
        </x14:dataValidation>
        <x14:dataValidation xr:uid="{00930059-0030-48A0-8EB0-007300B30027}"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AE44</xm:sqref>
        </x14:dataValidation>
        <x14:dataValidation xr:uid="{00F500CE-00DA-4523-B320-00C4008800CB}"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AF44</xm:sqref>
        </x14:dataValidation>
        <x14:dataValidation xr:uid="{00340010-003D-465F-9EF4-00A2003800DA}"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AI44</xm:sqref>
        </x14:dataValidation>
        <x14:dataValidation xr:uid="{00D400A5-0087-40AD-A21A-00BA003100F7}"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I71</xm:sqref>
        </x14:dataValidation>
        <x14:dataValidation xr:uid="{0014006E-0029-4749-A211-00D00018003A}"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J71</xm:sqref>
        </x14:dataValidation>
        <x14:dataValidation xr:uid="{00E700C9-001F-450D-8452-0051003200B1}" type="textLength" allowBlank="1" error="Допускается ввод не более 900 символов!" errorStyle="stop" errorTitle="Ошибка" imeMode="noControl" operator="lessThanOrEqual" showDropDown="0" showErrorMessage="1" showInputMessage="1">
          <x14:formula1>
            <xm:f>900</xm:f>
          </x14:formula1>
          <xm:sqref>K71</xm:sqref>
        </x14:dataValidation>
        <x14:dataValidation xr:uid="{00A000EA-008D-4CA9-8DD7-007C006C0057}"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AC71</xm:sqref>
        </x14:dataValidation>
        <x14:dataValidation xr:uid="{0066003F-002A-432C-A1D7-008500A500BE}"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AE71</xm:sqref>
        </x14:dataValidation>
        <x14:dataValidation xr:uid="{00EB009F-00B0-4339-93A4-004100100042}"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AF71</xm:sqref>
        </x14:dataValidation>
        <x14:dataValidation xr:uid="{006600D7-0089-4A0F-A93F-00BF00F000E2}"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AI71</xm:sqref>
        </x14:dataValidation>
        <x14:dataValidation xr:uid="{009F003F-0007-45E0-A734-001C005300F5}"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I108</xm:sqref>
        </x14:dataValidation>
        <x14:dataValidation xr:uid="{0030003E-004A-49EE-A333-000A00C400AC}"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J108</xm:sqref>
        </x14:dataValidation>
        <x14:dataValidation xr:uid="{0012007E-005B-4430-9531-00BC0080005A}" type="textLength" allowBlank="1" error="Допускается ввод не более 900 символов!" errorStyle="stop" errorTitle="Ошибка" imeMode="noControl" operator="lessThanOrEqual" showDropDown="0" showErrorMessage="1" showInputMessage="1">
          <x14:formula1>
            <xm:f>900</xm:f>
          </x14:formula1>
          <xm:sqref>K108</xm:sqref>
        </x14:dataValidation>
        <x14:dataValidation xr:uid="{00BC00C2-00D9-44C7-91A0-0002003E004C}"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AC108</xm:sqref>
        </x14:dataValidation>
        <x14:dataValidation xr:uid="{009100AC-0099-4FE5-9CD5-005A00DE002C}"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AE108</xm:sqref>
        </x14:dataValidation>
        <x14:dataValidation xr:uid="{005A007C-00A8-4000-BDA4-006900B6005D}"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AF108</xm:sqref>
        </x14:dataValidation>
        <x14:dataValidation xr:uid="{00DF006A-006C-4593-A4CF-00EE00380028}"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AI108</xm:sqref>
        </x14:dataValidation>
        <x14:dataValidation xr:uid="{0072002D-00FD-4C45-BF32-003B006C00AA}"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I150</xm:sqref>
        </x14:dataValidation>
        <x14:dataValidation xr:uid="{007F0052-002B-4021-92F9-007F008800DB}"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J150</xm:sqref>
        </x14:dataValidation>
        <x14:dataValidation xr:uid="{008C003C-0046-4C64-911B-00CA00BC00E1}" type="textLength" allowBlank="1" error="Допускается ввод не более 900 символов!" errorStyle="stop" errorTitle="Ошибка" imeMode="noControl" operator="lessThanOrEqual" showDropDown="0" showErrorMessage="1" showInputMessage="1">
          <x14:formula1>
            <xm:f>900</xm:f>
          </x14:formula1>
          <xm:sqref>K150</xm:sqref>
        </x14:dataValidation>
        <x14:dataValidation xr:uid="{004100F1-004E-4D97-B3F5-00E4002A007E}"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AC150</xm:sqref>
        </x14:dataValidation>
        <x14:dataValidation xr:uid="{00050072-00E0-4229-8892-00B3002C00BB}"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AE150</xm:sqref>
        </x14:dataValidation>
        <x14:dataValidation xr:uid="{00FE0009-0018-481C-ACAE-00C600F10068}"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AF150</xm:sqref>
        </x14:dataValidation>
        <x14:dataValidation xr:uid="{009800C4-001C-431A-B283-00E000D300D4}"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AI150</xm:sqref>
        </x14:dataValidation>
      </x14:dataValidations>
    </ext>
  </extLst>
</worksheet>
</file>

<file path=xl/worksheets/sheet4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zoomScale="85" workbookViewId="0">
      <pane xSplit="9" ySplit="13" topLeftCell="J14" activePane="bottomRight" state="frozen"/>
      <selection activeCell="Q1" activeCellId="0" sqref="Q1:Q59"/>
    </sheetView>
  </sheetViews>
  <sheetFormatPr defaultColWidth="9.140625" defaultRowHeight="10.5" customHeight="1"/>
  <cols>
    <col customWidth="1" hidden="1" min="1" max="3" style="125" width="4.140625"/>
    <col customWidth="1" hidden="1" min="4" max="4" style="53" width="4.140625"/>
    <col customWidth="1" min="5" max="5" style="50" width="3.00390625"/>
    <col customWidth="1" min="6" max="6" style="50" width="6.00390625"/>
    <col customWidth="1" min="7" max="7" style="50" width="60.00390625"/>
    <col customWidth="1" hidden="1" min="8" max="9" style="50" width="21.7109375"/>
    <col customWidth="1" min="10" max="10" style="50" width="0.140625"/>
    <col customWidth="1" hidden="1" min="11" max="17" style="50" width="21.7109375"/>
    <col customWidth="1" min="18" max="18" style="50" width="0.140625"/>
    <col customWidth="1" min="19" max="19" style="50" width="1.00390625"/>
    <col customWidth="1" min="20" max="30" style="50" width="8.00390625"/>
    <col hidden="1" min="31" max="31" style="50" width="9.140625"/>
  </cols>
  <sheetData>
    <row r="1" s="53" customFormat="1" ht="10.5" hidden="1" customHeight="1">
      <c r="A1" s="125"/>
      <c r="B1" s="125"/>
      <c r="C1" s="125"/>
      <c r="E1" s="53"/>
      <c r="K1" s="53"/>
      <c r="L1" s="53"/>
      <c r="M1" s="53"/>
      <c r="N1" s="53"/>
      <c r="O1" s="53"/>
      <c r="P1" s="53"/>
      <c r="Q1" s="53"/>
      <c r="R1" s="53"/>
      <c r="AE1" s="53" t="s">
        <v>14</v>
      </c>
    </row>
    <row r="2" ht="10.5" hidden="1" customHeight="1">
      <c r="K2" s="50"/>
      <c r="L2" s="50"/>
      <c r="M2" s="50"/>
      <c r="N2" s="50"/>
      <c r="O2" s="50"/>
      <c r="P2" s="50"/>
      <c r="Q2" s="50"/>
      <c r="R2" s="50"/>
      <c r="AE2" s="50">
        <v>0</v>
      </c>
    </row>
    <row r="3" s="56" customFormat="1" ht="10.5" hidden="1" customHeight="1">
      <c r="A3" s="125"/>
      <c r="B3" s="125"/>
      <c r="C3" s="125"/>
      <c r="D3" s="53"/>
      <c r="E3" s="56"/>
      <c r="K3" s="56"/>
      <c r="L3" s="56"/>
      <c r="M3" s="56"/>
      <c r="N3" s="56"/>
      <c r="O3" s="56"/>
      <c r="P3" s="56"/>
      <c r="Q3" s="56"/>
      <c r="R3" s="56"/>
      <c r="AE3" s="56">
        <v>0</v>
      </c>
    </row>
    <row r="4" ht="3" customHeight="1">
      <c r="K4" s="50"/>
      <c r="L4" s="50"/>
      <c r="M4" s="50"/>
      <c r="N4" s="50"/>
      <c r="O4" s="50"/>
      <c r="P4" s="50"/>
      <c r="Q4" s="50"/>
      <c r="R4" s="50"/>
      <c r="AE4" s="50">
        <v>3</v>
      </c>
    </row>
    <row r="5" ht="27.300000000000001" customHeight="1">
      <c r="F5" s="453" t="str">
        <f>IP_NAME_FORM&amp;"
Финансовый план"</f>
        <v xml:space="preserve">Форма 7. Информация об инвестиционных программах организации горячего водоснабжения и отчетах об их исполнении
Финансовый план</v>
      </c>
      <c r="G5" s="453"/>
      <c r="H5" s="453"/>
      <c r="I5" s="453"/>
      <c r="J5" s="453"/>
      <c r="K5" s="453"/>
      <c r="L5" s="453"/>
      <c r="M5" s="453"/>
      <c r="N5" s="453"/>
      <c r="O5" s="453"/>
      <c r="P5" s="453"/>
      <c r="Q5" s="453"/>
      <c r="R5" s="453"/>
      <c r="AE5" s="50">
        <v>26</v>
      </c>
    </row>
    <row r="6" ht="10.5" customHeight="1">
      <c r="F6" s="304" t="str">
        <f>IF(org=0,"Не определено",org)</f>
        <v xml:space="preserve">АО "ДГК" СП "Биробиджанская ТЭЦ"</v>
      </c>
      <c r="G6" s="304"/>
      <c r="H6" s="304"/>
      <c r="I6" s="304"/>
      <c r="J6" s="304"/>
      <c r="K6" s="304"/>
      <c r="L6" s="304"/>
      <c r="M6" s="304"/>
      <c r="N6" s="304"/>
      <c r="O6" s="304"/>
      <c r="P6" s="304"/>
      <c r="Q6" s="304"/>
      <c r="R6" s="304"/>
      <c r="AE6" s="50">
        <v>10</v>
      </c>
    </row>
    <row r="7" ht="11.5" customHeight="1">
      <c r="E7" s="91"/>
      <c r="F7" s="976"/>
      <c r="G7" s="976"/>
      <c r="H7" s="976"/>
      <c r="I7" s="976"/>
      <c r="J7" s="976"/>
      <c r="K7" s="976" t="s">
        <v>22</v>
      </c>
      <c r="L7" s="976"/>
      <c r="M7" s="976" t="s">
        <v>22</v>
      </c>
      <c r="N7" s="976" t="s">
        <v>22</v>
      </c>
      <c r="O7" s="976" t="s">
        <v>22</v>
      </c>
      <c r="P7" s="976" t="s">
        <v>22</v>
      </c>
      <c r="Q7" s="976" t="s">
        <v>22</v>
      </c>
      <c r="R7" s="976"/>
      <c r="S7" s="144"/>
      <c r="T7" s="144"/>
      <c r="U7" s="144"/>
      <c r="V7" s="144"/>
      <c r="W7" s="144"/>
      <c r="X7" s="144"/>
      <c r="Y7" s="144"/>
      <c r="Z7" s="144"/>
      <c r="AA7" s="144"/>
      <c r="AB7" s="144"/>
      <c r="AC7" s="144"/>
      <c r="AD7" s="144"/>
      <c r="AE7" s="50">
        <v>11</v>
      </c>
    </row>
    <row r="8" s="57" customFormat="1" ht="4.2000000000000002" customHeight="1">
      <c r="A8" s="532"/>
      <c r="B8" s="532"/>
      <c r="C8" s="532"/>
      <c r="E8" s="168"/>
      <c r="F8" s="977"/>
      <c r="G8" s="977"/>
      <c r="H8" s="977"/>
      <c r="I8" s="977"/>
      <c r="J8" s="977"/>
      <c r="K8" s="977" t="s">
        <v>988</v>
      </c>
      <c r="L8" s="977"/>
      <c r="M8" s="977"/>
      <c r="N8" s="977"/>
      <c r="O8" s="977"/>
      <c r="P8" s="977"/>
      <c r="Q8" s="977"/>
      <c r="R8" s="977"/>
      <c r="S8" s="168"/>
      <c r="T8" s="168"/>
      <c r="U8" s="168"/>
      <c r="V8" s="168"/>
      <c r="W8" s="168"/>
      <c r="X8" s="168"/>
      <c r="Y8" s="168"/>
      <c r="Z8" s="168"/>
      <c r="AA8" s="168"/>
      <c r="AB8" s="168"/>
      <c r="AC8" s="168"/>
      <c r="AD8" s="168"/>
      <c r="AE8" s="57">
        <v>4</v>
      </c>
    </row>
    <row r="9" ht="10.5" customHeight="1">
      <c r="E9" s="91"/>
      <c r="F9" s="978" t="s">
        <v>294</v>
      </c>
      <c r="G9" s="979"/>
      <c r="H9" s="979"/>
      <c r="I9" s="979"/>
      <c r="J9" s="979"/>
      <c r="K9" s="979"/>
      <c r="L9" s="979"/>
      <c r="M9" s="979"/>
      <c r="N9" s="979"/>
      <c r="O9" s="979"/>
      <c r="P9" s="979"/>
      <c r="Q9" s="979"/>
      <c r="R9" s="979"/>
      <c r="S9" s="980"/>
      <c r="T9" s="144"/>
      <c r="U9" s="144"/>
      <c r="V9" s="144"/>
      <c r="W9" s="144"/>
      <c r="X9" s="144"/>
      <c r="Y9" s="144"/>
      <c r="Z9" s="144"/>
      <c r="AA9" s="144"/>
      <c r="AB9" s="144"/>
      <c r="AC9" s="144"/>
      <c r="AD9" s="144"/>
      <c r="AE9" s="50">
        <v>10</v>
      </c>
    </row>
    <row r="10" ht="25.199999999999999" customHeight="1">
      <c r="E10" s="144"/>
      <c r="F10" s="981" t="s">
        <v>87</v>
      </c>
      <c r="G10" s="252" t="s">
        <v>1046</v>
      </c>
      <c r="H10" s="431" t="s">
        <v>1047</v>
      </c>
      <c r="I10" s="431"/>
      <c r="J10" s="431"/>
      <c r="K10" s="431" t="s">
        <v>1047</v>
      </c>
      <c r="L10" s="431"/>
      <c r="M10" s="431"/>
      <c r="N10" s="431"/>
      <c r="O10" s="431"/>
      <c r="P10" s="431"/>
      <c r="Q10" s="431"/>
      <c r="R10" s="431"/>
      <c r="S10" s="982"/>
      <c r="T10" s="144"/>
      <c r="U10" s="144"/>
      <c r="V10" s="144"/>
      <c r="W10" s="144"/>
      <c r="X10" s="144"/>
      <c r="Y10" s="144"/>
      <c r="Z10" s="144"/>
      <c r="AA10" s="144"/>
      <c r="AB10" s="144"/>
      <c r="AC10" s="144"/>
      <c r="AD10" s="144"/>
      <c r="AE10" s="50">
        <v>24</v>
      </c>
    </row>
    <row r="11" ht="25.5" customHeight="1">
      <c r="E11" s="144"/>
      <c r="F11" s="983"/>
      <c r="G11" s="252"/>
      <c r="H11" s="984" t="e">
        <f>INDEX(IP_MAIN_LIST_NAME_IP,MATCH(H8,IP_MAIN_LIST_IP_ID,0))&amp;" ("&amp;INDEX(IP_MAIN_START_DATE,MATCH(H8,IP_MAIN_LIST_IP_ID,0))&amp;"-"&amp;INDEX(IP_MAIN_END_DATE,MATCH(H8,IP_MAIN_LIST_IP_ID,0))&amp;")"</f>
        <v>#VALUE!</v>
      </c>
      <c r="I11" s="984"/>
      <c r="J11" s="984"/>
      <c r="K11" s="984" t="str">
        <f>INDEX(IP_MAIN_LIST_NAME_IP,MATCH(K8,IP_MAIN_LIST_IP_ID,0))&amp;" ("&amp;INDEX(IP_MAIN_START_DATE,MATCH(K8,IP_MAIN_LIST_IP_ID,0))&amp;"-"&amp;INDEX(IP_MAIN_END_DATE,MATCH(K8,IP_MAIN_LIST_IP_ID,0))&amp;")"</f>
        <v xml:space="preserve">Инвестиционная программа № 103/25 от 07.07.2025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Биробиджан на 2025-2030 годы (07.07.2025-31.12.2030)</v>
      </c>
      <c r="L11" s="984"/>
      <c r="M11" s="984"/>
      <c r="N11" s="984"/>
      <c r="O11" s="984"/>
      <c r="P11" s="984"/>
      <c r="Q11" s="984"/>
      <c r="R11" s="984"/>
      <c r="S11" s="982"/>
      <c r="T11" s="144"/>
      <c r="U11" s="144"/>
      <c r="V11" s="144"/>
      <c r="W11" s="144"/>
      <c r="X11" s="144"/>
      <c r="Y11" s="144"/>
      <c r="Z11" s="144"/>
      <c r="AA11" s="144"/>
      <c r="AB11" s="144"/>
      <c r="AC11" s="144"/>
      <c r="AD11" s="144"/>
      <c r="AE11" s="50">
        <v>24</v>
      </c>
    </row>
    <row r="12" ht="10.5" customHeight="1">
      <c r="F12" s="985"/>
      <c r="G12" s="252"/>
      <c r="H12" s="252" t="s">
        <v>1048</v>
      </c>
      <c r="I12" s="986"/>
      <c r="J12" s="252"/>
      <c r="K12" s="252" t="s">
        <v>1048</v>
      </c>
      <c r="L12" s="986">
        <v>2025</v>
      </c>
      <c r="M12" s="986">
        <v>2026</v>
      </c>
      <c r="N12" s="986">
        <v>2027</v>
      </c>
      <c r="O12" s="986">
        <v>2028</v>
      </c>
      <c r="P12" s="986">
        <v>2029</v>
      </c>
      <c r="Q12" s="986">
        <v>2030</v>
      </c>
      <c r="R12" s="252"/>
      <c r="S12" s="920"/>
      <c r="AE12" s="50">
        <v>10</v>
      </c>
    </row>
    <row r="13" ht="10.5" hidden="1" customHeight="1">
      <c r="F13" s="252">
        <v>1</v>
      </c>
      <c r="G13" s="252">
        <v>2</v>
      </c>
      <c r="H13" s="252">
        <v>3</v>
      </c>
      <c r="I13" s="252">
        <v>4</v>
      </c>
      <c r="J13" s="252">
        <v>5</v>
      </c>
      <c r="K13" s="252">
        <v>3</v>
      </c>
      <c r="L13" s="252">
        <v>4</v>
      </c>
      <c r="M13" s="252">
        <v>4</v>
      </c>
      <c r="N13" s="252">
        <v>4</v>
      </c>
      <c r="O13" s="252">
        <v>4</v>
      </c>
      <c r="P13" s="252">
        <v>4</v>
      </c>
      <c r="Q13" s="252">
        <v>4</v>
      </c>
      <c r="R13" s="252">
        <v>5</v>
      </c>
      <c r="S13" s="920"/>
      <c r="AE13" s="50">
        <v>0</v>
      </c>
    </row>
    <row r="14" ht="11.5" customHeight="1">
      <c r="F14" s="431" t="s">
        <v>1049</v>
      </c>
      <c r="G14" s="842" t="s">
        <v>1050</v>
      </c>
      <c r="H14" s="842"/>
      <c r="I14" s="842"/>
      <c r="J14" s="842"/>
      <c r="K14" s="842"/>
      <c r="L14" s="842"/>
      <c r="M14" s="842"/>
      <c r="N14" s="842"/>
      <c r="O14" s="842"/>
      <c r="P14" s="842"/>
      <c r="Q14" s="842"/>
      <c r="R14" s="842"/>
      <c r="S14" s="920"/>
      <c r="AE14" s="50">
        <v>11</v>
      </c>
    </row>
    <row r="15" ht="11.5" customHeight="1">
      <c r="F15" s="252">
        <v>1</v>
      </c>
      <c r="G15" s="380" t="s">
        <v>1051</v>
      </c>
      <c r="H15" s="987">
        <f t="shared" ref="H15:H58" si="52">SUM(I15:J15)</f>
        <v>0</v>
      </c>
      <c r="I15" s="987">
        <f>SUM(I16:I27)</f>
        <v>0</v>
      </c>
      <c r="J15" s="431"/>
      <c r="K15" s="987">
        <f t="shared" ref="K15:K58" si="53">SUM(L15:R15)</f>
        <v>0</v>
      </c>
      <c r="L15" s="987">
        <f>SUM(L16:L27)</f>
        <v>0</v>
      </c>
      <c r="M15" s="987">
        <f>SUM(M16:M27)</f>
        <v>0</v>
      </c>
      <c r="N15" s="987">
        <f>SUM(N16:N27)</f>
        <v>0</v>
      </c>
      <c r="O15" s="987">
        <f>SUM(O16:O27)</f>
        <v>0</v>
      </c>
      <c r="P15" s="987">
        <f>SUM(P16:P27)</f>
        <v>0</v>
      </c>
      <c r="Q15" s="987">
        <f>SUM(Q16:Q27)</f>
        <v>0</v>
      </c>
      <c r="R15" s="431"/>
      <c r="S15" s="920"/>
      <c r="AE15" s="50">
        <v>11</v>
      </c>
    </row>
    <row r="16" ht="24" customHeight="1">
      <c r="F16" s="252" t="s">
        <v>1052</v>
      </c>
      <c r="G16" s="841" t="s">
        <v>1053</v>
      </c>
      <c r="H16" s="987">
        <f t="shared" si="52"/>
        <v>0</v>
      </c>
      <c r="I16" s="988"/>
      <c r="J16" s="431"/>
      <c r="K16" s="987">
        <f t="shared" si="53"/>
        <v>0</v>
      </c>
      <c r="L16" s="988"/>
      <c r="M16" s="988"/>
      <c r="N16" s="988"/>
      <c r="O16" s="988"/>
      <c r="P16" s="988"/>
      <c r="Q16" s="988"/>
      <c r="R16" s="431"/>
      <c r="S16" s="920"/>
      <c r="AE16" s="50">
        <v>23</v>
      </c>
    </row>
    <row r="17" ht="24" customHeight="1">
      <c r="F17" s="252" t="s">
        <v>1054</v>
      </c>
      <c r="G17" s="841" t="s">
        <v>1055</v>
      </c>
      <c r="H17" s="987">
        <f t="shared" si="52"/>
        <v>0</v>
      </c>
      <c r="I17" s="988"/>
      <c r="J17" s="431"/>
      <c r="K17" s="987">
        <f t="shared" si="53"/>
        <v>0</v>
      </c>
      <c r="L17" s="988"/>
      <c r="M17" s="988"/>
      <c r="N17" s="988"/>
      <c r="O17" s="988"/>
      <c r="P17" s="988"/>
      <c r="Q17" s="988"/>
      <c r="R17" s="431"/>
      <c r="S17" s="920"/>
      <c r="AE17" s="50">
        <v>23</v>
      </c>
    </row>
    <row r="18" ht="35.649999999999999" customHeight="1">
      <c r="F18" s="252" t="s">
        <v>1056</v>
      </c>
      <c r="G18" s="841" t="s">
        <v>1057</v>
      </c>
      <c r="H18" s="987">
        <f t="shared" si="52"/>
        <v>0</v>
      </c>
      <c r="I18" s="988"/>
      <c r="J18" s="431"/>
      <c r="K18" s="987">
        <f t="shared" si="53"/>
        <v>0</v>
      </c>
      <c r="L18" s="988"/>
      <c r="M18" s="988"/>
      <c r="N18" s="988"/>
      <c r="O18" s="988"/>
      <c r="P18" s="988"/>
      <c r="Q18" s="988"/>
      <c r="R18" s="431"/>
      <c r="S18" s="920"/>
      <c r="AE18" s="50">
        <v>34</v>
      </c>
    </row>
    <row r="19" ht="35.649999999999999" customHeight="1">
      <c r="F19" s="252" t="s">
        <v>1058</v>
      </c>
      <c r="G19" s="841" t="s">
        <v>1059</v>
      </c>
      <c r="H19" s="987">
        <f t="shared" si="52"/>
        <v>0</v>
      </c>
      <c r="I19" s="988"/>
      <c r="J19" s="431"/>
      <c r="K19" s="987">
        <f t="shared" si="53"/>
        <v>0</v>
      </c>
      <c r="L19" s="988"/>
      <c r="M19" s="988"/>
      <c r="N19" s="988"/>
      <c r="O19" s="988"/>
      <c r="P19" s="988"/>
      <c r="Q19" s="988"/>
      <c r="R19" s="431"/>
      <c r="S19" s="920"/>
      <c r="AE19" s="50">
        <v>34</v>
      </c>
    </row>
    <row r="20" ht="48.25" customHeight="1">
      <c r="F20" s="252" t="s">
        <v>1060</v>
      </c>
      <c r="G20" s="841" t="s">
        <v>1061</v>
      </c>
      <c r="H20" s="987">
        <f t="shared" si="52"/>
        <v>0</v>
      </c>
      <c r="I20" s="988"/>
      <c r="J20" s="431"/>
      <c r="K20" s="987">
        <f t="shared" si="53"/>
        <v>0</v>
      </c>
      <c r="L20" s="988"/>
      <c r="M20" s="988"/>
      <c r="N20" s="988"/>
      <c r="O20" s="988"/>
      <c r="P20" s="988"/>
      <c r="Q20" s="988"/>
      <c r="R20" s="431"/>
      <c r="S20" s="920"/>
      <c r="AE20" s="50">
        <v>46</v>
      </c>
    </row>
    <row r="21" ht="35.649999999999999" customHeight="1">
      <c r="F21" s="252" t="s">
        <v>1062</v>
      </c>
      <c r="G21" s="841" t="s">
        <v>1063</v>
      </c>
      <c r="H21" s="987">
        <f t="shared" si="52"/>
        <v>0</v>
      </c>
      <c r="I21" s="988"/>
      <c r="J21" s="431"/>
      <c r="K21" s="987">
        <f t="shared" si="53"/>
        <v>0</v>
      </c>
      <c r="L21" s="988"/>
      <c r="M21" s="988"/>
      <c r="N21" s="988"/>
      <c r="O21" s="988"/>
      <c r="P21" s="988"/>
      <c r="Q21" s="988"/>
      <c r="R21" s="431"/>
      <c r="S21" s="920"/>
      <c r="AE21" s="50">
        <v>34</v>
      </c>
    </row>
    <row r="22" ht="35.649999999999999" customHeight="1">
      <c r="F22" s="252" t="s">
        <v>1064</v>
      </c>
      <c r="G22" s="841" t="s">
        <v>1065</v>
      </c>
      <c r="H22" s="987">
        <f t="shared" si="52"/>
        <v>0</v>
      </c>
      <c r="I22" s="988"/>
      <c r="J22" s="431"/>
      <c r="K22" s="987">
        <f t="shared" si="53"/>
        <v>0</v>
      </c>
      <c r="L22" s="988"/>
      <c r="M22" s="988"/>
      <c r="N22" s="988"/>
      <c r="O22" s="988"/>
      <c r="P22" s="988"/>
      <c r="Q22" s="988"/>
      <c r="R22" s="431"/>
      <c r="S22" s="920"/>
      <c r="AE22" s="50">
        <v>34</v>
      </c>
    </row>
    <row r="23" ht="24" customHeight="1">
      <c r="F23" s="252" t="s">
        <v>1066</v>
      </c>
      <c r="G23" s="841" t="s">
        <v>1067</v>
      </c>
      <c r="H23" s="987">
        <f t="shared" si="52"/>
        <v>0</v>
      </c>
      <c r="I23" s="988"/>
      <c r="J23" s="431"/>
      <c r="K23" s="987">
        <f t="shared" si="53"/>
        <v>0</v>
      </c>
      <c r="L23" s="988"/>
      <c r="M23" s="988"/>
      <c r="N23" s="988"/>
      <c r="O23" s="988"/>
      <c r="P23" s="988"/>
      <c r="Q23" s="988"/>
      <c r="R23" s="431"/>
      <c r="S23" s="920"/>
      <c r="AE23" s="50">
        <v>23</v>
      </c>
    </row>
    <row r="24" ht="24" customHeight="1">
      <c r="F24" s="252" t="s">
        <v>1068</v>
      </c>
      <c r="G24" s="841" t="s">
        <v>1069</v>
      </c>
      <c r="H24" s="987">
        <f t="shared" si="52"/>
        <v>0</v>
      </c>
      <c r="I24" s="988"/>
      <c r="J24" s="431"/>
      <c r="K24" s="987">
        <f t="shared" si="53"/>
        <v>0</v>
      </c>
      <c r="L24" s="988"/>
      <c r="M24" s="988"/>
      <c r="N24" s="988"/>
      <c r="O24" s="988"/>
      <c r="P24" s="988"/>
      <c r="Q24" s="988"/>
      <c r="R24" s="431"/>
      <c r="S24" s="920"/>
      <c r="AE24" s="50">
        <v>23</v>
      </c>
    </row>
    <row r="25" ht="35.649999999999999" customHeight="1">
      <c r="F25" s="252" t="s">
        <v>1070</v>
      </c>
      <c r="G25" s="841" t="s">
        <v>1071</v>
      </c>
      <c r="H25" s="987">
        <f t="shared" si="52"/>
        <v>0</v>
      </c>
      <c r="I25" s="988"/>
      <c r="J25" s="431"/>
      <c r="K25" s="987">
        <f t="shared" si="53"/>
        <v>0</v>
      </c>
      <c r="L25" s="988"/>
      <c r="M25" s="988"/>
      <c r="N25" s="988"/>
      <c r="O25" s="988"/>
      <c r="P25" s="988"/>
      <c r="Q25" s="988"/>
      <c r="R25" s="431"/>
      <c r="S25" s="920"/>
      <c r="AE25" s="50">
        <v>34</v>
      </c>
    </row>
    <row r="26" ht="35.649999999999999" customHeight="1">
      <c r="F26" s="252" t="s">
        <v>1072</v>
      </c>
      <c r="G26" s="841" t="s">
        <v>1073</v>
      </c>
      <c r="H26" s="987">
        <f t="shared" si="52"/>
        <v>0</v>
      </c>
      <c r="I26" s="988"/>
      <c r="J26" s="431"/>
      <c r="K26" s="987">
        <f t="shared" si="53"/>
        <v>0</v>
      </c>
      <c r="L26" s="988"/>
      <c r="M26" s="988"/>
      <c r="N26" s="988"/>
      <c r="O26" s="988"/>
      <c r="P26" s="988"/>
      <c r="Q26" s="988"/>
      <c r="R26" s="431"/>
      <c r="S26" s="920"/>
      <c r="AE26" s="50">
        <v>34</v>
      </c>
    </row>
    <row r="27" ht="11.5" customHeight="1">
      <c r="F27" s="252" t="s">
        <v>1074</v>
      </c>
      <c r="G27" s="841" t="s">
        <v>1075</v>
      </c>
      <c r="H27" s="987">
        <f t="shared" si="52"/>
        <v>0</v>
      </c>
      <c r="I27" s="988"/>
      <c r="J27" s="431"/>
      <c r="K27" s="987">
        <f t="shared" si="53"/>
        <v>0</v>
      </c>
      <c r="L27" s="988"/>
      <c r="M27" s="988"/>
      <c r="N27" s="988"/>
      <c r="O27" s="988"/>
      <c r="P27" s="988"/>
      <c r="Q27" s="988"/>
      <c r="R27" s="431"/>
      <c r="S27" s="920"/>
      <c r="AE27" s="50">
        <v>11</v>
      </c>
    </row>
    <row r="28" ht="11.5" customHeight="1">
      <c r="F28" s="252">
        <v>2</v>
      </c>
      <c r="G28" s="380" t="s">
        <v>1076</v>
      </c>
      <c r="H28" s="987">
        <f t="shared" si="52"/>
        <v>0</v>
      </c>
      <c r="I28" s="987">
        <f>SUM(I29:I31)</f>
        <v>0</v>
      </c>
      <c r="J28" s="431"/>
      <c r="K28" s="987">
        <f t="shared" si="53"/>
        <v>0</v>
      </c>
      <c r="L28" s="987">
        <f>SUM(L29:L31)</f>
        <v>0</v>
      </c>
      <c r="M28" s="987">
        <f>SUM(M29:M31)</f>
        <v>0</v>
      </c>
      <c r="N28" s="987">
        <f>SUM(N29:N31)</f>
        <v>0</v>
      </c>
      <c r="O28" s="987">
        <f>SUM(O29:O31)</f>
        <v>0</v>
      </c>
      <c r="P28" s="987">
        <f>SUM(P29:P31)</f>
        <v>0</v>
      </c>
      <c r="Q28" s="987">
        <f>SUM(Q29:Q31)</f>
        <v>0</v>
      </c>
      <c r="R28" s="431"/>
      <c r="S28" s="920"/>
      <c r="AE28" s="50">
        <v>11</v>
      </c>
    </row>
    <row r="29" ht="11.5" customHeight="1">
      <c r="F29" s="252" t="s">
        <v>703</v>
      </c>
      <c r="G29" s="841" t="s">
        <v>1077</v>
      </c>
      <c r="H29" s="987">
        <f t="shared" si="52"/>
        <v>0</v>
      </c>
      <c r="I29" s="988"/>
      <c r="J29" s="431"/>
      <c r="K29" s="987">
        <f t="shared" si="53"/>
        <v>0</v>
      </c>
      <c r="L29" s="988"/>
      <c r="M29" s="988"/>
      <c r="N29" s="988"/>
      <c r="O29" s="988"/>
      <c r="P29" s="988"/>
      <c r="Q29" s="988"/>
      <c r="R29" s="431"/>
      <c r="S29" s="920"/>
      <c r="AE29" s="50">
        <v>11</v>
      </c>
    </row>
    <row r="30" ht="11.5" customHeight="1">
      <c r="F30" s="252" t="s">
        <v>301</v>
      </c>
      <c r="G30" s="841" t="s">
        <v>1078</v>
      </c>
      <c r="H30" s="987">
        <f t="shared" si="52"/>
        <v>0</v>
      </c>
      <c r="I30" s="988"/>
      <c r="J30" s="431"/>
      <c r="K30" s="987">
        <f t="shared" si="53"/>
        <v>0</v>
      </c>
      <c r="L30" s="988"/>
      <c r="M30" s="988"/>
      <c r="N30" s="988"/>
      <c r="O30" s="988"/>
      <c r="P30" s="988"/>
      <c r="Q30" s="988"/>
      <c r="R30" s="431"/>
      <c r="S30" s="920"/>
      <c r="AE30" s="50">
        <v>11</v>
      </c>
    </row>
    <row r="31" ht="11.5" customHeight="1">
      <c r="F31" s="252" t="s">
        <v>304</v>
      </c>
      <c r="G31" s="841" t="s">
        <v>1079</v>
      </c>
      <c r="H31" s="987">
        <f t="shared" si="52"/>
        <v>0</v>
      </c>
      <c r="I31" s="988"/>
      <c r="J31" s="431"/>
      <c r="K31" s="987">
        <f t="shared" si="53"/>
        <v>0</v>
      </c>
      <c r="L31" s="988"/>
      <c r="M31" s="988"/>
      <c r="N31" s="988"/>
      <c r="O31" s="988"/>
      <c r="P31" s="988"/>
      <c r="Q31" s="988"/>
      <c r="R31" s="431"/>
      <c r="S31" s="920"/>
      <c r="AE31" s="50">
        <v>11</v>
      </c>
    </row>
    <row r="32" ht="11.5" customHeight="1">
      <c r="F32" s="252">
        <v>3</v>
      </c>
      <c r="G32" s="380" t="s">
        <v>1080</v>
      </c>
      <c r="H32" s="987">
        <f t="shared" si="52"/>
        <v>0</v>
      </c>
      <c r="I32" s="987">
        <f>SUM(I33:I34)</f>
        <v>0</v>
      </c>
      <c r="J32" s="431"/>
      <c r="K32" s="987">
        <f t="shared" si="53"/>
        <v>0</v>
      </c>
      <c r="L32" s="987">
        <f>SUM(L33:L34)</f>
        <v>0</v>
      </c>
      <c r="M32" s="987">
        <f>SUM(M33:M34)</f>
        <v>0</v>
      </c>
      <c r="N32" s="987">
        <f>SUM(N33:N34)</f>
        <v>0</v>
      </c>
      <c r="O32" s="987">
        <f>SUM(O33:O34)</f>
        <v>0</v>
      </c>
      <c r="P32" s="987">
        <f>SUM(P33:P34)</f>
        <v>0</v>
      </c>
      <c r="Q32" s="987">
        <f>SUM(Q33:Q34)</f>
        <v>0</v>
      </c>
      <c r="R32" s="431"/>
      <c r="S32" s="920"/>
      <c r="AE32" s="50">
        <v>11</v>
      </c>
    </row>
    <row r="33" ht="48.25" customHeight="1">
      <c r="F33" s="252" t="s">
        <v>318</v>
      </c>
      <c r="G33" s="841" t="s">
        <v>1081</v>
      </c>
      <c r="H33" s="987">
        <f t="shared" si="52"/>
        <v>0</v>
      </c>
      <c r="I33" s="988"/>
      <c r="J33" s="431"/>
      <c r="K33" s="987">
        <f t="shared" si="53"/>
        <v>0</v>
      </c>
      <c r="L33" s="988"/>
      <c r="M33" s="988"/>
      <c r="N33" s="988"/>
      <c r="O33" s="988"/>
      <c r="P33" s="988"/>
      <c r="Q33" s="988"/>
      <c r="R33" s="431"/>
      <c r="S33" s="920"/>
      <c r="AE33" s="50">
        <v>46</v>
      </c>
    </row>
    <row r="34" ht="11.5" customHeight="1">
      <c r="F34" s="252" t="s">
        <v>326</v>
      </c>
      <c r="G34" s="841" t="s">
        <v>1082</v>
      </c>
      <c r="H34" s="987">
        <f t="shared" si="52"/>
        <v>0</v>
      </c>
      <c r="I34" s="988"/>
      <c r="J34" s="431"/>
      <c r="K34" s="987">
        <f t="shared" si="53"/>
        <v>0</v>
      </c>
      <c r="L34" s="988"/>
      <c r="M34" s="988"/>
      <c r="N34" s="988"/>
      <c r="O34" s="988"/>
      <c r="P34" s="988"/>
      <c r="Q34" s="988"/>
      <c r="R34" s="431"/>
      <c r="S34" s="920"/>
      <c r="AE34" s="50">
        <v>11</v>
      </c>
    </row>
    <row r="35" ht="11.5" customHeight="1">
      <c r="F35" s="252">
        <v>4</v>
      </c>
      <c r="G35" s="380" t="s">
        <v>1083</v>
      </c>
      <c r="H35" s="987">
        <f t="shared" si="52"/>
        <v>0</v>
      </c>
      <c r="I35" s="988"/>
      <c r="J35" s="431"/>
      <c r="K35" s="987">
        <f t="shared" si="53"/>
        <v>0</v>
      </c>
      <c r="L35" s="988"/>
      <c r="M35" s="988"/>
      <c r="N35" s="988"/>
      <c r="O35" s="988"/>
      <c r="P35" s="988"/>
      <c r="Q35" s="988"/>
      <c r="R35" s="431"/>
      <c r="S35" s="920"/>
      <c r="AE35" s="50">
        <v>11</v>
      </c>
    </row>
    <row r="36" ht="11.5" customHeight="1">
      <c r="F36" s="252"/>
      <c r="G36" s="842" t="s">
        <v>1084</v>
      </c>
      <c r="H36" s="987">
        <f t="shared" si="52"/>
        <v>0</v>
      </c>
      <c r="I36" s="987">
        <f>SUM(I15,I28,I32,I35)</f>
        <v>0</v>
      </c>
      <c r="J36" s="431"/>
      <c r="K36" s="987">
        <f t="shared" si="53"/>
        <v>0</v>
      </c>
      <c r="L36" s="987">
        <f>SUM(L15,L28,L32,L35)</f>
        <v>0</v>
      </c>
      <c r="M36" s="987">
        <f>SUM(M15,M28,M32,M35)</f>
        <v>0</v>
      </c>
      <c r="N36" s="987">
        <f>SUM(N15,N28,N32,N35)</f>
        <v>0</v>
      </c>
      <c r="O36" s="987">
        <f>SUM(O15,O28,O32,O35)</f>
        <v>0</v>
      </c>
      <c r="P36" s="987">
        <f>SUM(P15,P28,P32,P35)</f>
        <v>0</v>
      </c>
      <c r="Q36" s="987">
        <f>SUM(Q15,Q28,Q32,Q35)</f>
        <v>0</v>
      </c>
      <c r="R36" s="431"/>
      <c r="S36" s="920"/>
      <c r="AE36" s="50">
        <v>11</v>
      </c>
    </row>
    <row r="37" ht="29.25" customHeight="1">
      <c r="F37" s="431" t="s">
        <v>1085</v>
      </c>
      <c r="G37" s="365" t="s">
        <v>1086</v>
      </c>
      <c r="H37" s="365"/>
      <c r="I37" s="365"/>
      <c r="J37" s="365"/>
      <c r="K37" s="365"/>
      <c r="L37" s="365"/>
      <c r="M37" s="365"/>
      <c r="N37" s="365"/>
      <c r="O37" s="365"/>
      <c r="P37" s="365"/>
      <c r="Q37" s="365"/>
      <c r="R37" s="365"/>
      <c r="S37" s="920"/>
      <c r="AE37" s="50">
        <v>28</v>
      </c>
    </row>
    <row r="38" ht="24" customHeight="1">
      <c r="F38" s="252" t="s">
        <v>105</v>
      </c>
      <c r="G38" s="380" t="s">
        <v>1087</v>
      </c>
      <c r="H38" s="987">
        <f t="shared" si="52"/>
        <v>0</v>
      </c>
      <c r="I38" s="987">
        <f>SUM(I39,I44,I47)</f>
        <v>0</v>
      </c>
      <c r="J38" s="431"/>
      <c r="K38" s="987">
        <f t="shared" si="53"/>
        <v>0</v>
      </c>
      <c r="L38" s="987">
        <f>SUM(L39,L44,L47)</f>
        <v>0</v>
      </c>
      <c r="M38" s="987">
        <f>SUM(M39,M44,M47)</f>
        <v>0</v>
      </c>
      <c r="N38" s="987">
        <f>SUM(N39,N44,N47)</f>
        <v>0</v>
      </c>
      <c r="O38" s="987">
        <f>SUM(O39,O44,O47)</f>
        <v>0</v>
      </c>
      <c r="P38" s="987">
        <f>SUM(P39,P44,P47)</f>
        <v>0</v>
      </c>
      <c r="Q38" s="987">
        <f>SUM(Q39,Q44,Q47)</f>
        <v>0</v>
      </c>
      <c r="R38" s="431"/>
      <c r="S38" s="920"/>
      <c r="AE38" s="50">
        <v>23</v>
      </c>
    </row>
    <row r="39" ht="11.5" customHeight="1">
      <c r="F39" s="252" t="s">
        <v>1052</v>
      </c>
      <c r="G39" s="841" t="s">
        <v>1051</v>
      </c>
      <c r="H39" s="987">
        <f t="shared" si="52"/>
        <v>0</v>
      </c>
      <c r="I39" s="987">
        <f>SUM(I40:I43)</f>
        <v>0</v>
      </c>
      <c r="J39" s="431"/>
      <c r="K39" s="987">
        <f t="shared" si="53"/>
        <v>0</v>
      </c>
      <c r="L39" s="987">
        <f>SUM(L40:L43)</f>
        <v>0</v>
      </c>
      <c r="M39" s="987">
        <f>SUM(M40:M43)</f>
        <v>0</v>
      </c>
      <c r="N39" s="987">
        <f>SUM(N40:N43)</f>
        <v>0</v>
      </c>
      <c r="O39" s="987">
        <f>SUM(O40:O43)</f>
        <v>0</v>
      </c>
      <c r="P39" s="987">
        <f>SUM(P40:P43)</f>
        <v>0</v>
      </c>
      <c r="Q39" s="987">
        <f>SUM(Q40:Q43)</f>
        <v>0</v>
      </c>
      <c r="R39" s="431"/>
      <c r="S39" s="920"/>
      <c r="AE39" s="50">
        <v>11</v>
      </c>
    </row>
    <row r="40" ht="24" customHeight="1">
      <c r="F40" s="252" t="s">
        <v>1088</v>
      </c>
      <c r="G40" s="989" t="s">
        <v>1089</v>
      </c>
      <c r="H40" s="987">
        <f t="shared" si="52"/>
        <v>0</v>
      </c>
      <c r="I40" s="988"/>
      <c r="J40" s="431"/>
      <c r="K40" s="987">
        <f t="shared" si="53"/>
        <v>0</v>
      </c>
      <c r="L40" s="988"/>
      <c r="M40" s="988"/>
      <c r="N40" s="988"/>
      <c r="O40" s="988"/>
      <c r="P40" s="988"/>
      <c r="Q40" s="988"/>
      <c r="R40" s="431"/>
      <c r="S40" s="920"/>
      <c r="AE40" s="50">
        <v>23</v>
      </c>
    </row>
    <row r="41" ht="11.5" customHeight="1">
      <c r="F41" s="252" t="s">
        <v>1090</v>
      </c>
      <c r="G41" s="989" t="s">
        <v>1091</v>
      </c>
      <c r="H41" s="987">
        <f t="shared" si="52"/>
        <v>0</v>
      </c>
      <c r="I41" s="988"/>
      <c r="J41" s="431"/>
      <c r="K41" s="987">
        <f t="shared" si="53"/>
        <v>0</v>
      </c>
      <c r="L41" s="988"/>
      <c r="M41" s="988"/>
      <c r="N41" s="988"/>
      <c r="O41" s="988"/>
      <c r="P41" s="988"/>
      <c r="Q41" s="988"/>
      <c r="R41" s="431"/>
      <c r="S41" s="920"/>
      <c r="AE41" s="50">
        <v>11</v>
      </c>
    </row>
    <row r="42" ht="11.5" customHeight="1">
      <c r="F42" s="252" t="s">
        <v>1092</v>
      </c>
      <c r="G42" s="989" t="s">
        <v>1093</v>
      </c>
      <c r="H42" s="987">
        <f t="shared" si="52"/>
        <v>0</v>
      </c>
      <c r="I42" s="988"/>
      <c r="J42" s="431"/>
      <c r="K42" s="987">
        <f t="shared" si="53"/>
        <v>0</v>
      </c>
      <c r="L42" s="988"/>
      <c r="M42" s="988"/>
      <c r="N42" s="988"/>
      <c r="O42" s="988"/>
      <c r="P42" s="988"/>
      <c r="Q42" s="988"/>
      <c r="R42" s="431"/>
      <c r="S42" s="920"/>
      <c r="AE42" s="50">
        <v>11</v>
      </c>
    </row>
    <row r="43" ht="35.649999999999999" customHeight="1">
      <c r="F43" s="252" t="s">
        <v>1094</v>
      </c>
      <c r="G43" s="989" t="s">
        <v>1095</v>
      </c>
      <c r="H43" s="987">
        <f t="shared" si="52"/>
        <v>0</v>
      </c>
      <c r="I43" s="988"/>
      <c r="J43" s="431"/>
      <c r="K43" s="987">
        <f t="shared" si="53"/>
        <v>0</v>
      </c>
      <c r="L43" s="988"/>
      <c r="M43" s="988"/>
      <c r="N43" s="988"/>
      <c r="O43" s="988"/>
      <c r="P43" s="988"/>
      <c r="Q43" s="988"/>
      <c r="R43" s="431"/>
      <c r="S43" s="920"/>
      <c r="AE43" s="50">
        <v>34</v>
      </c>
    </row>
    <row r="44" ht="11.5" customHeight="1">
      <c r="F44" s="252" t="s">
        <v>1054</v>
      </c>
      <c r="G44" s="841" t="s">
        <v>1080</v>
      </c>
      <c r="H44" s="987">
        <f t="shared" si="52"/>
        <v>0</v>
      </c>
      <c r="I44" s="987">
        <f>SUM(I45:I46)</f>
        <v>0</v>
      </c>
      <c r="J44" s="431"/>
      <c r="K44" s="987">
        <f t="shared" si="53"/>
        <v>0</v>
      </c>
      <c r="L44" s="987">
        <f>SUM(L45:L46)</f>
        <v>0</v>
      </c>
      <c r="M44" s="987">
        <f>SUM(M45:M46)</f>
        <v>0</v>
      </c>
      <c r="N44" s="987">
        <f>SUM(N45:N46)</f>
        <v>0</v>
      </c>
      <c r="O44" s="987">
        <f>SUM(O45:O46)</f>
        <v>0</v>
      </c>
      <c r="P44" s="987">
        <f>SUM(P45:P46)</f>
        <v>0</v>
      </c>
      <c r="Q44" s="987">
        <f>SUM(Q45:Q46)</f>
        <v>0</v>
      </c>
      <c r="R44" s="431"/>
      <c r="S44" s="920"/>
      <c r="AE44" s="50">
        <v>11</v>
      </c>
    </row>
    <row r="45" ht="48.25" customHeight="1">
      <c r="F45" s="252" t="s">
        <v>1096</v>
      </c>
      <c r="G45" s="989" t="s">
        <v>1081</v>
      </c>
      <c r="H45" s="987">
        <f t="shared" si="52"/>
        <v>0</v>
      </c>
      <c r="I45" s="988"/>
      <c r="J45" s="431"/>
      <c r="K45" s="987">
        <f t="shared" si="53"/>
        <v>0</v>
      </c>
      <c r="L45" s="988"/>
      <c r="M45" s="988"/>
      <c r="N45" s="988"/>
      <c r="O45" s="988"/>
      <c r="P45" s="988"/>
      <c r="Q45" s="988"/>
      <c r="R45" s="431"/>
      <c r="S45" s="920"/>
      <c r="AE45" s="50">
        <v>46</v>
      </c>
    </row>
    <row r="46" ht="11.5" customHeight="1">
      <c r="F46" s="252" t="s">
        <v>1097</v>
      </c>
      <c r="G46" s="989" t="s">
        <v>1082</v>
      </c>
      <c r="H46" s="987">
        <f t="shared" si="52"/>
        <v>0</v>
      </c>
      <c r="I46" s="988"/>
      <c r="J46" s="431"/>
      <c r="K46" s="987">
        <f t="shared" si="53"/>
        <v>0</v>
      </c>
      <c r="L46" s="988"/>
      <c r="M46" s="988"/>
      <c r="N46" s="988"/>
      <c r="O46" s="988"/>
      <c r="P46" s="988"/>
      <c r="Q46" s="988"/>
      <c r="R46" s="431"/>
      <c r="S46" s="920"/>
      <c r="AE46" s="50">
        <v>11</v>
      </c>
    </row>
    <row r="47" ht="11.5" customHeight="1">
      <c r="F47" s="252" t="s">
        <v>1056</v>
      </c>
      <c r="G47" s="841" t="s">
        <v>1098</v>
      </c>
      <c r="H47" s="987">
        <f t="shared" si="52"/>
        <v>0</v>
      </c>
      <c r="I47" s="988"/>
      <c r="J47" s="431"/>
      <c r="K47" s="987">
        <f t="shared" si="53"/>
        <v>0</v>
      </c>
      <c r="L47" s="988"/>
      <c r="M47" s="988"/>
      <c r="N47" s="988"/>
      <c r="O47" s="988"/>
      <c r="P47" s="988"/>
      <c r="Q47" s="988"/>
      <c r="R47" s="431"/>
      <c r="S47" s="920"/>
      <c r="AE47" s="50">
        <v>11</v>
      </c>
    </row>
    <row r="48" ht="24" customHeight="1">
      <c r="F48" s="252" t="s">
        <v>106</v>
      </c>
      <c r="G48" s="380" t="s">
        <v>1099</v>
      </c>
      <c r="H48" s="987">
        <f t="shared" si="52"/>
        <v>0</v>
      </c>
      <c r="I48" s="987">
        <f>SUM(I49,I54,I57)</f>
        <v>0</v>
      </c>
      <c r="J48" s="431"/>
      <c r="K48" s="987">
        <f t="shared" si="53"/>
        <v>0</v>
      </c>
      <c r="L48" s="987">
        <f>SUM(L49,L54,L57)</f>
        <v>0</v>
      </c>
      <c r="M48" s="987">
        <f>SUM(M49,M54,M57)</f>
        <v>0</v>
      </c>
      <c r="N48" s="987">
        <f>SUM(N49,N54,N57)</f>
        <v>0</v>
      </c>
      <c r="O48" s="987">
        <f>SUM(O49,O54,O57)</f>
        <v>0</v>
      </c>
      <c r="P48" s="987">
        <f>SUM(P49,P54,P57)</f>
        <v>0</v>
      </c>
      <c r="Q48" s="987">
        <f>SUM(Q49,Q54,Q57)</f>
        <v>0</v>
      </c>
      <c r="R48" s="431"/>
      <c r="S48" s="920"/>
      <c r="AE48" s="50">
        <v>23</v>
      </c>
    </row>
    <row r="49" ht="11.5" customHeight="1">
      <c r="F49" s="252" t="s">
        <v>703</v>
      </c>
      <c r="G49" s="841" t="s">
        <v>1051</v>
      </c>
      <c r="H49" s="987">
        <f t="shared" si="52"/>
        <v>0</v>
      </c>
      <c r="I49" s="987">
        <f>SUM(I50:I53)</f>
        <v>0</v>
      </c>
      <c r="J49" s="431"/>
      <c r="K49" s="987">
        <f t="shared" si="53"/>
        <v>0</v>
      </c>
      <c r="L49" s="987">
        <f>SUM(L50:L53)</f>
        <v>0</v>
      </c>
      <c r="M49" s="987">
        <f>SUM(M50:M53)</f>
        <v>0</v>
      </c>
      <c r="N49" s="987">
        <f>SUM(N50:N53)</f>
        <v>0</v>
      </c>
      <c r="O49" s="987">
        <f>SUM(O50:O53)</f>
        <v>0</v>
      </c>
      <c r="P49" s="987">
        <f>SUM(P50:P53)</f>
        <v>0</v>
      </c>
      <c r="Q49" s="987">
        <f>SUM(Q50:Q53)</f>
        <v>0</v>
      </c>
      <c r="R49" s="431"/>
      <c r="S49" s="920"/>
      <c r="AE49" s="50">
        <v>11</v>
      </c>
    </row>
    <row r="50" ht="24" customHeight="1">
      <c r="F50" s="252" t="s">
        <v>706</v>
      </c>
      <c r="G50" s="989" t="s">
        <v>1089</v>
      </c>
      <c r="H50" s="987">
        <f t="shared" si="52"/>
        <v>0</v>
      </c>
      <c r="I50" s="988"/>
      <c r="J50" s="431"/>
      <c r="K50" s="987">
        <f t="shared" si="53"/>
        <v>0</v>
      </c>
      <c r="L50" s="988"/>
      <c r="M50" s="988"/>
      <c r="N50" s="988"/>
      <c r="O50" s="988"/>
      <c r="P50" s="988"/>
      <c r="Q50" s="988"/>
      <c r="R50" s="431"/>
      <c r="S50" s="920"/>
      <c r="AE50" s="50">
        <v>23</v>
      </c>
    </row>
    <row r="51" ht="11.5" customHeight="1">
      <c r="F51" s="252" t="s">
        <v>709</v>
      </c>
      <c r="G51" s="989" t="s">
        <v>1091</v>
      </c>
      <c r="H51" s="987">
        <f t="shared" si="52"/>
        <v>0</v>
      </c>
      <c r="I51" s="988"/>
      <c r="J51" s="431"/>
      <c r="K51" s="987">
        <f t="shared" si="53"/>
        <v>0</v>
      </c>
      <c r="L51" s="988"/>
      <c r="M51" s="988"/>
      <c r="N51" s="988"/>
      <c r="O51" s="988"/>
      <c r="P51" s="988"/>
      <c r="Q51" s="988"/>
      <c r="R51" s="431"/>
      <c r="S51" s="920"/>
      <c r="AE51" s="50">
        <v>11</v>
      </c>
    </row>
    <row r="52" ht="11.5" customHeight="1">
      <c r="F52" s="252" t="s">
        <v>1100</v>
      </c>
      <c r="G52" s="989" t="s">
        <v>1093</v>
      </c>
      <c r="H52" s="987">
        <f t="shared" si="52"/>
        <v>0</v>
      </c>
      <c r="I52" s="988"/>
      <c r="J52" s="431"/>
      <c r="K52" s="987">
        <f t="shared" si="53"/>
        <v>0</v>
      </c>
      <c r="L52" s="988"/>
      <c r="M52" s="988"/>
      <c r="N52" s="988"/>
      <c r="O52" s="988"/>
      <c r="P52" s="988"/>
      <c r="Q52" s="988"/>
      <c r="R52" s="431"/>
      <c r="S52" s="920"/>
      <c r="AE52" s="50">
        <v>11</v>
      </c>
    </row>
    <row r="53" ht="35.649999999999999" customHeight="1">
      <c r="F53" s="252" t="s">
        <v>1101</v>
      </c>
      <c r="G53" s="989" t="s">
        <v>1095</v>
      </c>
      <c r="H53" s="987">
        <f t="shared" si="52"/>
        <v>0</v>
      </c>
      <c r="I53" s="988"/>
      <c r="J53" s="431"/>
      <c r="K53" s="987">
        <f t="shared" si="53"/>
        <v>0</v>
      </c>
      <c r="L53" s="988"/>
      <c r="M53" s="988"/>
      <c r="N53" s="988"/>
      <c r="O53" s="988"/>
      <c r="P53" s="988"/>
      <c r="Q53" s="988"/>
      <c r="R53" s="431"/>
      <c r="S53" s="920"/>
      <c r="AE53" s="50">
        <v>34</v>
      </c>
    </row>
    <row r="54" ht="11.5" customHeight="1">
      <c r="F54" s="252" t="s">
        <v>301</v>
      </c>
      <c r="G54" s="841" t="s">
        <v>1080</v>
      </c>
      <c r="H54" s="987">
        <f t="shared" si="52"/>
        <v>0</v>
      </c>
      <c r="I54" s="987">
        <f>SUM(I55:I56)</f>
        <v>0</v>
      </c>
      <c r="J54" s="431"/>
      <c r="K54" s="987">
        <f t="shared" si="53"/>
        <v>0</v>
      </c>
      <c r="L54" s="987">
        <f>SUM(L55:L56)</f>
        <v>0</v>
      </c>
      <c r="M54" s="987">
        <f>SUM(M55:M56)</f>
        <v>0</v>
      </c>
      <c r="N54" s="987">
        <f>SUM(N55:N56)</f>
        <v>0</v>
      </c>
      <c r="O54" s="987">
        <f>SUM(O55:O56)</f>
        <v>0</v>
      </c>
      <c r="P54" s="987">
        <f>SUM(P55:P56)</f>
        <v>0</v>
      </c>
      <c r="Q54" s="987">
        <f>SUM(Q55:Q56)</f>
        <v>0</v>
      </c>
      <c r="R54" s="431"/>
      <c r="S54" s="920"/>
      <c r="AE54" s="50">
        <v>11</v>
      </c>
    </row>
    <row r="55" ht="48.25" customHeight="1">
      <c r="F55" s="252" t="s">
        <v>713</v>
      </c>
      <c r="G55" s="989" t="s">
        <v>1081</v>
      </c>
      <c r="H55" s="987">
        <f t="shared" si="52"/>
        <v>0</v>
      </c>
      <c r="I55" s="988"/>
      <c r="J55" s="431"/>
      <c r="K55" s="987">
        <f t="shared" si="53"/>
        <v>0</v>
      </c>
      <c r="L55" s="988"/>
      <c r="M55" s="988"/>
      <c r="N55" s="988"/>
      <c r="O55" s="988"/>
      <c r="P55" s="988"/>
      <c r="Q55" s="988"/>
      <c r="R55" s="431"/>
      <c r="S55" s="920"/>
      <c r="AE55" s="50">
        <v>46</v>
      </c>
    </row>
    <row r="56" ht="11.5" customHeight="1">
      <c r="F56" s="252" t="s">
        <v>715</v>
      </c>
      <c r="G56" s="989" t="s">
        <v>1082</v>
      </c>
      <c r="H56" s="987">
        <f t="shared" si="52"/>
        <v>0</v>
      </c>
      <c r="I56" s="988"/>
      <c r="J56" s="431"/>
      <c r="K56" s="987">
        <f t="shared" si="53"/>
        <v>0</v>
      </c>
      <c r="L56" s="988"/>
      <c r="M56" s="988"/>
      <c r="N56" s="988"/>
      <c r="O56" s="988"/>
      <c r="P56" s="988"/>
      <c r="Q56" s="988"/>
      <c r="R56" s="431"/>
      <c r="S56" s="920"/>
      <c r="AE56" s="50">
        <v>11</v>
      </c>
    </row>
    <row r="57" ht="11.5" customHeight="1">
      <c r="F57" s="252" t="s">
        <v>304</v>
      </c>
      <c r="G57" s="841" t="s">
        <v>1098</v>
      </c>
      <c r="H57" s="987">
        <f t="shared" si="52"/>
        <v>0</v>
      </c>
      <c r="I57" s="988"/>
      <c r="J57" s="431"/>
      <c r="K57" s="987">
        <f t="shared" si="53"/>
        <v>0</v>
      </c>
      <c r="L57" s="988"/>
      <c r="M57" s="988"/>
      <c r="N57" s="988"/>
      <c r="O57" s="988"/>
      <c r="P57" s="988"/>
      <c r="Q57" s="988"/>
      <c r="R57" s="431"/>
      <c r="S57" s="920"/>
      <c r="AE57" s="50">
        <v>11</v>
      </c>
    </row>
    <row r="58" ht="11.5" customHeight="1">
      <c r="F58" s="252"/>
      <c r="G58" s="365" t="s">
        <v>1084</v>
      </c>
      <c r="H58" s="987">
        <f t="shared" si="52"/>
        <v>0</v>
      </c>
      <c r="I58" s="987">
        <f>SUM(I38,I48)</f>
        <v>0</v>
      </c>
      <c r="J58" s="431"/>
      <c r="K58" s="987">
        <f t="shared" si="53"/>
        <v>0</v>
      </c>
      <c r="L58" s="987">
        <f>SUM(L38,L48)</f>
        <v>0</v>
      </c>
      <c r="M58" s="987">
        <f>SUM(M38,M48)</f>
        <v>0</v>
      </c>
      <c r="N58" s="987">
        <f>SUM(N38,N48)</f>
        <v>0</v>
      </c>
      <c r="O58" s="987">
        <f>SUM(O38,O48)</f>
        <v>0</v>
      </c>
      <c r="P58" s="987">
        <f>SUM(P38,P48)</f>
        <v>0</v>
      </c>
      <c r="Q58" s="987">
        <f>SUM(Q38,Q48)</f>
        <v>0</v>
      </c>
      <c r="R58" s="431"/>
      <c r="S58" s="920"/>
      <c r="AE58" s="50">
        <v>11</v>
      </c>
    </row>
    <row r="59" ht="10.5" hidden="1" customHeight="1">
      <c r="A59" s="125" t="s">
        <v>81</v>
      </c>
      <c r="B59" s="125">
        <v>0</v>
      </c>
      <c r="C59" s="125">
        <v>0</v>
      </c>
      <c r="D59" s="53">
        <v>0</v>
      </c>
      <c r="E59" s="50">
        <v>3</v>
      </c>
      <c r="F59" s="50">
        <v>6</v>
      </c>
      <c r="G59" s="50">
        <v>60</v>
      </c>
      <c r="H59" s="50">
        <v>0</v>
      </c>
      <c r="I59" s="50">
        <v>0</v>
      </c>
      <c r="J59" s="50">
        <v>0</v>
      </c>
      <c r="K59" s="50">
        <v>0</v>
      </c>
      <c r="L59" s="50">
        <v>0</v>
      </c>
      <c r="M59" s="50">
        <v>0</v>
      </c>
      <c r="N59" s="50">
        <v>0</v>
      </c>
      <c r="O59" s="50">
        <v>0</v>
      </c>
      <c r="P59" s="50">
        <v>0</v>
      </c>
      <c r="Q59" s="50">
        <v>0</v>
      </c>
      <c r="R59" s="50">
        <v>0</v>
      </c>
      <c r="S59" s="50">
        <v>1</v>
      </c>
      <c r="T59" s="50">
        <v>8</v>
      </c>
      <c r="U59" s="50">
        <v>8</v>
      </c>
      <c r="V59" s="50">
        <v>8</v>
      </c>
      <c r="W59" s="50">
        <v>8</v>
      </c>
      <c r="X59" s="50">
        <v>8</v>
      </c>
      <c r="Y59" s="50">
        <v>8</v>
      </c>
      <c r="Z59" s="50">
        <v>8</v>
      </c>
      <c r="AA59" s="50">
        <v>8</v>
      </c>
      <c r="AB59" s="50">
        <v>8</v>
      </c>
      <c r="AC59" s="50">
        <v>8</v>
      </c>
      <c r="AD59" s="50">
        <v>8</v>
      </c>
      <c r="AE59" s="50">
        <v>10</v>
      </c>
    </row>
  </sheetData>
  <sheetProtection autoFilter="0" deleteColumns="1" deleteRows="1" formatCells="1" formatColumns="0" formatRows="0" insertColumns="1" insertHyperlinks="1" insertRows="1" objects="0" pivotTables="1" scenarios="0" selectLockedCells="0" selectUnlockedCells="0" sheet="1" sort="1"/>
  <mergeCells count="11">
    <mergeCell ref="F5:J5"/>
    <mergeCell ref="F6:J6"/>
    <mergeCell ref="F9:J9"/>
    <mergeCell ref="F10:F12"/>
    <mergeCell ref="G10:G12"/>
    <mergeCell ref="H10:J10"/>
    <mergeCell ref="K10:R10"/>
    <mergeCell ref="H11:J11"/>
    <mergeCell ref="K11:R11"/>
    <mergeCell ref="G14:J14"/>
    <mergeCell ref="G37:J37"/>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 disablePrompts="0">
        <x14:dataValidation xr:uid="{00B2001F-009C-42F7-AB73-00AA00A80047}"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I29:I31 I33:I35 I40:I43 I45:I47 I50:I53 I55:I57 I16:I27 L16:Q16 L17:Q17 L18:Q18 L19:Q19 L20:Q20 L21:Q21 L22:Q22 L23:Q23 L24:Q24 L25:Q25 L26:Q26 L27:Q27 L29:Q29 L30:Q30 L31:Q31 L33:Q33 L34:Q34 L35:Q35 L40:Q40 L41:Q41 L42:Q42 L43:Q43 L45:Q45 L46:Q46 L47:Q47 L50:Q50 L51:Q51 L52:Q52 L53:Q53 L55:Q55 L56:Q56 L57:Q57</xm:sqref>
        </x14:dataValidation>
      </x14:dataValidations>
    </ext>
  </extLst>
</worksheet>
</file>

<file path=xl/worksheets/sheet4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9" tint="-0.25"/>
    <outlinePr applyStyles="0" summaryBelow="1" summaryRight="1" showOutlineSymbols="1"/>
    <pageSetUpPr autoPageBreaks="1" fitToPage="0"/>
  </sheetPr>
  <sheetViews>
    <sheetView showGridLines="0" zoomScale="90" workbookViewId="0">
      <pane xSplit="14" ySplit="17" topLeftCell="O18" activePane="bottomRight" state="frozen"/>
      <selection activeCell="I22" activeCellId="0" sqref="I22"/>
    </sheetView>
  </sheetViews>
  <sheetFormatPr defaultColWidth="9.140625" defaultRowHeight="12" customHeight="1"/>
  <cols>
    <col customWidth="1" hidden="1" min="1" max="1" style="990" width="4.7109375"/>
    <col customWidth="1" hidden="1" min="2" max="2" style="991" width="4.7109375"/>
    <col customWidth="1" hidden="1" min="3" max="4" style="990" width="4.7109375"/>
    <col customWidth="1" min="5" max="5" style="990" width="3.00390625"/>
    <col customWidth="1" min="6" max="6" style="990" width="6.00390625"/>
    <col customWidth="1" min="7" max="7" style="990" width="18.00390625"/>
    <col customWidth="1" min="8" max="8" style="990" width="27.00390625"/>
    <col customWidth="1" min="9" max="9" style="990" width="18.00390625"/>
    <col customWidth="1" hidden="1" min="10" max="14" style="990" width="0.8515625"/>
    <col customWidth="1" hidden="1" min="15" max="28" style="990" width="21.7109375"/>
    <col customWidth="1" hidden="1" min="29" max="71" style="990" width="0.8515625"/>
    <col customWidth="1" min="72" max="79" style="990" width="21.7109375"/>
    <col customWidth="1" min="80" max="81" style="990" width="29.140625"/>
    <col customWidth="1" min="82" max="89" style="990" width="21.7109375"/>
    <col customWidth="1" min="90" max="102" style="990" width="0.7109375"/>
    <col customWidth="1" hidden="1" min="103" max="114" style="990" width="21.7109375"/>
    <col customWidth="1" hidden="1" min="115" max="178" style="990" width="0.7109375"/>
    <col customWidth="1" min="179" max="179" style="990" width="0.140625"/>
    <col customWidth="1" min="180" max="184" style="990" width="8.00390625"/>
    <col hidden="1" min="185" max="185" style="990" width="9.140625"/>
  </cols>
  <sheetData>
    <row r="1" s="992" customFormat="1" ht="12" hidden="1" customHeight="1">
      <c r="B1" s="993"/>
      <c r="C1" s="992"/>
      <c r="D1" s="992"/>
      <c r="GC1" s="992" t="s">
        <v>14</v>
      </c>
    </row>
    <row r="2" s="992" customFormat="1" ht="12" hidden="1" customHeight="1">
      <c r="B2" s="993"/>
      <c r="C2" s="992"/>
      <c r="D2" s="992"/>
      <c r="E2" s="992"/>
      <c r="F2" s="992"/>
      <c r="G2" s="992"/>
      <c r="H2" s="992"/>
      <c r="I2" s="992"/>
      <c r="J2" s="992"/>
      <c r="K2" s="992"/>
      <c r="L2" s="992"/>
      <c r="M2" s="992"/>
      <c r="N2" s="992"/>
      <c r="O2" s="992"/>
      <c r="P2" s="992"/>
      <c r="Q2" s="992"/>
      <c r="R2" s="992"/>
      <c r="S2" s="992"/>
      <c r="T2" s="992"/>
      <c r="U2" s="992"/>
      <c r="V2" s="992"/>
      <c r="W2" s="992"/>
      <c r="X2" s="992"/>
      <c r="Y2" s="992"/>
      <c r="Z2" s="992"/>
      <c r="AA2" s="992"/>
      <c r="AB2" s="992"/>
      <c r="AC2" s="992"/>
      <c r="AD2" s="992"/>
      <c r="AE2" s="992"/>
      <c r="AF2" s="992"/>
      <c r="AG2" s="992"/>
      <c r="AH2" s="992"/>
      <c r="AI2" s="992"/>
      <c r="AJ2" s="992"/>
      <c r="AK2" s="992"/>
      <c r="AL2" s="992"/>
      <c r="AM2" s="992"/>
      <c r="AN2" s="992"/>
      <c r="AO2" s="992"/>
      <c r="AP2" s="992"/>
      <c r="AQ2" s="992"/>
      <c r="AR2" s="992"/>
      <c r="AS2" s="992"/>
      <c r="AT2" s="992"/>
      <c r="AU2" s="992"/>
      <c r="AV2" s="992"/>
      <c r="AW2" s="992"/>
      <c r="AX2" s="992"/>
      <c r="AY2" s="992"/>
      <c r="AZ2" s="992"/>
      <c r="BA2" s="992"/>
      <c r="BB2" s="992"/>
      <c r="BC2" s="992"/>
      <c r="BD2" s="992"/>
      <c r="BE2" s="992"/>
      <c r="BF2" s="992"/>
      <c r="BG2" s="992"/>
      <c r="BH2" s="992"/>
      <c r="BI2" s="992"/>
      <c r="BJ2" s="992"/>
      <c r="BK2" s="992"/>
      <c r="BL2" s="992"/>
      <c r="BM2" s="992"/>
      <c r="BN2" s="992"/>
      <c r="BO2" s="992"/>
      <c r="BP2" s="992"/>
      <c r="BQ2" s="992"/>
      <c r="BR2" s="992"/>
      <c r="BS2" s="992"/>
      <c r="BT2" s="992"/>
      <c r="BU2" s="992"/>
      <c r="BV2" s="992"/>
      <c r="BW2" s="992"/>
      <c r="BX2" s="992"/>
      <c r="BY2" s="992"/>
      <c r="BZ2" s="992"/>
      <c r="CA2" s="992"/>
      <c r="CB2" s="992"/>
      <c r="CC2" s="992"/>
      <c r="CD2" s="992"/>
      <c r="CE2" s="992"/>
      <c r="CF2" s="992"/>
      <c r="CG2" s="992"/>
      <c r="CH2" s="992"/>
      <c r="CI2" s="992"/>
      <c r="CJ2" s="992"/>
      <c r="CK2" s="992"/>
      <c r="CL2" s="992"/>
      <c r="CM2" s="992"/>
      <c r="CN2" s="992"/>
      <c r="CO2" s="992"/>
      <c r="CP2" s="992"/>
      <c r="CQ2" s="992"/>
      <c r="CR2" s="992"/>
      <c r="CS2" s="992"/>
      <c r="CT2" s="992"/>
      <c r="CU2" s="992"/>
      <c r="CV2" s="992"/>
      <c r="CW2" s="992"/>
      <c r="CX2" s="992"/>
      <c r="CY2" s="992"/>
      <c r="CZ2" s="992"/>
      <c r="DA2" s="992"/>
      <c r="DB2" s="992"/>
      <c r="DC2" s="992"/>
      <c r="DD2" s="992"/>
      <c r="DE2" s="992"/>
      <c r="DF2" s="992"/>
      <c r="DG2" s="992"/>
      <c r="DH2" s="992"/>
      <c r="DI2" s="992"/>
      <c r="DJ2" s="992"/>
      <c r="DK2" s="992"/>
      <c r="DL2" s="992"/>
      <c r="DM2" s="992"/>
      <c r="DN2" s="992"/>
      <c r="DO2" s="992"/>
      <c r="DP2" s="992"/>
      <c r="DQ2" s="992"/>
      <c r="DR2" s="992"/>
      <c r="DS2" s="992"/>
      <c r="DT2" s="992"/>
      <c r="DU2" s="992"/>
      <c r="DV2" s="992"/>
      <c r="DW2" s="992"/>
      <c r="DX2" s="992"/>
      <c r="DY2" s="992"/>
      <c r="DZ2" s="992"/>
      <c r="EA2" s="992"/>
      <c r="EB2" s="992"/>
      <c r="EC2" s="992"/>
      <c r="ED2" s="992"/>
      <c r="EE2" s="992"/>
      <c r="EF2" s="992"/>
      <c r="EG2" s="992"/>
      <c r="EH2" s="992"/>
      <c r="EI2" s="992"/>
      <c r="EJ2" s="992"/>
      <c r="EK2" s="992"/>
      <c r="EL2" s="992"/>
      <c r="EM2" s="992"/>
      <c r="EN2" s="992"/>
      <c r="EO2" s="992"/>
      <c r="EP2" s="992"/>
      <c r="EQ2" s="992"/>
      <c r="ER2" s="992"/>
      <c r="ES2" s="992"/>
      <c r="ET2" s="992"/>
      <c r="EU2" s="992"/>
      <c r="EV2" s="992"/>
      <c r="EW2" s="992"/>
      <c r="EX2" s="992"/>
      <c r="EY2" s="992"/>
      <c r="EZ2" s="992"/>
      <c r="FA2" s="992"/>
      <c r="FB2" s="992"/>
      <c r="FC2" s="992"/>
      <c r="FD2" s="992"/>
      <c r="FE2" s="992"/>
      <c r="FF2" s="992"/>
      <c r="FG2" s="992"/>
      <c r="FH2" s="992"/>
      <c r="FI2" s="992"/>
      <c r="FJ2" s="992"/>
      <c r="FK2" s="992"/>
      <c r="FL2" s="992"/>
      <c r="FM2" s="992"/>
      <c r="FN2" s="992"/>
      <c r="FO2" s="992"/>
      <c r="FP2" s="992"/>
      <c r="FQ2" s="992"/>
      <c r="FR2" s="992"/>
      <c r="FS2" s="992"/>
      <c r="FT2" s="992"/>
      <c r="FU2" s="992"/>
      <c r="FV2" s="992"/>
      <c r="FW2" s="992"/>
      <c r="GC2" s="992">
        <v>0</v>
      </c>
    </row>
    <row r="3" s="992" customFormat="1" ht="12" hidden="1" customHeight="1">
      <c r="B3" s="993"/>
      <c r="C3" s="992"/>
      <c r="D3" s="992"/>
      <c r="E3" s="992"/>
      <c r="F3" s="992"/>
      <c r="G3" s="992"/>
      <c r="H3" s="992"/>
      <c r="I3" s="992"/>
      <c r="J3" s="992"/>
      <c r="K3" s="992"/>
      <c r="L3" s="992"/>
      <c r="M3" s="992"/>
      <c r="N3" s="992"/>
      <c r="O3" s="992"/>
      <c r="P3" s="992"/>
      <c r="Q3" s="992"/>
      <c r="R3" s="992"/>
      <c r="S3" s="992"/>
      <c r="T3" s="992"/>
      <c r="U3" s="992"/>
      <c r="V3" s="992"/>
      <c r="W3" s="992"/>
      <c r="X3" s="992"/>
      <c r="Y3" s="992"/>
      <c r="Z3" s="992"/>
      <c r="AA3" s="992"/>
      <c r="AB3" s="992"/>
      <c r="AC3" s="992"/>
      <c r="AD3" s="992"/>
      <c r="AE3" s="992"/>
      <c r="AF3" s="992"/>
      <c r="AG3" s="992"/>
      <c r="AH3" s="992"/>
      <c r="AI3" s="992"/>
      <c r="AJ3" s="992"/>
      <c r="AK3" s="992"/>
      <c r="AL3" s="992"/>
      <c r="AM3" s="992"/>
      <c r="AN3" s="992"/>
      <c r="AO3" s="992"/>
      <c r="AP3" s="992"/>
      <c r="AQ3" s="992"/>
      <c r="AR3" s="992"/>
      <c r="AS3" s="992"/>
      <c r="AT3" s="992"/>
      <c r="AU3" s="992"/>
      <c r="AV3" s="992"/>
      <c r="AW3" s="992"/>
      <c r="AX3" s="992"/>
      <c r="AY3" s="992"/>
      <c r="AZ3" s="992"/>
      <c r="BA3" s="992"/>
      <c r="BB3" s="992"/>
      <c r="BC3" s="992"/>
      <c r="BD3" s="992"/>
      <c r="BE3" s="992"/>
      <c r="BF3" s="992"/>
      <c r="BG3" s="992"/>
      <c r="BH3" s="992"/>
      <c r="BI3" s="992"/>
      <c r="BJ3" s="992"/>
      <c r="BK3" s="992"/>
      <c r="BL3" s="992"/>
      <c r="BM3" s="992"/>
      <c r="BN3" s="992"/>
      <c r="BO3" s="992"/>
      <c r="BP3" s="992"/>
      <c r="BQ3" s="992"/>
      <c r="BR3" s="992"/>
      <c r="BS3" s="992"/>
      <c r="BT3" s="992"/>
      <c r="BU3" s="992"/>
      <c r="BV3" s="992"/>
      <c r="BW3" s="992"/>
      <c r="BX3" s="992"/>
      <c r="BY3" s="992"/>
      <c r="BZ3" s="992"/>
      <c r="CA3" s="992"/>
      <c r="CB3" s="992"/>
      <c r="CC3" s="992"/>
      <c r="CD3" s="992"/>
      <c r="CE3" s="992"/>
      <c r="CF3" s="992"/>
      <c r="CG3" s="992"/>
      <c r="CH3" s="992"/>
      <c r="CI3" s="992"/>
      <c r="CJ3" s="992"/>
      <c r="CK3" s="992"/>
      <c r="CL3" s="992"/>
      <c r="CM3" s="992"/>
      <c r="CN3" s="992"/>
      <c r="CO3" s="992"/>
      <c r="CP3" s="992"/>
      <c r="CQ3" s="992"/>
      <c r="CR3" s="992"/>
      <c r="CS3" s="992"/>
      <c r="CT3" s="992"/>
      <c r="CU3" s="992"/>
      <c r="CV3" s="992"/>
      <c r="CW3" s="992"/>
      <c r="CX3" s="992"/>
      <c r="CY3" s="992"/>
      <c r="CZ3" s="992"/>
      <c r="DA3" s="992"/>
      <c r="DB3" s="992"/>
      <c r="DC3" s="992"/>
      <c r="DD3" s="992"/>
      <c r="DE3" s="992"/>
      <c r="DF3" s="992"/>
      <c r="DG3" s="992"/>
      <c r="DH3" s="992"/>
      <c r="DI3" s="992"/>
      <c r="DJ3" s="992"/>
      <c r="DK3" s="992"/>
      <c r="DL3" s="992"/>
      <c r="DM3" s="992"/>
      <c r="DN3" s="992"/>
      <c r="DO3" s="992"/>
      <c r="DP3" s="992"/>
      <c r="DQ3" s="992"/>
      <c r="DR3" s="992"/>
      <c r="DS3" s="992"/>
      <c r="DT3" s="992"/>
      <c r="DU3" s="992"/>
      <c r="DV3" s="992"/>
      <c r="DW3" s="992"/>
      <c r="DX3" s="992"/>
      <c r="DY3" s="992"/>
      <c r="DZ3" s="992"/>
      <c r="EA3" s="992"/>
      <c r="EB3" s="992"/>
      <c r="EC3" s="992"/>
      <c r="ED3" s="992"/>
      <c r="EE3" s="992"/>
      <c r="EF3" s="992"/>
      <c r="EG3" s="992"/>
      <c r="EH3" s="992"/>
      <c r="EI3" s="992"/>
      <c r="EJ3" s="992"/>
      <c r="EK3" s="992"/>
      <c r="EL3" s="992"/>
      <c r="EM3" s="992"/>
      <c r="EN3" s="992"/>
      <c r="EO3" s="992"/>
      <c r="EP3" s="992"/>
      <c r="EQ3" s="992"/>
      <c r="ER3" s="992"/>
      <c r="ES3" s="992"/>
      <c r="ET3" s="992"/>
      <c r="EU3" s="992"/>
      <c r="EV3" s="992"/>
      <c r="EW3" s="992"/>
      <c r="EX3" s="992"/>
      <c r="EY3" s="992"/>
      <c r="EZ3" s="992"/>
      <c r="FA3" s="992"/>
      <c r="FB3" s="992"/>
      <c r="FC3" s="992"/>
      <c r="FD3" s="992"/>
      <c r="FE3" s="992"/>
      <c r="FF3" s="992"/>
      <c r="FG3" s="992"/>
      <c r="FH3" s="992"/>
      <c r="FI3" s="992"/>
      <c r="FJ3" s="992"/>
      <c r="FK3" s="992"/>
      <c r="FL3" s="992"/>
      <c r="FM3" s="992"/>
      <c r="FN3" s="992"/>
      <c r="FO3" s="992"/>
      <c r="FP3" s="992"/>
      <c r="FQ3" s="992"/>
      <c r="FR3" s="992"/>
      <c r="FS3" s="992"/>
      <c r="FT3" s="992"/>
      <c r="FU3" s="992"/>
      <c r="FV3" s="992"/>
      <c r="FW3" s="992"/>
      <c r="GC3" s="992">
        <v>0</v>
      </c>
    </row>
    <row r="4" ht="10.5" customHeight="1">
      <c r="B4" s="991"/>
      <c r="C4" s="990"/>
      <c r="D4" s="990"/>
      <c r="E4" s="990"/>
      <c r="F4" s="990"/>
      <c r="G4" s="990"/>
      <c r="H4" s="994"/>
      <c r="I4" s="994"/>
      <c r="J4" s="994"/>
      <c r="K4" s="994"/>
      <c r="L4" s="994"/>
      <c r="M4" s="990"/>
      <c r="N4" s="990"/>
      <c r="O4" s="990"/>
      <c r="P4" s="990"/>
      <c r="Q4" s="990"/>
      <c r="R4" s="990"/>
      <c r="S4" s="990"/>
      <c r="T4" s="990"/>
      <c r="U4" s="990"/>
      <c r="V4" s="990"/>
      <c r="W4" s="990"/>
      <c r="X4" s="990"/>
      <c r="Y4" s="990"/>
      <c r="Z4" s="990"/>
      <c r="AA4" s="990"/>
      <c r="AB4" s="990"/>
      <c r="AC4" s="990"/>
      <c r="AD4" s="990"/>
      <c r="AE4" s="990"/>
      <c r="AF4" s="990"/>
      <c r="AG4" s="990"/>
      <c r="AH4" s="990"/>
      <c r="AI4" s="990"/>
      <c r="AJ4" s="990"/>
      <c r="AK4" s="990"/>
      <c r="AL4" s="990"/>
      <c r="AM4" s="990"/>
      <c r="AN4" s="990"/>
      <c r="AO4" s="990"/>
      <c r="AP4" s="990"/>
      <c r="AQ4" s="990"/>
      <c r="AR4" s="990"/>
      <c r="AS4" s="990"/>
      <c r="AT4" s="990"/>
      <c r="AU4" s="990"/>
      <c r="AV4" s="990"/>
      <c r="AW4" s="990"/>
      <c r="AX4" s="990"/>
      <c r="AY4" s="990"/>
      <c r="AZ4" s="990"/>
      <c r="BA4" s="990"/>
      <c r="BB4" s="990"/>
      <c r="BC4" s="990"/>
      <c r="BD4" s="990"/>
      <c r="BE4" s="990"/>
      <c r="BF4" s="990"/>
      <c r="BG4" s="990"/>
      <c r="BH4" s="990"/>
      <c r="BI4" s="990"/>
      <c r="BJ4" s="990"/>
      <c r="BK4" s="990"/>
      <c r="BL4" s="990"/>
      <c r="BM4" s="990"/>
      <c r="BN4" s="990"/>
      <c r="BO4" s="990"/>
      <c r="BP4" s="990"/>
      <c r="BQ4" s="990"/>
      <c r="BR4" s="990"/>
      <c r="BS4" s="990"/>
      <c r="BT4" s="990"/>
      <c r="BU4" s="990"/>
      <c r="BV4" s="990"/>
      <c r="BW4" s="990"/>
      <c r="BX4" s="990"/>
      <c r="BY4" s="990"/>
      <c r="BZ4" s="990"/>
      <c r="CA4" s="990"/>
      <c r="CB4" s="990"/>
      <c r="CC4" s="990"/>
      <c r="CD4" s="990"/>
      <c r="CE4" s="990"/>
      <c r="CF4" s="990"/>
      <c r="CG4" s="990"/>
      <c r="CH4" s="990"/>
      <c r="CI4" s="990"/>
      <c r="CJ4" s="990"/>
      <c r="CK4" s="990"/>
      <c r="CL4" s="990"/>
      <c r="CM4" s="990"/>
      <c r="CN4" s="990"/>
      <c r="CO4" s="990"/>
      <c r="CP4" s="990"/>
      <c r="CQ4" s="990"/>
      <c r="CR4" s="990"/>
      <c r="CS4" s="990"/>
      <c r="CT4" s="990"/>
      <c r="CU4" s="990"/>
      <c r="CV4" s="990"/>
      <c r="CW4" s="990"/>
      <c r="CX4" s="990"/>
      <c r="CY4" s="990"/>
      <c r="CZ4" s="990"/>
      <c r="DA4" s="990"/>
      <c r="DB4" s="990"/>
      <c r="DC4" s="990"/>
      <c r="DD4" s="990"/>
      <c r="DE4" s="990"/>
      <c r="DF4" s="990"/>
      <c r="DG4" s="990"/>
      <c r="DH4" s="990"/>
      <c r="DI4" s="990"/>
      <c r="DJ4" s="990"/>
      <c r="DK4" s="990"/>
      <c r="DL4" s="990"/>
      <c r="DM4" s="990"/>
      <c r="DN4" s="990"/>
      <c r="DO4" s="990"/>
      <c r="DP4" s="990"/>
      <c r="DQ4" s="990"/>
      <c r="DR4" s="990"/>
      <c r="DS4" s="990"/>
      <c r="DT4" s="990"/>
      <c r="DU4" s="990"/>
      <c r="DV4" s="990"/>
      <c r="DW4" s="990"/>
      <c r="DX4" s="990"/>
      <c r="DY4" s="990"/>
      <c r="DZ4" s="990"/>
      <c r="EA4" s="990"/>
      <c r="EB4" s="990"/>
      <c r="EC4" s="990"/>
      <c r="ED4" s="990"/>
      <c r="EE4" s="990"/>
      <c r="EF4" s="990"/>
      <c r="EG4" s="990"/>
      <c r="EH4" s="990"/>
      <c r="EI4" s="990"/>
      <c r="EJ4" s="990"/>
      <c r="EK4" s="990"/>
      <c r="EL4" s="990"/>
      <c r="EM4" s="990"/>
      <c r="EN4" s="990"/>
      <c r="EO4" s="990"/>
      <c r="EP4" s="990"/>
      <c r="EQ4" s="990"/>
      <c r="ER4" s="990"/>
      <c r="ES4" s="990"/>
      <c r="ET4" s="990"/>
      <c r="EU4" s="990"/>
      <c r="EV4" s="990"/>
      <c r="EW4" s="990"/>
      <c r="EX4" s="990"/>
      <c r="EY4" s="990"/>
      <c r="EZ4" s="990"/>
      <c r="FA4" s="990"/>
      <c r="FB4" s="990"/>
      <c r="FC4" s="990"/>
      <c r="FD4" s="990"/>
      <c r="FE4" s="990"/>
      <c r="FF4" s="990"/>
      <c r="FG4" s="990"/>
      <c r="FH4" s="990"/>
      <c r="FI4" s="990"/>
      <c r="FJ4" s="990"/>
      <c r="FK4" s="990"/>
      <c r="FL4" s="990"/>
      <c r="FM4" s="990"/>
      <c r="FN4" s="990"/>
      <c r="FO4" s="990"/>
      <c r="FP4" s="990"/>
      <c r="FQ4" s="990"/>
      <c r="FR4" s="990"/>
      <c r="FS4" s="990"/>
      <c r="FT4" s="990"/>
      <c r="FU4" s="990"/>
      <c r="FV4" s="990"/>
      <c r="FW4" s="990"/>
      <c r="GC4" s="990">
        <v>10</v>
      </c>
    </row>
    <row r="5" s="716" customFormat="1" ht="27.300000000000001" customHeight="1">
      <c r="B5" s="995"/>
      <c r="E5" s="996"/>
      <c r="F5" s="997" t="str">
        <f>IP_NAME_FORM&amp;"
Показатели качества, надежности и энергетической эффективности в сфере "&amp;TEMPLATE_SPHERE_RUS</f>
        <v xml:space="preserve">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86"/>
      <c r="H5" s="286"/>
      <c r="I5" s="286"/>
      <c r="J5" s="286"/>
      <c r="K5" s="286"/>
      <c r="L5" s="286"/>
      <c r="M5" s="286"/>
      <c r="N5" s="286"/>
      <c r="O5" s="286"/>
      <c r="P5" s="286"/>
      <c r="Q5" s="286"/>
      <c r="R5" s="286"/>
      <c r="S5" s="286"/>
      <c r="T5" s="286"/>
      <c r="U5" s="286"/>
      <c r="V5" s="286"/>
      <c r="W5" s="286"/>
      <c r="X5" s="286"/>
      <c r="Y5" s="286"/>
      <c r="Z5" s="286"/>
      <c r="AA5" s="286"/>
      <c r="AB5" s="286"/>
      <c r="AC5" s="286"/>
      <c r="AD5" s="286"/>
      <c r="AE5" s="286"/>
      <c r="AF5" s="286"/>
      <c r="AG5" s="286"/>
      <c r="AH5" s="286"/>
      <c r="AI5" s="286"/>
      <c r="AJ5" s="286"/>
      <c r="AK5" s="286"/>
      <c r="AL5" s="286"/>
      <c r="AM5" s="286"/>
      <c r="AN5" s="286"/>
      <c r="AO5" s="286"/>
      <c r="AP5" s="286"/>
      <c r="AQ5" s="286"/>
      <c r="AR5" s="286"/>
      <c r="AS5" s="286"/>
      <c r="AT5" s="286"/>
      <c r="AU5" s="286"/>
      <c r="AV5" s="286"/>
      <c r="AW5" s="286"/>
      <c r="AX5" s="286"/>
      <c r="AY5" s="286"/>
      <c r="AZ5" s="286"/>
      <c r="BA5" s="286"/>
      <c r="BB5" s="286"/>
      <c r="BC5" s="286"/>
      <c r="BD5" s="286"/>
      <c r="BE5" s="286"/>
      <c r="BF5" s="286"/>
      <c r="BG5" s="286"/>
      <c r="BH5" s="286"/>
      <c r="BI5" s="286"/>
      <c r="BJ5" s="286"/>
      <c r="BK5" s="286"/>
      <c r="BL5" s="286"/>
      <c r="BM5" s="286"/>
      <c r="BN5" s="286"/>
      <c r="BO5" s="286"/>
      <c r="BP5" s="286"/>
      <c r="BQ5" s="286"/>
      <c r="BR5" s="286"/>
      <c r="BS5" s="286"/>
      <c r="GC5" s="716">
        <v>26</v>
      </c>
    </row>
    <row r="6" s="126" customFormat="1" ht="18.75" customHeight="1">
      <c r="B6" s="775"/>
      <c r="E6" s="360"/>
      <c r="F6" s="409" t="str">
        <f>IF(org=0,"Не определено",org)</f>
        <v xml:space="preserve">АО "ДГК" СП "Биробиджанская ТЭЦ"</v>
      </c>
      <c r="G6" s="410"/>
      <c r="H6" s="410"/>
      <c r="I6" s="410"/>
      <c r="J6" s="410"/>
      <c r="K6" s="410"/>
      <c r="L6" s="410"/>
      <c r="M6" s="410"/>
      <c r="N6" s="410"/>
      <c r="O6" s="410"/>
      <c r="P6" s="410"/>
      <c r="Q6" s="410"/>
      <c r="R6" s="410"/>
      <c r="S6" s="410"/>
      <c r="T6" s="410"/>
      <c r="U6" s="410"/>
      <c r="V6" s="410"/>
      <c r="W6" s="410"/>
      <c r="X6" s="410"/>
      <c r="Y6" s="410"/>
      <c r="Z6" s="410"/>
      <c r="AA6" s="410"/>
      <c r="AB6" s="410"/>
      <c r="AC6" s="410"/>
      <c r="AD6" s="410"/>
      <c r="AE6" s="410"/>
      <c r="AF6" s="410"/>
      <c r="AG6" s="410"/>
      <c r="AH6" s="410"/>
      <c r="AI6" s="410"/>
      <c r="AJ6" s="410"/>
      <c r="AK6" s="410"/>
      <c r="AL6" s="410"/>
      <c r="AM6" s="410"/>
      <c r="AN6" s="410"/>
      <c r="AO6" s="410"/>
      <c r="AP6" s="410"/>
      <c r="AQ6" s="410"/>
      <c r="AR6" s="410"/>
      <c r="AS6" s="410"/>
      <c r="AT6" s="410"/>
      <c r="AU6" s="410"/>
      <c r="AV6" s="410"/>
      <c r="AW6" s="410"/>
      <c r="AX6" s="410"/>
      <c r="AY6" s="410"/>
      <c r="AZ6" s="410"/>
      <c r="BA6" s="410"/>
      <c r="BB6" s="410"/>
      <c r="BC6" s="410"/>
      <c r="BD6" s="410"/>
      <c r="BE6" s="410"/>
      <c r="BF6" s="410"/>
      <c r="BG6" s="410"/>
      <c r="BH6" s="410"/>
      <c r="BI6" s="410"/>
      <c r="BJ6" s="410"/>
      <c r="BK6" s="410"/>
      <c r="BL6" s="410"/>
      <c r="BM6" s="410"/>
      <c r="BN6" s="410"/>
      <c r="BO6" s="410"/>
      <c r="BP6" s="410"/>
      <c r="BQ6" s="410"/>
      <c r="BR6" s="410"/>
      <c r="BS6" s="410"/>
      <c r="GC6" s="126">
        <v>18</v>
      </c>
    </row>
    <row r="7" s="998" customFormat="1" ht="10.5" customHeight="1">
      <c r="B7" s="999"/>
      <c r="E7" s="998"/>
      <c r="F7" s="998"/>
      <c r="G7" s="1000"/>
      <c r="H7" s="994"/>
      <c r="I7" s="994"/>
      <c r="J7" s="994"/>
      <c r="K7" s="994"/>
      <c r="L7" s="994"/>
      <c r="M7" s="998"/>
      <c r="N7" s="998"/>
      <c r="O7" s="998"/>
      <c r="P7" s="998"/>
      <c r="Q7" s="998"/>
      <c r="R7" s="998"/>
      <c r="S7" s="998"/>
      <c r="T7" s="998"/>
      <c r="U7" s="998"/>
      <c r="V7" s="998"/>
      <c r="W7" s="998"/>
      <c r="X7" s="998"/>
      <c r="Y7" s="998"/>
      <c r="Z7" s="998"/>
      <c r="AA7" s="998"/>
      <c r="AB7" s="998"/>
      <c r="AC7" s="998"/>
      <c r="AD7" s="998"/>
      <c r="AE7" s="998"/>
      <c r="AF7" s="998"/>
      <c r="AG7" s="998"/>
      <c r="AH7" s="998"/>
      <c r="AI7" s="998"/>
      <c r="AJ7" s="998"/>
      <c r="AK7" s="998"/>
      <c r="AL7" s="998"/>
      <c r="AM7" s="998"/>
      <c r="AN7" s="998"/>
      <c r="AO7" s="998"/>
      <c r="AP7" s="998"/>
      <c r="AQ7" s="998"/>
      <c r="AR7" s="998"/>
      <c r="AS7" s="998"/>
      <c r="AT7" s="998"/>
      <c r="AU7" s="998"/>
      <c r="AV7" s="998"/>
      <c r="AW7" s="998"/>
      <c r="AX7" s="998"/>
      <c r="AY7" s="998"/>
      <c r="AZ7" s="998"/>
      <c r="BA7" s="998"/>
      <c r="BB7" s="998"/>
      <c r="BC7" s="998"/>
      <c r="BD7" s="998"/>
      <c r="BE7" s="998"/>
      <c r="BF7" s="998"/>
      <c r="BG7" s="998"/>
      <c r="BH7" s="998"/>
      <c r="BI7" s="998"/>
      <c r="BJ7" s="998"/>
      <c r="BK7" s="998"/>
      <c r="BL7" s="998"/>
      <c r="BM7" s="998"/>
      <c r="BN7" s="998"/>
      <c r="BO7" s="998"/>
      <c r="BP7" s="998"/>
      <c r="BQ7" s="998"/>
      <c r="BR7" s="998"/>
      <c r="BS7" s="998"/>
      <c r="BT7" s="998"/>
      <c r="BU7" s="998"/>
      <c r="BV7" s="998"/>
      <c r="BW7" s="998"/>
      <c r="BX7" s="998"/>
      <c r="BY7" s="998"/>
      <c r="BZ7" s="998"/>
      <c r="CA7" s="998"/>
      <c r="CB7" s="998"/>
      <c r="CC7" s="998"/>
      <c r="CD7" s="998"/>
      <c r="CE7" s="998"/>
      <c r="CF7" s="998"/>
      <c r="CG7" s="998"/>
      <c r="CH7" s="998"/>
      <c r="CI7" s="998"/>
      <c r="CJ7" s="998"/>
      <c r="CK7" s="998"/>
      <c r="CL7" s="998"/>
      <c r="CM7" s="998"/>
      <c r="CN7" s="998"/>
      <c r="CO7" s="998"/>
      <c r="CP7" s="998"/>
      <c r="CQ7" s="998"/>
      <c r="CR7" s="998"/>
      <c r="CS7" s="998"/>
      <c r="CT7" s="998"/>
      <c r="CU7" s="998"/>
      <c r="CV7" s="998"/>
      <c r="CW7" s="998"/>
      <c r="CX7" s="998"/>
      <c r="CY7" s="998"/>
      <c r="CZ7" s="998"/>
      <c r="DA7" s="998"/>
      <c r="DB7" s="998"/>
      <c r="DC7" s="998"/>
      <c r="DD7" s="998"/>
      <c r="DE7" s="998"/>
      <c r="DF7" s="998"/>
      <c r="DG7" s="998"/>
      <c r="DH7" s="998"/>
      <c r="DI7" s="998"/>
      <c r="DJ7" s="998"/>
      <c r="DK7" s="998"/>
      <c r="DL7" s="998"/>
      <c r="DM7" s="998"/>
      <c r="DN7" s="998"/>
      <c r="DO7" s="998"/>
      <c r="DP7" s="998"/>
      <c r="DQ7" s="998"/>
      <c r="DR7" s="998"/>
      <c r="DS7" s="998"/>
      <c r="DT7" s="998"/>
      <c r="DU7" s="998"/>
      <c r="DV7" s="998"/>
      <c r="DW7" s="998"/>
      <c r="DX7" s="998"/>
      <c r="DY7" s="998"/>
      <c r="DZ7" s="998"/>
      <c r="EA7" s="998"/>
      <c r="EB7" s="998"/>
      <c r="EC7" s="998"/>
      <c r="ED7" s="998"/>
      <c r="EE7" s="998"/>
      <c r="EF7" s="998"/>
      <c r="EG7" s="998"/>
      <c r="EH7" s="998"/>
      <c r="EI7" s="998"/>
      <c r="EJ7" s="998"/>
      <c r="EK7" s="998"/>
      <c r="EL7" s="998"/>
      <c r="EM7" s="998"/>
      <c r="EN7" s="998"/>
      <c r="EO7" s="998"/>
      <c r="EP7" s="998"/>
      <c r="EQ7" s="998"/>
      <c r="ER7" s="998"/>
      <c r="ES7" s="998"/>
      <c r="ET7" s="998"/>
      <c r="EU7" s="998"/>
      <c r="EV7" s="998"/>
      <c r="EW7" s="998"/>
      <c r="EX7" s="998"/>
      <c r="EY7" s="998"/>
      <c r="EZ7" s="998"/>
      <c r="FA7" s="998"/>
      <c r="FB7" s="998"/>
      <c r="FC7" s="998"/>
      <c r="FD7" s="998"/>
      <c r="FE7" s="998"/>
      <c r="FF7" s="998"/>
      <c r="FG7" s="998"/>
      <c r="FH7" s="998"/>
      <c r="FI7" s="998"/>
      <c r="FJ7" s="998"/>
      <c r="FK7" s="998"/>
      <c r="FL7" s="998"/>
      <c r="FM7" s="998"/>
      <c r="FN7" s="998"/>
      <c r="FO7" s="998"/>
      <c r="FP7" s="998"/>
      <c r="FQ7" s="998"/>
      <c r="FR7" s="998"/>
      <c r="FS7" s="998"/>
      <c r="FT7" s="998"/>
      <c r="FU7" s="998"/>
      <c r="FV7" s="998"/>
      <c r="FW7" s="998"/>
      <c r="GC7" s="998">
        <v>10</v>
      </c>
    </row>
    <row r="8" s="998" customFormat="1" ht="11.25" hidden="1" customHeight="1">
      <c r="B8" s="999"/>
      <c r="F8" s="126"/>
      <c r="G8" s="51"/>
      <c r="H8" s="144"/>
      <c r="I8" s="144"/>
      <c r="J8" s="144"/>
      <c r="K8" s="144"/>
      <c r="L8" s="144"/>
      <c r="M8" s="126"/>
      <c r="N8" s="126"/>
      <c r="O8" s="1001" t="s">
        <v>1102</v>
      </c>
      <c r="P8" s="1002"/>
      <c r="Q8" s="1002"/>
      <c r="R8" s="1002"/>
      <c r="S8" s="1002"/>
      <c r="T8" s="1002"/>
      <c r="U8" s="1002"/>
      <c r="V8" s="1002"/>
      <c r="W8" s="1002"/>
      <c r="X8" s="1002"/>
      <c r="Y8" s="1002"/>
      <c r="Z8" s="1002"/>
      <c r="AA8" s="1002"/>
      <c r="AB8" s="1002"/>
      <c r="AC8" s="1002"/>
      <c r="AD8" s="1002"/>
      <c r="AE8" s="1002"/>
      <c r="AF8" s="1002"/>
      <c r="AG8" s="1002"/>
      <c r="AH8" s="1002"/>
      <c r="AI8" s="1002"/>
      <c r="AJ8" s="1002"/>
      <c r="AK8" s="1002"/>
      <c r="AL8" s="1002"/>
      <c r="AM8" s="1002"/>
      <c r="AN8" s="1002"/>
      <c r="AO8" s="1002"/>
      <c r="AP8" s="1002"/>
      <c r="AQ8" s="1002"/>
      <c r="AR8" s="1002"/>
      <c r="AS8" s="1002"/>
      <c r="AT8" s="1002"/>
      <c r="AU8" s="1002"/>
      <c r="AV8" s="1002"/>
      <c r="AW8" s="1002"/>
      <c r="AX8" s="1002"/>
      <c r="AY8" s="1002"/>
      <c r="AZ8" s="1002"/>
      <c r="BA8" s="1002"/>
      <c r="BB8" s="1002"/>
      <c r="BC8" s="1002"/>
      <c r="BD8" s="1002"/>
      <c r="BE8" s="1002"/>
      <c r="BF8" s="1002"/>
      <c r="BG8" s="1002"/>
      <c r="BH8" s="1002"/>
      <c r="BI8" s="1002"/>
      <c r="BJ8" s="1002"/>
      <c r="BK8" s="1002"/>
      <c r="BL8" s="1002"/>
      <c r="BM8" s="1002"/>
      <c r="BN8" s="1002"/>
      <c r="BO8" s="1002"/>
      <c r="BP8" s="1002"/>
      <c r="BQ8" s="1002"/>
      <c r="BR8" s="1002"/>
      <c r="BS8" s="1003"/>
      <c r="BT8" s="1004"/>
      <c r="BU8" s="1005"/>
      <c r="BV8" s="1005"/>
      <c r="BW8" s="1005"/>
      <c r="BX8" s="1005"/>
      <c r="BY8" s="1005"/>
      <c r="BZ8" s="1005"/>
      <c r="CA8" s="1005"/>
      <c r="CB8" s="1005"/>
      <c r="CC8" s="1005"/>
      <c r="CD8" s="1005"/>
      <c r="CE8" s="1005"/>
      <c r="CF8" s="1005"/>
      <c r="CG8" s="1005"/>
      <c r="CH8" s="1005"/>
      <c r="CI8" s="1005"/>
      <c r="CJ8" s="1005"/>
      <c r="CK8" s="1005"/>
      <c r="CL8" s="1005"/>
      <c r="CM8" s="1005"/>
      <c r="CN8" s="1005"/>
      <c r="CO8" s="1005"/>
      <c r="CP8" s="1005"/>
      <c r="CQ8" s="1005"/>
      <c r="CR8" s="1005"/>
      <c r="CS8" s="1005"/>
      <c r="CT8" s="1005"/>
      <c r="CU8" s="1005"/>
      <c r="CV8" s="1005"/>
      <c r="CW8" s="1005"/>
      <c r="CX8" s="1006"/>
      <c r="CY8" s="1007"/>
      <c r="CZ8" s="1008"/>
      <c r="DA8" s="1008"/>
      <c r="DB8" s="1008"/>
      <c r="DC8" s="1008"/>
      <c r="DD8" s="1008"/>
      <c r="DE8" s="1008"/>
      <c r="DF8" s="1008"/>
      <c r="DG8" s="1008"/>
      <c r="DH8" s="1008"/>
      <c r="DI8" s="1008"/>
      <c r="DJ8" s="1008"/>
      <c r="DK8" s="1008"/>
      <c r="DL8" s="1008"/>
      <c r="DM8" s="1008"/>
      <c r="DN8" s="1008"/>
      <c r="DO8" s="1008"/>
      <c r="DP8" s="1008"/>
      <c r="DQ8" s="1008"/>
      <c r="DR8" s="1008"/>
      <c r="DS8" s="1008"/>
      <c r="DT8" s="1008"/>
      <c r="DU8" s="1008"/>
      <c r="DV8" s="1008"/>
      <c r="DW8" s="1008"/>
      <c r="DX8" s="1009"/>
      <c r="DY8" s="1010" t="s">
        <v>1103</v>
      </c>
      <c r="DZ8" s="1011"/>
      <c r="EA8" s="1011"/>
      <c r="EB8" s="1011"/>
      <c r="EC8" s="1011"/>
      <c r="ED8" s="1011"/>
      <c r="EE8" s="1011"/>
      <c r="EF8" s="1011"/>
      <c r="EG8" s="1011"/>
      <c r="EH8" s="1011"/>
      <c r="EI8" s="1011"/>
      <c r="EJ8" s="1011"/>
      <c r="EK8" s="1011"/>
      <c r="EL8" s="1011"/>
      <c r="EM8" s="1011"/>
      <c r="EN8" s="1011"/>
      <c r="EO8" s="1011"/>
      <c r="EP8" s="1011"/>
      <c r="EQ8" s="1011"/>
      <c r="ER8" s="1011"/>
      <c r="ES8" s="1011"/>
      <c r="ET8" s="1011"/>
      <c r="EU8" s="1011"/>
      <c r="EV8" s="1011"/>
      <c r="EW8" s="1011"/>
      <c r="EX8" s="1011"/>
      <c r="EY8" s="1011"/>
      <c r="EZ8" s="1011"/>
      <c r="FA8" s="1011"/>
      <c r="FB8" s="1011"/>
      <c r="FC8" s="1011"/>
      <c r="FD8" s="1011"/>
      <c r="FE8" s="1011"/>
      <c r="FF8" s="1011"/>
      <c r="FG8" s="1011"/>
      <c r="FH8" s="1011"/>
      <c r="FI8" s="1011"/>
      <c r="FJ8" s="1011"/>
      <c r="FK8" s="1011"/>
      <c r="FL8" s="1011"/>
      <c r="FM8" s="1011"/>
      <c r="FN8" s="1011"/>
      <c r="FO8" s="1011"/>
      <c r="FP8" s="1011"/>
      <c r="FQ8" s="1011"/>
      <c r="FR8" s="1011"/>
      <c r="FS8" s="1011"/>
      <c r="FT8" s="1011"/>
      <c r="FU8" s="1011"/>
      <c r="FV8" s="1011"/>
      <c r="FW8" s="1012"/>
      <c r="FX8" s="126"/>
      <c r="GC8" s="998">
        <v>0</v>
      </c>
    </row>
    <row r="9" s="998" customFormat="1" ht="11.25" hidden="1" customHeight="1">
      <c r="B9" s="999"/>
      <c r="F9" s="126"/>
      <c r="G9" s="51"/>
      <c r="H9" s="144"/>
      <c r="I9" s="144"/>
      <c r="J9" s="144"/>
      <c r="K9" s="144"/>
      <c r="L9" s="144"/>
      <c r="M9" s="126"/>
      <c r="N9" s="126"/>
      <c r="O9" s="126"/>
      <c r="P9" s="126"/>
      <c r="Q9" s="126"/>
      <c r="R9" s="126"/>
      <c r="S9" s="126"/>
      <c r="T9" s="126"/>
      <c r="U9" s="126"/>
      <c r="V9" s="126"/>
      <c r="W9" s="126"/>
      <c r="X9" s="126"/>
      <c r="Y9" s="126"/>
      <c r="Z9" s="126"/>
      <c r="AA9" s="126"/>
      <c r="AB9" s="126"/>
      <c r="AC9" s="126"/>
      <c r="AD9" s="126"/>
      <c r="AE9" s="126"/>
      <c r="AF9" s="126"/>
      <c r="AG9" s="126"/>
      <c r="AH9" s="126"/>
      <c r="AI9" s="126"/>
      <c r="AJ9" s="126"/>
      <c r="AK9" s="126"/>
      <c r="AL9" s="126"/>
      <c r="AM9" s="126"/>
      <c r="AN9" s="126"/>
      <c r="AO9" s="126"/>
      <c r="AP9" s="126"/>
      <c r="AQ9" s="126"/>
      <c r="AR9" s="126"/>
      <c r="AS9" s="126"/>
      <c r="AT9" s="126"/>
      <c r="AU9" s="126"/>
      <c r="AV9" s="126"/>
      <c r="AW9" s="126"/>
      <c r="AX9" s="126"/>
      <c r="AY9" s="126"/>
      <c r="AZ9" s="126"/>
      <c r="BA9" s="126"/>
      <c r="BB9" s="126"/>
      <c r="BC9" s="126"/>
      <c r="BD9" s="126"/>
      <c r="BE9" s="126"/>
      <c r="BF9" s="126"/>
      <c r="BG9" s="126"/>
      <c r="BH9" s="126"/>
      <c r="BI9" s="126"/>
      <c r="BJ9" s="126"/>
      <c r="BK9" s="126"/>
      <c r="BL9" s="126"/>
      <c r="BM9" s="126"/>
      <c r="BN9" s="126"/>
      <c r="BO9" s="126"/>
      <c r="BP9" s="126"/>
      <c r="BQ9" s="126"/>
      <c r="BR9" s="126"/>
      <c r="BS9" s="126"/>
      <c r="BT9" s="126"/>
      <c r="BU9" s="126"/>
      <c r="BV9" s="126"/>
      <c r="BW9" s="126"/>
      <c r="BX9" s="126"/>
      <c r="BY9" s="126"/>
      <c r="BZ9" s="126"/>
      <c r="CA9" s="126"/>
      <c r="CB9" s="126"/>
      <c r="CC9" s="126"/>
      <c r="CD9" s="126"/>
      <c r="CE9" s="126"/>
      <c r="CF9" s="126"/>
      <c r="CG9" s="126"/>
      <c r="CH9" s="126"/>
      <c r="CI9" s="126"/>
      <c r="CJ9" s="126"/>
      <c r="CK9" s="126"/>
      <c r="CL9" s="126"/>
      <c r="CM9" s="126"/>
      <c r="CN9" s="126"/>
      <c r="CO9" s="126"/>
      <c r="CP9" s="126"/>
      <c r="CQ9" s="126"/>
      <c r="CR9" s="126"/>
      <c r="CS9" s="126"/>
      <c r="CT9" s="126"/>
      <c r="CU9" s="126"/>
      <c r="CV9" s="126"/>
      <c r="CW9" s="126"/>
      <c r="CX9" s="126"/>
      <c r="CY9" s="126"/>
      <c r="CZ9" s="126"/>
      <c r="DA9" s="126"/>
      <c r="DB9" s="126"/>
      <c r="DC9" s="126"/>
      <c r="DD9" s="126"/>
      <c r="DE9" s="126"/>
      <c r="DF9" s="126"/>
      <c r="DG9" s="126"/>
      <c r="DH9" s="126"/>
      <c r="DI9" s="126"/>
      <c r="DJ9" s="126"/>
      <c r="DK9" s="126"/>
      <c r="DL9" s="126"/>
      <c r="DM9" s="126"/>
      <c r="DN9" s="126"/>
      <c r="DO9" s="126"/>
      <c r="DP9" s="126"/>
      <c r="DQ9" s="126"/>
      <c r="DR9" s="126"/>
      <c r="DS9" s="126"/>
      <c r="DT9" s="126"/>
      <c r="DU9" s="126"/>
      <c r="DV9" s="126"/>
      <c r="DW9" s="126"/>
      <c r="DX9" s="126"/>
      <c r="DY9" s="126"/>
      <c r="DZ9" s="126"/>
      <c r="EA9" s="126"/>
      <c r="EB9" s="126"/>
      <c r="EC9" s="126"/>
      <c r="ED9" s="126"/>
      <c r="EE9" s="126"/>
      <c r="EF9" s="126"/>
      <c r="EG9" s="126"/>
      <c r="EH9" s="126"/>
      <c r="EI9" s="126"/>
      <c r="EJ9" s="126"/>
      <c r="EK9" s="126"/>
      <c r="EL9" s="126"/>
      <c r="EM9" s="126"/>
      <c r="EN9" s="126"/>
      <c r="EO9" s="126"/>
      <c r="EP9" s="126"/>
      <c r="EQ9" s="126"/>
      <c r="ER9" s="126"/>
      <c r="ES9" s="126"/>
      <c r="ET9" s="126"/>
      <c r="EU9" s="126"/>
      <c r="EV9" s="126"/>
      <c r="EW9" s="126"/>
      <c r="EX9" s="126"/>
      <c r="EY9" s="126"/>
      <c r="EZ9" s="126"/>
      <c r="FA9" s="126"/>
      <c r="FB9" s="126"/>
      <c r="FC9" s="126"/>
      <c r="FD9" s="126"/>
      <c r="FE9" s="126"/>
      <c r="FF9" s="126"/>
      <c r="FG9" s="126"/>
      <c r="FH9" s="126"/>
      <c r="FI9" s="126"/>
      <c r="FJ9" s="126"/>
      <c r="FK9" s="126"/>
      <c r="FL9" s="126"/>
      <c r="FM9" s="126"/>
      <c r="FN9" s="126"/>
      <c r="FO9" s="126"/>
      <c r="FP9" s="126"/>
      <c r="FQ9" s="126"/>
      <c r="FR9" s="126"/>
      <c r="FS9" s="126"/>
      <c r="FT9" s="126"/>
      <c r="FU9" s="126"/>
      <c r="FV9" s="126"/>
      <c r="FW9" s="1013"/>
      <c r="FX9" s="126"/>
      <c r="GC9" s="998">
        <v>0</v>
      </c>
    </row>
    <row r="10" s="998" customFormat="1" ht="11.5" customHeight="1">
      <c r="B10" s="999"/>
      <c r="F10" s="888" t="s">
        <v>294</v>
      </c>
      <c r="G10" s="1014"/>
      <c r="H10" s="1014"/>
      <c r="I10" s="1014"/>
      <c r="J10" s="1014"/>
      <c r="K10" s="1014"/>
      <c r="L10" s="1014"/>
      <c r="M10" s="1014"/>
      <c r="N10" s="1014"/>
      <c r="O10" s="1014"/>
      <c r="P10" s="1014"/>
      <c r="Q10" s="1014"/>
      <c r="R10" s="1014"/>
      <c r="S10" s="1014"/>
      <c r="T10" s="1014"/>
      <c r="U10" s="1014"/>
      <c r="V10" s="1014"/>
      <c r="W10" s="1014"/>
      <c r="X10" s="1014"/>
      <c r="Y10" s="1014"/>
      <c r="Z10" s="1014"/>
      <c r="AA10" s="1014"/>
      <c r="AB10" s="1014"/>
      <c r="AC10" s="1014"/>
      <c r="AD10" s="1014"/>
      <c r="AE10" s="1014"/>
      <c r="AF10" s="1014"/>
      <c r="AG10" s="1014"/>
      <c r="AH10" s="1014"/>
      <c r="AI10" s="1014"/>
      <c r="AJ10" s="1014"/>
      <c r="AK10" s="1014"/>
      <c r="AL10" s="1014"/>
      <c r="AM10" s="1014"/>
      <c r="AN10" s="1014"/>
      <c r="AO10" s="1014"/>
      <c r="AP10" s="1014"/>
      <c r="AQ10" s="1014"/>
      <c r="AR10" s="1014"/>
      <c r="AS10" s="1014"/>
      <c r="AT10" s="1014"/>
      <c r="AU10" s="1014"/>
      <c r="AV10" s="1014"/>
      <c r="AW10" s="1014"/>
      <c r="AX10" s="1014"/>
      <c r="AY10" s="1014"/>
      <c r="AZ10" s="1014"/>
      <c r="BA10" s="1014"/>
      <c r="BB10" s="1014"/>
      <c r="BC10" s="1014"/>
      <c r="BD10" s="1014"/>
      <c r="BE10" s="1014"/>
      <c r="BF10" s="1014"/>
      <c r="BG10" s="1014"/>
      <c r="BH10" s="1014"/>
      <c r="BI10" s="1014"/>
      <c r="BJ10" s="1014"/>
      <c r="BK10" s="1014"/>
      <c r="BL10" s="1014"/>
      <c r="BM10" s="1014"/>
      <c r="BN10" s="1014"/>
      <c r="BO10" s="1014"/>
      <c r="BP10" s="1014"/>
      <c r="BQ10" s="1014"/>
      <c r="BR10" s="1014"/>
      <c r="BS10" s="1014"/>
      <c r="BT10" s="1014"/>
      <c r="BU10" s="1014"/>
      <c r="BV10" s="1014"/>
      <c r="BW10" s="1014"/>
      <c r="BX10" s="1014"/>
      <c r="BY10" s="1014"/>
      <c r="BZ10" s="1014"/>
      <c r="CA10" s="1014"/>
      <c r="CB10" s="1014"/>
      <c r="CC10" s="1014"/>
      <c r="CD10" s="1014"/>
      <c r="CE10" s="1014"/>
      <c r="CF10" s="1014"/>
      <c r="CG10" s="1014"/>
      <c r="CH10" s="1014"/>
      <c r="CI10" s="1014"/>
      <c r="CJ10" s="1014"/>
      <c r="CK10" s="1014"/>
      <c r="CL10" s="1014"/>
      <c r="CM10" s="1014"/>
      <c r="CN10" s="1014"/>
      <c r="CO10" s="1014"/>
      <c r="CP10" s="1014"/>
      <c r="CQ10" s="1014"/>
      <c r="CR10" s="1014"/>
      <c r="CS10" s="1014"/>
      <c r="CT10" s="1014"/>
      <c r="CU10" s="1014"/>
      <c r="CV10" s="1014"/>
      <c r="CW10" s="1014"/>
      <c r="CX10" s="1014"/>
      <c r="CY10" s="1014"/>
      <c r="CZ10" s="1014"/>
      <c r="DA10" s="1014"/>
      <c r="DB10" s="1014"/>
      <c r="DC10" s="1014"/>
      <c r="DD10" s="1014"/>
      <c r="DE10" s="1014"/>
      <c r="DF10" s="1014"/>
      <c r="DG10" s="1014"/>
      <c r="DH10" s="1014"/>
      <c r="DI10" s="1014"/>
      <c r="DJ10" s="1014"/>
      <c r="DK10" s="1014"/>
      <c r="DL10" s="1014"/>
      <c r="DM10" s="1014"/>
      <c r="DN10" s="1014"/>
      <c r="DO10" s="1014"/>
      <c r="DP10" s="1014"/>
      <c r="DQ10" s="1014"/>
      <c r="DR10" s="1014"/>
      <c r="DS10" s="1014"/>
      <c r="DT10" s="1014"/>
      <c r="DU10" s="1014"/>
      <c r="DV10" s="1014"/>
      <c r="DW10" s="1014"/>
      <c r="DX10" s="1014"/>
      <c r="DY10" s="1014"/>
      <c r="DZ10" s="1014"/>
      <c r="EA10" s="1014"/>
      <c r="EB10" s="1014"/>
      <c r="EC10" s="1014"/>
      <c r="ED10" s="1014"/>
      <c r="EE10" s="1014"/>
      <c r="EF10" s="1014"/>
      <c r="EG10" s="1014"/>
      <c r="EH10" s="1014"/>
      <c r="EI10" s="1014"/>
      <c r="EJ10" s="1014"/>
      <c r="EK10" s="1014"/>
      <c r="EL10" s="1014"/>
      <c r="EM10" s="1014"/>
      <c r="EN10" s="1014"/>
      <c r="EO10" s="1014"/>
      <c r="EP10" s="1014"/>
      <c r="EQ10" s="1014"/>
      <c r="ER10" s="1014"/>
      <c r="ES10" s="1014"/>
      <c r="ET10" s="1014"/>
      <c r="EU10" s="1014"/>
      <c r="EV10" s="1014"/>
      <c r="EW10" s="1014"/>
      <c r="EX10" s="1014"/>
      <c r="EY10" s="1014"/>
      <c r="EZ10" s="1014"/>
      <c r="FA10" s="1014"/>
      <c r="FB10" s="1014"/>
      <c r="FC10" s="1014"/>
      <c r="FD10" s="1014"/>
      <c r="FE10" s="1014"/>
      <c r="FF10" s="1014"/>
      <c r="FG10" s="1014"/>
      <c r="FH10" s="1014"/>
      <c r="FI10" s="1014"/>
      <c r="FJ10" s="1014"/>
      <c r="FK10" s="1014"/>
      <c r="FL10" s="1014"/>
      <c r="FM10" s="1014"/>
      <c r="FN10" s="1014"/>
      <c r="FO10" s="1014"/>
      <c r="FP10" s="1014"/>
      <c r="FQ10" s="1014"/>
      <c r="FR10" s="1014"/>
      <c r="FS10" s="1014"/>
      <c r="FT10" s="1014"/>
      <c r="FU10" s="1014"/>
      <c r="FV10" s="922"/>
      <c r="FW10" s="1013"/>
      <c r="FX10" s="126"/>
      <c r="GC10" s="998">
        <v>11</v>
      </c>
    </row>
    <row r="11" ht="12.75" customHeight="1">
      <c r="E11" s="1015"/>
      <c r="F11" s="346" t="s">
        <v>87</v>
      </c>
      <c r="G11" s="346" t="s">
        <v>1104</v>
      </c>
      <c r="H11" s="346" t="s">
        <v>1105</v>
      </c>
      <c r="I11" s="346" t="s">
        <v>1106</v>
      </c>
      <c r="J11" s="1016"/>
      <c r="K11" s="1016"/>
      <c r="L11" s="1016"/>
      <c r="M11" s="1016"/>
      <c r="N11" s="1016"/>
      <c r="O11" s="348" t="s">
        <v>1107</v>
      </c>
      <c r="P11" s="348"/>
      <c r="Q11" s="348"/>
      <c r="R11" s="348"/>
      <c r="S11" s="348"/>
      <c r="T11" s="348"/>
      <c r="U11" s="348"/>
      <c r="V11" s="348"/>
      <c r="W11" s="348"/>
      <c r="X11" s="348"/>
      <c r="Y11" s="348"/>
      <c r="Z11" s="348"/>
      <c r="AA11" s="348"/>
      <c r="AB11" s="348"/>
      <c r="AC11" s="1017"/>
      <c r="AD11" s="1017"/>
      <c r="AE11" s="1017"/>
      <c r="AF11" s="1017"/>
      <c r="AG11" s="1017"/>
      <c r="AH11" s="1017"/>
      <c r="AI11" s="1017"/>
      <c r="AJ11" s="1017"/>
      <c r="AK11" s="1017"/>
      <c r="AL11" s="1017"/>
      <c r="AM11" s="1017"/>
      <c r="AN11" s="1017"/>
      <c r="AO11" s="1017"/>
      <c r="AP11" s="1017"/>
      <c r="AQ11" s="1017"/>
      <c r="AR11" s="1017"/>
      <c r="AS11" s="1017"/>
      <c r="AT11" s="1017"/>
      <c r="AU11" s="1017"/>
      <c r="AV11" s="1017"/>
      <c r="AW11" s="1017"/>
      <c r="AX11" s="1017"/>
      <c r="AY11" s="1017"/>
      <c r="AZ11" s="1017"/>
      <c r="BA11" s="1017"/>
      <c r="BB11" s="1017"/>
      <c r="BC11" s="1017"/>
      <c r="BD11" s="1017"/>
      <c r="BE11" s="1017"/>
      <c r="BF11" s="1017"/>
      <c r="BG11" s="1017"/>
      <c r="BH11" s="1017"/>
      <c r="BI11" s="1017"/>
      <c r="BJ11" s="1017"/>
      <c r="BK11" s="1017"/>
      <c r="BL11" s="1017"/>
      <c r="BM11" s="1017"/>
      <c r="BN11" s="1017"/>
      <c r="BO11" s="1017"/>
      <c r="BP11" s="1017"/>
      <c r="BQ11" s="1017"/>
      <c r="BR11" s="1017"/>
      <c r="BS11" s="1018"/>
      <c r="BT11" s="826" t="s">
        <v>1107</v>
      </c>
      <c r="BU11" s="827"/>
      <c r="BV11" s="827"/>
      <c r="BW11" s="827"/>
      <c r="BX11" s="827"/>
      <c r="BY11" s="827"/>
      <c r="BZ11" s="827"/>
      <c r="CA11" s="827"/>
      <c r="CB11" s="827"/>
      <c r="CC11" s="827"/>
      <c r="CD11" s="827"/>
      <c r="CE11" s="827"/>
      <c r="CF11" s="827"/>
      <c r="CG11" s="827"/>
      <c r="CH11" s="827"/>
      <c r="CI11" s="827"/>
      <c r="CJ11" s="827"/>
      <c r="CK11" s="1019"/>
      <c r="CL11" s="1020"/>
      <c r="CM11" s="1017"/>
      <c r="CN11" s="1017"/>
      <c r="CO11" s="1017"/>
      <c r="CP11" s="1017"/>
      <c r="CQ11" s="1017"/>
      <c r="CR11" s="1017"/>
      <c r="CS11" s="1017"/>
      <c r="CT11" s="1017"/>
      <c r="CU11" s="1017"/>
      <c r="CV11" s="1017"/>
      <c r="CW11" s="1017"/>
      <c r="CX11" s="1018"/>
      <c r="CY11" s="826" t="s">
        <v>1107</v>
      </c>
      <c r="CZ11" s="827"/>
      <c r="DA11" s="827"/>
      <c r="DB11" s="827"/>
      <c r="DC11" s="827"/>
      <c r="DD11" s="827"/>
      <c r="DE11" s="827"/>
      <c r="DF11" s="827"/>
      <c r="DG11" s="827"/>
      <c r="DH11" s="827"/>
      <c r="DI11" s="827"/>
      <c r="DJ11" s="1019"/>
      <c r="DK11" s="1020"/>
      <c r="DL11" s="1017"/>
      <c r="DM11" s="1017"/>
      <c r="DN11" s="1017"/>
      <c r="DO11" s="1017"/>
      <c r="DP11" s="1017"/>
      <c r="DQ11" s="1017"/>
      <c r="DR11" s="1017"/>
      <c r="DS11" s="1017"/>
      <c r="DT11" s="1017"/>
      <c r="DU11" s="1017"/>
      <c r="DV11" s="1017"/>
      <c r="DW11" s="1017"/>
      <c r="DX11" s="1017"/>
      <c r="DY11" s="1017"/>
      <c r="DZ11" s="1017"/>
      <c r="EA11" s="1017"/>
      <c r="EB11" s="1017"/>
      <c r="EC11" s="1017"/>
      <c r="ED11" s="1017"/>
      <c r="EE11" s="1017"/>
      <c r="EF11" s="1017"/>
      <c r="EG11" s="1017"/>
      <c r="EH11" s="1017"/>
      <c r="EI11" s="1017"/>
      <c r="EJ11" s="1017"/>
      <c r="EK11" s="1017"/>
      <c r="EL11" s="1017"/>
      <c r="EM11" s="1017"/>
      <c r="EN11" s="1017"/>
      <c r="EO11" s="1017"/>
      <c r="EP11" s="1017"/>
      <c r="EQ11" s="1017"/>
      <c r="ER11" s="1017"/>
      <c r="ES11" s="1017"/>
      <c r="ET11" s="1017"/>
      <c r="EU11" s="1017"/>
      <c r="EV11" s="1017"/>
      <c r="EW11" s="1017"/>
      <c r="EX11" s="1017"/>
      <c r="EY11" s="1017"/>
      <c r="EZ11" s="1017"/>
      <c r="FA11" s="1017"/>
      <c r="FB11" s="1017"/>
      <c r="FC11" s="1017"/>
      <c r="FD11" s="1017"/>
      <c r="FE11" s="1017"/>
      <c r="FF11" s="1017"/>
      <c r="FG11" s="1017"/>
      <c r="FH11" s="1017"/>
      <c r="FI11" s="1017"/>
      <c r="FJ11" s="1017"/>
      <c r="FK11" s="1017"/>
      <c r="FL11" s="1017"/>
      <c r="FM11" s="1017"/>
      <c r="FN11" s="1017"/>
      <c r="FO11" s="1017"/>
      <c r="FP11" s="1017"/>
      <c r="FQ11" s="1017"/>
      <c r="FR11" s="1017"/>
      <c r="FS11" s="1017"/>
      <c r="FT11" s="1017"/>
      <c r="FU11" s="1017"/>
      <c r="FV11" s="1017"/>
      <c r="FW11" s="1013"/>
      <c r="FX11" s="60"/>
      <c r="GC11" s="990">
        <v>12</v>
      </c>
    </row>
    <row r="12" ht="12.75" customHeight="1">
      <c r="D12" s="994"/>
      <c r="E12" s="1015"/>
      <c r="F12" s="346"/>
      <c r="G12" s="346"/>
      <c r="H12" s="346"/>
      <c r="I12" s="346"/>
      <c r="J12" s="1016"/>
      <c r="K12" s="1016"/>
      <c r="L12" s="1016"/>
      <c r="M12" s="1016"/>
      <c r="N12" s="1016"/>
      <c r="O12" s="348" t="s">
        <v>1108</v>
      </c>
      <c r="P12" s="348"/>
      <c r="Q12" s="348"/>
      <c r="R12" s="348"/>
      <c r="S12" s="348" t="s">
        <v>1109</v>
      </c>
      <c r="T12" s="348"/>
      <c r="U12" s="348"/>
      <c r="V12" s="348"/>
      <c r="W12" s="348"/>
      <c r="X12" s="348"/>
      <c r="Y12" s="348"/>
      <c r="Z12" s="348"/>
      <c r="AA12" s="348"/>
      <c r="AB12" s="348"/>
      <c r="AC12" s="1017"/>
      <c r="AD12" s="1017"/>
      <c r="AE12" s="1017"/>
      <c r="AF12" s="1017"/>
      <c r="AG12" s="1017"/>
      <c r="AH12" s="1017"/>
      <c r="AI12" s="1017"/>
      <c r="AJ12" s="1017"/>
      <c r="AK12" s="1017"/>
      <c r="AL12" s="1017"/>
      <c r="AM12" s="1017"/>
      <c r="AN12" s="1017"/>
      <c r="AO12" s="1017"/>
      <c r="AP12" s="1017"/>
      <c r="AQ12" s="1017"/>
      <c r="AR12" s="1017"/>
      <c r="AS12" s="1017"/>
      <c r="AT12" s="1017"/>
      <c r="AU12" s="1017"/>
      <c r="AV12" s="1017"/>
      <c r="AW12" s="1017"/>
      <c r="AX12" s="1017"/>
      <c r="AY12" s="1017"/>
      <c r="AZ12" s="1017"/>
      <c r="BA12" s="1017"/>
      <c r="BB12" s="1017"/>
      <c r="BC12" s="1017"/>
      <c r="BD12" s="1017"/>
      <c r="BE12" s="1017"/>
      <c r="BF12" s="1017"/>
      <c r="BG12" s="1017"/>
      <c r="BH12" s="1017"/>
      <c r="BI12" s="1017"/>
      <c r="BJ12" s="1017"/>
      <c r="BK12" s="1017"/>
      <c r="BL12" s="1017"/>
      <c r="BM12" s="1017"/>
      <c r="BN12" s="1017"/>
      <c r="BO12" s="1017"/>
      <c r="BP12" s="1017"/>
      <c r="BQ12" s="1017"/>
      <c r="BR12" s="1017"/>
      <c r="BS12" s="1018"/>
      <c r="BT12" s="826" t="s">
        <v>1110</v>
      </c>
      <c r="BU12" s="827"/>
      <c r="BV12" s="827"/>
      <c r="BW12" s="1019"/>
      <c r="BX12" s="826" t="s">
        <v>1111</v>
      </c>
      <c r="BY12" s="827"/>
      <c r="BZ12" s="827"/>
      <c r="CA12" s="1019"/>
      <c r="CB12" s="826" t="s">
        <v>1112</v>
      </c>
      <c r="CC12" s="1019"/>
      <c r="CD12" s="826" t="s">
        <v>1113</v>
      </c>
      <c r="CE12" s="827"/>
      <c r="CF12" s="827"/>
      <c r="CG12" s="827"/>
      <c r="CH12" s="827"/>
      <c r="CI12" s="827"/>
      <c r="CJ12" s="827"/>
      <c r="CK12" s="1019"/>
      <c r="CL12" s="1020"/>
      <c r="CM12" s="1017"/>
      <c r="CN12" s="1017"/>
      <c r="CO12" s="1017"/>
      <c r="CP12" s="1017"/>
      <c r="CQ12" s="1017"/>
      <c r="CR12" s="1017"/>
      <c r="CS12" s="1017"/>
      <c r="CT12" s="1017"/>
      <c r="CU12" s="1017"/>
      <c r="CV12" s="1017"/>
      <c r="CW12" s="1017"/>
      <c r="CX12" s="1018"/>
      <c r="CY12" s="826" t="s">
        <v>1114</v>
      </c>
      <c r="CZ12" s="827"/>
      <c r="DA12" s="827"/>
      <c r="DB12" s="827"/>
      <c r="DC12" s="827"/>
      <c r="DD12" s="1019"/>
      <c r="DE12" s="826" t="s">
        <v>1115</v>
      </c>
      <c r="DF12" s="1019"/>
      <c r="DG12" s="826" t="s">
        <v>1113</v>
      </c>
      <c r="DH12" s="827"/>
      <c r="DI12" s="827"/>
      <c r="DJ12" s="1019"/>
      <c r="DK12" s="1020"/>
      <c r="DL12" s="1017"/>
      <c r="DM12" s="1017"/>
      <c r="DN12" s="1017"/>
      <c r="DO12" s="1017"/>
      <c r="DP12" s="1017"/>
      <c r="DQ12" s="1017"/>
      <c r="DR12" s="1017"/>
      <c r="DS12" s="1017"/>
      <c r="DT12" s="1017"/>
      <c r="DU12" s="1017"/>
      <c r="DV12" s="1017"/>
      <c r="DW12" s="1017"/>
      <c r="DX12" s="1017"/>
      <c r="DY12" s="1017"/>
      <c r="DZ12" s="1017"/>
      <c r="EA12" s="1017"/>
      <c r="EB12" s="1017"/>
      <c r="EC12" s="1017"/>
      <c r="ED12" s="1017"/>
      <c r="EE12" s="1017"/>
      <c r="EF12" s="1017"/>
      <c r="EG12" s="1017"/>
      <c r="EH12" s="1017"/>
      <c r="EI12" s="1017"/>
      <c r="EJ12" s="1017"/>
      <c r="EK12" s="1017"/>
      <c r="EL12" s="1017"/>
      <c r="EM12" s="1017"/>
      <c r="EN12" s="1017"/>
      <c r="EO12" s="1017"/>
      <c r="EP12" s="1017"/>
      <c r="EQ12" s="1017"/>
      <c r="ER12" s="1017"/>
      <c r="ES12" s="1017"/>
      <c r="ET12" s="1017"/>
      <c r="EU12" s="1017"/>
      <c r="EV12" s="1017"/>
      <c r="EW12" s="1017"/>
      <c r="EX12" s="1017"/>
      <c r="EY12" s="1017"/>
      <c r="EZ12" s="1017"/>
      <c r="FA12" s="1017"/>
      <c r="FB12" s="1017"/>
      <c r="FC12" s="1017"/>
      <c r="FD12" s="1017"/>
      <c r="FE12" s="1017"/>
      <c r="FF12" s="1017"/>
      <c r="FG12" s="1017"/>
      <c r="FH12" s="1017"/>
      <c r="FI12" s="1017"/>
      <c r="FJ12" s="1017"/>
      <c r="FK12" s="1017"/>
      <c r="FL12" s="1017"/>
      <c r="FM12" s="1017"/>
      <c r="FN12" s="1017"/>
      <c r="FO12" s="1017"/>
      <c r="FP12" s="1017"/>
      <c r="FQ12" s="1017"/>
      <c r="FR12" s="1017"/>
      <c r="FS12" s="1017"/>
      <c r="FT12" s="1017"/>
      <c r="FU12" s="1017"/>
      <c r="FV12" s="1017"/>
      <c r="FW12" s="1013"/>
      <c r="FX12" s="60"/>
      <c r="GC12" s="990">
        <v>12</v>
      </c>
    </row>
    <row r="13" ht="37.799999999999997" customHeight="1">
      <c r="D13" s="994"/>
      <c r="E13" s="1015"/>
      <c r="F13" s="346"/>
      <c r="G13" s="346"/>
      <c r="H13" s="346"/>
      <c r="I13" s="346"/>
      <c r="J13" s="1016"/>
      <c r="K13" s="1016"/>
      <c r="L13" s="1016"/>
      <c r="M13" s="1016"/>
      <c r="N13" s="1016"/>
      <c r="O13" s="348" t="s">
        <v>1116</v>
      </c>
      <c r="P13" s="348"/>
      <c r="Q13" s="348"/>
      <c r="R13" s="348"/>
      <c r="S13" s="661" t="s">
        <v>1117</v>
      </c>
      <c r="T13" s="828"/>
      <c r="U13" s="158" t="s">
        <v>1118</v>
      </c>
      <c r="V13" s="158"/>
      <c r="W13" s="158"/>
      <c r="X13" s="158"/>
      <c r="Y13" s="158" t="s">
        <v>1119</v>
      </c>
      <c r="Z13" s="158"/>
      <c r="AA13" s="158"/>
      <c r="AB13" s="158"/>
      <c r="AC13" s="1017"/>
      <c r="AD13" s="1017"/>
      <c r="AE13" s="1017"/>
      <c r="AF13" s="1017"/>
      <c r="AG13" s="1017"/>
      <c r="AH13" s="1017"/>
      <c r="AI13" s="1017"/>
      <c r="AJ13" s="1017"/>
      <c r="AK13" s="1017"/>
      <c r="AL13" s="1017"/>
      <c r="AM13" s="1017"/>
      <c r="AN13" s="1017"/>
      <c r="AO13" s="1017"/>
      <c r="AP13" s="1017"/>
      <c r="AQ13" s="1017"/>
      <c r="AR13" s="1017"/>
      <c r="AS13" s="1017"/>
      <c r="AT13" s="1017"/>
      <c r="AU13" s="1017"/>
      <c r="AV13" s="1017"/>
      <c r="AW13" s="1017"/>
      <c r="AX13" s="1017"/>
      <c r="AY13" s="1017"/>
      <c r="AZ13" s="1017"/>
      <c r="BA13" s="1017"/>
      <c r="BB13" s="1017"/>
      <c r="BC13" s="1017"/>
      <c r="BD13" s="1017"/>
      <c r="BE13" s="1017"/>
      <c r="BF13" s="1017"/>
      <c r="BG13" s="1017"/>
      <c r="BH13" s="1017"/>
      <c r="BI13" s="1017"/>
      <c r="BJ13" s="1017"/>
      <c r="BK13" s="1017"/>
      <c r="BL13" s="1017"/>
      <c r="BM13" s="1017"/>
      <c r="BN13" s="1017"/>
      <c r="BO13" s="1017"/>
      <c r="BP13" s="1017"/>
      <c r="BQ13" s="1017"/>
      <c r="BR13" s="1017"/>
      <c r="BS13" s="1018"/>
      <c r="BT13" s="661" t="s">
        <v>1120</v>
      </c>
      <c r="BU13" s="828"/>
      <c r="BV13" s="661" t="s">
        <v>1121</v>
      </c>
      <c r="BW13" s="828"/>
      <c r="BX13" s="661" t="s">
        <v>1122</v>
      </c>
      <c r="BY13" s="828"/>
      <c r="BZ13" s="661" t="s">
        <v>1123</v>
      </c>
      <c r="CA13" s="828"/>
      <c r="CB13" s="661" t="s">
        <v>1124</v>
      </c>
      <c r="CC13" s="828"/>
      <c r="CD13" s="661" t="s">
        <v>1125</v>
      </c>
      <c r="CE13" s="828"/>
      <c r="CF13" s="661" t="s">
        <v>1126</v>
      </c>
      <c r="CG13" s="828"/>
      <c r="CH13" s="826" t="s">
        <v>1127</v>
      </c>
      <c r="CI13" s="827"/>
      <c r="CJ13" s="827"/>
      <c r="CK13" s="1019"/>
      <c r="CL13" s="1020"/>
      <c r="CM13" s="1017"/>
      <c r="CN13" s="1017"/>
      <c r="CO13" s="1017"/>
      <c r="CP13" s="1017"/>
      <c r="CQ13" s="1017"/>
      <c r="CR13" s="1017"/>
      <c r="CS13" s="1017"/>
      <c r="CT13" s="1017"/>
      <c r="CU13" s="1017"/>
      <c r="CV13" s="1017"/>
      <c r="CW13" s="1017"/>
      <c r="CX13" s="1018"/>
      <c r="CY13" s="661" t="s">
        <v>1128</v>
      </c>
      <c r="CZ13" s="828"/>
      <c r="DA13" s="661" t="s">
        <v>1129</v>
      </c>
      <c r="DB13" s="828"/>
      <c r="DC13" s="661" t="s">
        <v>1130</v>
      </c>
      <c r="DD13" s="828"/>
      <c r="DE13" s="661" t="s">
        <v>1131</v>
      </c>
      <c r="DF13" s="828"/>
      <c r="DG13" s="826" t="s">
        <v>1132</v>
      </c>
      <c r="DH13" s="827"/>
      <c r="DI13" s="827"/>
      <c r="DJ13" s="1019"/>
      <c r="DK13" s="1020"/>
      <c r="DL13" s="1017"/>
      <c r="DM13" s="1017"/>
      <c r="DN13" s="1017"/>
      <c r="DO13" s="1017"/>
      <c r="DP13" s="1017"/>
      <c r="DQ13" s="1017"/>
      <c r="DR13" s="1017"/>
      <c r="DS13" s="1017"/>
      <c r="DT13" s="1017"/>
      <c r="DU13" s="1017"/>
      <c r="DV13" s="1017"/>
      <c r="DW13" s="1017"/>
      <c r="DX13" s="1017"/>
      <c r="DY13" s="1017"/>
      <c r="DZ13" s="1017"/>
      <c r="EA13" s="1017"/>
      <c r="EB13" s="1017"/>
      <c r="EC13" s="1017"/>
      <c r="ED13" s="1017"/>
      <c r="EE13" s="1017"/>
      <c r="EF13" s="1017"/>
      <c r="EG13" s="1017"/>
      <c r="EH13" s="1017"/>
      <c r="EI13" s="1017"/>
      <c r="EJ13" s="1017"/>
      <c r="EK13" s="1017"/>
      <c r="EL13" s="1017"/>
      <c r="EM13" s="1017"/>
      <c r="EN13" s="1017"/>
      <c r="EO13" s="1017"/>
      <c r="EP13" s="1017"/>
      <c r="EQ13" s="1017"/>
      <c r="ER13" s="1017"/>
      <c r="ES13" s="1017"/>
      <c r="ET13" s="1017"/>
      <c r="EU13" s="1017"/>
      <c r="EV13" s="1017"/>
      <c r="EW13" s="1017"/>
      <c r="EX13" s="1017"/>
      <c r="EY13" s="1017"/>
      <c r="EZ13" s="1017"/>
      <c r="FA13" s="1017"/>
      <c r="FB13" s="1017"/>
      <c r="FC13" s="1017"/>
      <c r="FD13" s="1017"/>
      <c r="FE13" s="1017"/>
      <c r="FF13" s="1017"/>
      <c r="FG13" s="1017"/>
      <c r="FH13" s="1017"/>
      <c r="FI13" s="1017"/>
      <c r="FJ13" s="1017"/>
      <c r="FK13" s="1017"/>
      <c r="FL13" s="1017"/>
      <c r="FM13" s="1017"/>
      <c r="FN13" s="1017"/>
      <c r="FO13" s="1017"/>
      <c r="FP13" s="1017"/>
      <c r="FQ13" s="1017"/>
      <c r="FR13" s="1017"/>
      <c r="FS13" s="1017"/>
      <c r="FT13" s="1017"/>
      <c r="FU13" s="1017"/>
      <c r="FV13" s="1017"/>
      <c r="FW13" s="1013"/>
      <c r="FX13" s="60"/>
      <c r="GC13" s="990">
        <v>36</v>
      </c>
    </row>
    <row r="14" ht="37.799999999999997" customHeight="1">
      <c r="D14" s="994"/>
      <c r="E14" s="1015"/>
      <c r="F14" s="346"/>
      <c r="G14" s="346"/>
      <c r="H14" s="346"/>
      <c r="I14" s="346"/>
      <c r="J14" s="1016"/>
      <c r="K14" s="1016"/>
      <c r="L14" s="1016"/>
      <c r="M14" s="1016"/>
      <c r="N14" s="1016"/>
      <c r="O14" s="661" t="s">
        <v>1133</v>
      </c>
      <c r="P14" s="828"/>
      <c r="Q14" s="661" t="s">
        <v>1134</v>
      </c>
      <c r="R14" s="828"/>
      <c r="S14" s="664"/>
      <c r="T14" s="361"/>
      <c r="U14" s="661" t="s">
        <v>830</v>
      </c>
      <c r="V14" s="828"/>
      <c r="W14" s="661" t="s">
        <v>833</v>
      </c>
      <c r="X14" s="828"/>
      <c r="Y14" s="661" t="s">
        <v>830</v>
      </c>
      <c r="Z14" s="828"/>
      <c r="AA14" s="661" t="s">
        <v>840</v>
      </c>
      <c r="AB14" s="828"/>
      <c r="AC14" s="1017"/>
      <c r="AD14" s="1017"/>
      <c r="AE14" s="1017"/>
      <c r="AF14" s="1017"/>
      <c r="AG14" s="1017"/>
      <c r="AH14" s="1017"/>
      <c r="AI14" s="1017"/>
      <c r="AJ14" s="1017"/>
      <c r="AK14" s="1017"/>
      <c r="AL14" s="1017"/>
      <c r="AM14" s="1017"/>
      <c r="AN14" s="1017"/>
      <c r="AO14" s="1017"/>
      <c r="AP14" s="1017"/>
      <c r="AQ14" s="1017"/>
      <c r="AR14" s="1017"/>
      <c r="AS14" s="1017"/>
      <c r="AT14" s="1017"/>
      <c r="AU14" s="1017"/>
      <c r="AV14" s="1017"/>
      <c r="AW14" s="1017"/>
      <c r="AX14" s="1017"/>
      <c r="AY14" s="1017"/>
      <c r="AZ14" s="1017"/>
      <c r="BA14" s="1017"/>
      <c r="BB14" s="1017"/>
      <c r="BC14" s="1017"/>
      <c r="BD14" s="1017"/>
      <c r="BE14" s="1017"/>
      <c r="BF14" s="1017"/>
      <c r="BG14" s="1017"/>
      <c r="BH14" s="1017"/>
      <c r="BI14" s="1017"/>
      <c r="BJ14" s="1017"/>
      <c r="BK14" s="1017"/>
      <c r="BL14" s="1017"/>
      <c r="BM14" s="1017"/>
      <c r="BN14" s="1017"/>
      <c r="BO14" s="1017"/>
      <c r="BP14" s="1017"/>
      <c r="BQ14" s="1017"/>
      <c r="BR14" s="1017"/>
      <c r="BS14" s="1018"/>
      <c r="BT14" s="664"/>
      <c r="BU14" s="361"/>
      <c r="BV14" s="664"/>
      <c r="BW14" s="361"/>
      <c r="BX14" s="664"/>
      <c r="BY14" s="361"/>
      <c r="BZ14" s="664"/>
      <c r="CA14" s="361"/>
      <c r="CB14" s="664"/>
      <c r="CC14" s="361"/>
      <c r="CD14" s="664"/>
      <c r="CE14" s="361"/>
      <c r="CF14" s="664"/>
      <c r="CG14" s="361"/>
      <c r="CH14" s="661" t="s">
        <v>1135</v>
      </c>
      <c r="CI14" s="828"/>
      <c r="CJ14" s="661" t="s">
        <v>1136</v>
      </c>
      <c r="CK14" s="828"/>
      <c r="CL14" s="1020"/>
      <c r="CM14" s="1017"/>
      <c r="CN14" s="1017"/>
      <c r="CO14" s="1017"/>
      <c r="CP14" s="1017"/>
      <c r="CQ14" s="1017"/>
      <c r="CR14" s="1017"/>
      <c r="CS14" s="1017"/>
      <c r="CT14" s="1017"/>
      <c r="CU14" s="1017"/>
      <c r="CV14" s="1017"/>
      <c r="CW14" s="1017"/>
      <c r="CX14" s="1018"/>
      <c r="CY14" s="664"/>
      <c r="CZ14" s="361"/>
      <c r="DA14" s="664"/>
      <c r="DB14" s="361"/>
      <c r="DC14" s="664"/>
      <c r="DD14" s="361"/>
      <c r="DE14" s="664"/>
      <c r="DF14" s="361"/>
      <c r="DG14" s="661" t="s">
        <v>1137</v>
      </c>
      <c r="DH14" s="828"/>
      <c r="DI14" s="661" t="s">
        <v>1138</v>
      </c>
      <c r="DJ14" s="828"/>
      <c r="DK14" s="1020"/>
      <c r="DL14" s="1017"/>
      <c r="DM14" s="1017"/>
      <c r="DN14" s="1017"/>
      <c r="DO14" s="1017"/>
      <c r="DP14" s="1017"/>
      <c r="DQ14" s="1017"/>
      <c r="DR14" s="1017"/>
      <c r="DS14" s="1017"/>
      <c r="DT14" s="1017"/>
      <c r="DU14" s="1017"/>
      <c r="DV14" s="1017"/>
      <c r="DW14" s="1017"/>
      <c r="DX14" s="1017"/>
      <c r="DY14" s="1017"/>
      <c r="DZ14" s="1017"/>
      <c r="EA14" s="1017"/>
      <c r="EB14" s="1017"/>
      <c r="EC14" s="1017"/>
      <c r="ED14" s="1017"/>
      <c r="EE14" s="1017"/>
      <c r="EF14" s="1017"/>
      <c r="EG14" s="1017"/>
      <c r="EH14" s="1017"/>
      <c r="EI14" s="1017"/>
      <c r="EJ14" s="1017"/>
      <c r="EK14" s="1017"/>
      <c r="EL14" s="1017"/>
      <c r="EM14" s="1017"/>
      <c r="EN14" s="1017"/>
      <c r="EO14" s="1017"/>
      <c r="EP14" s="1017"/>
      <c r="EQ14" s="1017"/>
      <c r="ER14" s="1017"/>
      <c r="ES14" s="1017"/>
      <c r="ET14" s="1017"/>
      <c r="EU14" s="1017"/>
      <c r="EV14" s="1017"/>
      <c r="EW14" s="1017"/>
      <c r="EX14" s="1017"/>
      <c r="EY14" s="1017"/>
      <c r="EZ14" s="1017"/>
      <c r="FA14" s="1017"/>
      <c r="FB14" s="1017"/>
      <c r="FC14" s="1017"/>
      <c r="FD14" s="1017"/>
      <c r="FE14" s="1017"/>
      <c r="FF14" s="1017"/>
      <c r="FG14" s="1017"/>
      <c r="FH14" s="1017"/>
      <c r="FI14" s="1017"/>
      <c r="FJ14" s="1017"/>
      <c r="FK14" s="1017"/>
      <c r="FL14" s="1017"/>
      <c r="FM14" s="1017"/>
      <c r="FN14" s="1017"/>
      <c r="FO14" s="1017"/>
      <c r="FP14" s="1017"/>
      <c r="FQ14" s="1017"/>
      <c r="FR14" s="1017"/>
      <c r="FS14" s="1017"/>
      <c r="FT14" s="1017"/>
      <c r="FU14" s="1017"/>
      <c r="FV14" s="1017"/>
      <c r="FW14" s="1013"/>
      <c r="FX14" s="60"/>
      <c r="GC14" s="990">
        <v>36</v>
      </c>
    </row>
    <row r="15" ht="37.799999999999997" customHeight="1">
      <c r="D15" s="994"/>
      <c r="E15" s="1015"/>
      <c r="F15" s="346"/>
      <c r="G15" s="346"/>
      <c r="H15" s="346"/>
      <c r="I15" s="346"/>
      <c r="J15" s="1016"/>
      <c r="K15" s="1016"/>
      <c r="L15" s="1016"/>
      <c r="M15" s="1016"/>
      <c r="N15" s="1016"/>
      <c r="O15" s="670"/>
      <c r="P15" s="694"/>
      <c r="Q15" s="670"/>
      <c r="R15" s="694"/>
      <c r="S15" s="670"/>
      <c r="T15" s="694"/>
      <c r="U15" s="670"/>
      <c r="V15" s="694"/>
      <c r="W15" s="670"/>
      <c r="X15" s="694"/>
      <c r="Y15" s="670"/>
      <c r="Z15" s="694"/>
      <c r="AA15" s="670"/>
      <c r="AB15" s="694"/>
      <c r="AC15" s="1017"/>
      <c r="AD15" s="1017"/>
      <c r="AE15" s="1017"/>
      <c r="AF15" s="1017"/>
      <c r="AG15" s="1017"/>
      <c r="AH15" s="1017"/>
      <c r="AI15" s="1017"/>
      <c r="AJ15" s="1017"/>
      <c r="AK15" s="1017"/>
      <c r="AL15" s="1017"/>
      <c r="AM15" s="1017"/>
      <c r="AN15" s="1017"/>
      <c r="AO15" s="1017"/>
      <c r="AP15" s="1017"/>
      <c r="AQ15" s="1017"/>
      <c r="AR15" s="1017"/>
      <c r="AS15" s="1017"/>
      <c r="AT15" s="1017"/>
      <c r="AU15" s="1017"/>
      <c r="AV15" s="1017"/>
      <c r="AW15" s="1017"/>
      <c r="AX15" s="1017"/>
      <c r="AY15" s="1017"/>
      <c r="AZ15" s="1017"/>
      <c r="BA15" s="1017"/>
      <c r="BB15" s="1017"/>
      <c r="BC15" s="1017"/>
      <c r="BD15" s="1017"/>
      <c r="BE15" s="1017"/>
      <c r="BF15" s="1017"/>
      <c r="BG15" s="1017"/>
      <c r="BH15" s="1017"/>
      <c r="BI15" s="1017"/>
      <c r="BJ15" s="1017"/>
      <c r="BK15" s="1017"/>
      <c r="BL15" s="1017"/>
      <c r="BM15" s="1017"/>
      <c r="BN15" s="1017"/>
      <c r="BO15" s="1017"/>
      <c r="BP15" s="1017"/>
      <c r="BQ15" s="1017"/>
      <c r="BR15" s="1017"/>
      <c r="BS15" s="1018"/>
      <c r="BT15" s="670"/>
      <c r="BU15" s="694"/>
      <c r="BV15" s="670"/>
      <c r="BW15" s="694"/>
      <c r="BX15" s="670"/>
      <c r="BY15" s="694"/>
      <c r="BZ15" s="670"/>
      <c r="CA15" s="694"/>
      <c r="CB15" s="670"/>
      <c r="CC15" s="694"/>
      <c r="CD15" s="670"/>
      <c r="CE15" s="694"/>
      <c r="CF15" s="670"/>
      <c r="CG15" s="694"/>
      <c r="CH15" s="670"/>
      <c r="CI15" s="694"/>
      <c r="CJ15" s="670"/>
      <c r="CK15" s="694"/>
      <c r="CL15" s="1020"/>
      <c r="CM15" s="1017"/>
      <c r="CN15" s="1017"/>
      <c r="CO15" s="1017"/>
      <c r="CP15" s="1017"/>
      <c r="CQ15" s="1017"/>
      <c r="CR15" s="1017"/>
      <c r="CS15" s="1017"/>
      <c r="CT15" s="1017"/>
      <c r="CU15" s="1017"/>
      <c r="CV15" s="1017"/>
      <c r="CW15" s="1017"/>
      <c r="CX15" s="1018"/>
      <c r="CY15" s="670"/>
      <c r="CZ15" s="694"/>
      <c r="DA15" s="670"/>
      <c r="DB15" s="694"/>
      <c r="DC15" s="670"/>
      <c r="DD15" s="694"/>
      <c r="DE15" s="670"/>
      <c r="DF15" s="694"/>
      <c r="DG15" s="670"/>
      <c r="DH15" s="694"/>
      <c r="DI15" s="670"/>
      <c r="DJ15" s="694"/>
      <c r="DK15" s="1020"/>
      <c r="DL15" s="1017"/>
      <c r="DM15" s="1017"/>
      <c r="DN15" s="1017"/>
      <c r="DO15" s="1017"/>
      <c r="DP15" s="1017"/>
      <c r="DQ15" s="1017"/>
      <c r="DR15" s="1017"/>
      <c r="DS15" s="1017"/>
      <c r="DT15" s="1017"/>
      <c r="DU15" s="1017"/>
      <c r="DV15" s="1017"/>
      <c r="DW15" s="1017"/>
      <c r="DX15" s="1017"/>
      <c r="DY15" s="1017"/>
      <c r="DZ15" s="1017"/>
      <c r="EA15" s="1017"/>
      <c r="EB15" s="1017"/>
      <c r="EC15" s="1017"/>
      <c r="ED15" s="1017"/>
      <c r="EE15" s="1017"/>
      <c r="EF15" s="1017"/>
      <c r="EG15" s="1017"/>
      <c r="EH15" s="1017"/>
      <c r="EI15" s="1017"/>
      <c r="EJ15" s="1017"/>
      <c r="EK15" s="1017"/>
      <c r="EL15" s="1017"/>
      <c r="EM15" s="1017"/>
      <c r="EN15" s="1017"/>
      <c r="EO15" s="1017"/>
      <c r="EP15" s="1017"/>
      <c r="EQ15" s="1017"/>
      <c r="ER15" s="1017"/>
      <c r="ES15" s="1017"/>
      <c r="ET15" s="1017"/>
      <c r="EU15" s="1017"/>
      <c r="EV15" s="1017"/>
      <c r="EW15" s="1017"/>
      <c r="EX15" s="1017"/>
      <c r="EY15" s="1017"/>
      <c r="EZ15" s="1017"/>
      <c r="FA15" s="1017"/>
      <c r="FB15" s="1017"/>
      <c r="FC15" s="1017"/>
      <c r="FD15" s="1017"/>
      <c r="FE15" s="1017"/>
      <c r="FF15" s="1017"/>
      <c r="FG15" s="1017"/>
      <c r="FH15" s="1017"/>
      <c r="FI15" s="1017"/>
      <c r="FJ15" s="1017"/>
      <c r="FK15" s="1017"/>
      <c r="FL15" s="1017"/>
      <c r="FM15" s="1017"/>
      <c r="FN15" s="1017"/>
      <c r="FO15" s="1017"/>
      <c r="FP15" s="1017"/>
      <c r="FQ15" s="1017"/>
      <c r="FR15" s="1017"/>
      <c r="FS15" s="1017"/>
      <c r="FT15" s="1017"/>
      <c r="FU15" s="1017"/>
      <c r="FV15" s="1017"/>
      <c r="FW15" s="1013"/>
      <c r="FX15" s="60"/>
      <c r="GC15" s="990">
        <v>36</v>
      </c>
    </row>
    <row r="16" ht="12.75" customHeight="1">
      <c r="D16" s="994"/>
      <c r="E16" s="1015"/>
      <c r="F16" s="346"/>
      <c r="G16" s="346"/>
      <c r="H16" s="346"/>
      <c r="I16" s="346"/>
      <c r="J16" s="1016"/>
      <c r="K16" s="1016"/>
      <c r="L16" s="1016"/>
      <c r="M16" s="1016"/>
      <c r="N16" s="1016"/>
      <c r="O16" s="826" t="s">
        <v>820</v>
      </c>
      <c r="P16" s="1019"/>
      <c r="Q16" s="826" t="s">
        <v>822</v>
      </c>
      <c r="R16" s="1019"/>
      <c r="S16" s="826" t="s">
        <v>826</v>
      </c>
      <c r="T16" s="1019"/>
      <c r="U16" s="826" t="s">
        <v>831</v>
      </c>
      <c r="V16" s="1019"/>
      <c r="W16" s="826" t="s">
        <v>834</v>
      </c>
      <c r="X16" s="1019"/>
      <c r="Y16" s="826" t="s">
        <v>838</v>
      </c>
      <c r="Z16" s="1019"/>
      <c r="AA16" s="826" t="s">
        <v>841</v>
      </c>
      <c r="AB16" s="1019"/>
      <c r="AC16" s="1017"/>
      <c r="AD16" s="1017"/>
      <c r="AE16" s="1017"/>
      <c r="AF16" s="1017"/>
      <c r="AG16" s="1017"/>
      <c r="AH16" s="1017"/>
      <c r="AI16" s="1017"/>
      <c r="AJ16" s="1017"/>
      <c r="AK16" s="1017"/>
      <c r="AL16" s="1017"/>
      <c r="AM16" s="1017"/>
      <c r="AN16" s="1017"/>
      <c r="AO16" s="1017"/>
      <c r="AP16" s="1017"/>
      <c r="AQ16" s="1017"/>
      <c r="AR16" s="1017"/>
      <c r="AS16" s="1017"/>
      <c r="AT16" s="1017"/>
      <c r="AU16" s="1017"/>
      <c r="AV16" s="1017"/>
      <c r="AW16" s="1017"/>
      <c r="AX16" s="1017"/>
      <c r="AY16" s="1017"/>
      <c r="AZ16" s="1017"/>
      <c r="BA16" s="1017"/>
      <c r="BB16" s="1017"/>
      <c r="BC16" s="1017"/>
      <c r="BD16" s="1017"/>
      <c r="BE16" s="1017"/>
      <c r="BF16" s="1017"/>
      <c r="BG16" s="1017"/>
      <c r="BH16" s="1017"/>
      <c r="BI16" s="1017"/>
      <c r="BJ16" s="1017"/>
      <c r="BK16" s="1017"/>
      <c r="BL16" s="1017"/>
      <c r="BM16" s="1017"/>
      <c r="BN16" s="1017"/>
      <c r="BO16" s="1017"/>
      <c r="BP16" s="1017"/>
      <c r="BQ16" s="1017"/>
      <c r="BR16" s="1017"/>
      <c r="BS16" s="1018"/>
      <c r="BT16" s="826" t="s">
        <v>552</v>
      </c>
      <c r="BU16" s="1019"/>
      <c r="BV16" s="826" t="s">
        <v>552</v>
      </c>
      <c r="BW16" s="1019"/>
      <c r="BX16" s="826" t="s">
        <v>552</v>
      </c>
      <c r="BY16" s="1019"/>
      <c r="BZ16" s="826" t="s">
        <v>552</v>
      </c>
      <c r="CA16" s="1019"/>
      <c r="CB16" s="826" t="s">
        <v>1139</v>
      </c>
      <c r="CC16" s="1019"/>
      <c r="CD16" s="826" t="s">
        <v>552</v>
      </c>
      <c r="CE16" s="1019"/>
      <c r="CF16" s="826" t="s">
        <v>1140</v>
      </c>
      <c r="CG16" s="1019"/>
      <c r="CH16" s="826" t="s">
        <v>1141</v>
      </c>
      <c r="CI16" s="1019"/>
      <c r="CJ16" s="826" t="s">
        <v>1141</v>
      </c>
      <c r="CK16" s="1019"/>
      <c r="CL16" s="1020"/>
      <c r="CM16" s="1017"/>
      <c r="CN16" s="1017"/>
      <c r="CO16" s="1017"/>
      <c r="CP16" s="1017"/>
      <c r="CQ16" s="1017"/>
      <c r="CR16" s="1017"/>
      <c r="CS16" s="1017"/>
      <c r="CT16" s="1017"/>
      <c r="CU16" s="1017"/>
      <c r="CV16" s="1017"/>
      <c r="CW16" s="1017"/>
      <c r="CX16" s="1018"/>
      <c r="CY16" s="661" t="s">
        <v>552</v>
      </c>
      <c r="CZ16" s="828"/>
      <c r="DA16" s="661" t="s">
        <v>552</v>
      </c>
      <c r="DB16" s="828"/>
      <c r="DC16" s="661" t="s">
        <v>552</v>
      </c>
      <c r="DD16" s="828"/>
      <c r="DE16" s="826" t="s">
        <v>1139</v>
      </c>
      <c r="DF16" s="1019"/>
      <c r="DG16" s="826" t="s">
        <v>1142</v>
      </c>
      <c r="DH16" s="1019"/>
      <c r="DI16" s="826" t="s">
        <v>1142</v>
      </c>
      <c r="DJ16" s="1019"/>
      <c r="DK16" s="1020"/>
      <c r="DL16" s="1017"/>
      <c r="DM16" s="1017"/>
      <c r="DN16" s="1017"/>
      <c r="DO16" s="1017"/>
      <c r="DP16" s="1017"/>
      <c r="DQ16" s="1017"/>
      <c r="DR16" s="1017"/>
      <c r="DS16" s="1017"/>
      <c r="DT16" s="1017"/>
      <c r="DU16" s="1017"/>
      <c r="DV16" s="1017"/>
      <c r="DW16" s="1017"/>
      <c r="DX16" s="1017"/>
      <c r="DY16" s="1017"/>
      <c r="DZ16" s="1017"/>
      <c r="EA16" s="1017"/>
      <c r="EB16" s="1017"/>
      <c r="EC16" s="1017"/>
      <c r="ED16" s="1017"/>
      <c r="EE16" s="1017"/>
      <c r="EF16" s="1017"/>
      <c r="EG16" s="1017"/>
      <c r="EH16" s="1017"/>
      <c r="EI16" s="1017"/>
      <c r="EJ16" s="1017"/>
      <c r="EK16" s="1017"/>
      <c r="EL16" s="1017"/>
      <c r="EM16" s="1017"/>
      <c r="EN16" s="1017"/>
      <c r="EO16" s="1017"/>
      <c r="EP16" s="1017"/>
      <c r="EQ16" s="1017"/>
      <c r="ER16" s="1017"/>
      <c r="ES16" s="1017"/>
      <c r="ET16" s="1017"/>
      <c r="EU16" s="1017"/>
      <c r="EV16" s="1017"/>
      <c r="EW16" s="1017"/>
      <c r="EX16" s="1017"/>
      <c r="EY16" s="1017"/>
      <c r="EZ16" s="1017"/>
      <c r="FA16" s="1017"/>
      <c r="FB16" s="1017"/>
      <c r="FC16" s="1017"/>
      <c r="FD16" s="1017"/>
      <c r="FE16" s="1017"/>
      <c r="FF16" s="1017"/>
      <c r="FG16" s="1017"/>
      <c r="FH16" s="1017"/>
      <c r="FI16" s="1017"/>
      <c r="FJ16" s="1017"/>
      <c r="FK16" s="1017"/>
      <c r="FL16" s="1017"/>
      <c r="FM16" s="1017"/>
      <c r="FN16" s="1017"/>
      <c r="FO16" s="1017"/>
      <c r="FP16" s="1017"/>
      <c r="FQ16" s="1017"/>
      <c r="FR16" s="1017"/>
      <c r="FS16" s="1017"/>
      <c r="FT16" s="1017"/>
      <c r="FU16" s="1017"/>
      <c r="FV16" s="1017"/>
      <c r="FW16" s="1013"/>
      <c r="FX16" s="60"/>
      <c r="GC16" s="990">
        <v>12</v>
      </c>
    </row>
    <row r="17" ht="15.75" customHeight="1">
      <c r="E17" s="1015"/>
      <c r="F17" s="346"/>
      <c r="G17" s="346"/>
      <c r="H17" s="346"/>
      <c r="I17" s="346"/>
      <c r="J17" s="1016"/>
      <c r="K17" s="1016"/>
      <c r="L17" s="1016"/>
      <c r="M17" s="1016"/>
      <c r="N17" s="1016"/>
      <c r="O17" s="348" t="s">
        <v>1143</v>
      </c>
      <c r="P17" s="348" t="s">
        <v>1144</v>
      </c>
      <c r="Q17" s="348" t="s">
        <v>1143</v>
      </c>
      <c r="R17" s="348" t="s">
        <v>1144</v>
      </c>
      <c r="S17" s="348" t="s">
        <v>1143</v>
      </c>
      <c r="T17" s="348" t="s">
        <v>1144</v>
      </c>
      <c r="U17" s="348" t="s">
        <v>1143</v>
      </c>
      <c r="V17" s="348" t="s">
        <v>1144</v>
      </c>
      <c r="W17" s="348" t="s">
        <v>1143</v>
      </c>
      <c r="X17" s="348" t="s">
        <v>1144</v>
      </c>
      <c r="Y17" s="348" t="s">
        <v>1143</v>
      </c>
      <c r="Z17" s="348" t="s">
        <v>1144</v>
      </c>
      <c r="AA17" s="348" t="s">
        <v>1143</v>
      </c>
      <c r="AB17" s="348" t="s">
        <v>1144</v>
      </c>
      <c r="AC17" s="1017"/>
      <c r="AD17" s="1017"/>
      <c r="AE17" s="1017"/>
      <c r="AF17" s="1017"/>
      <c r="AG17" s="1017"/>
      <c r="AH17" s="1017"/>
      <c r="AI17" s="1017"/>
      <c r="AJ17" s="1017"/>
      <c r="AK17" s="1017"/>
      <c r="AL17" s="1017"/>
      <c r="AM17" s="1017"/>
      <c r="AN17" s="1017"/>
      <c r="AO17" s="1017"/>
      <c r="AP17" s="1017"/>
      <c r="AQ17" s="1017"/>
      <c r="AR17" s="1017"/>
      <c r="AS17" s="1017"/>
      <c r="AT17" s="1017"/>
      <c r="AU17" s="1017"/>
      <c r="AV17" s="1017"/>
      <c r="AW17" s="1017"/>
      <c r="AX17" s="1017"/>
      <c r="AY17" s="1017"/>
      <c r="AZ17" s="1017"/>
      <c r="BA17" s="1017"/>
      <c r="BB17" s="1017"/>
      <c r="BC17" s="1017"/>
      <c r="BD17" s="1017"/>
      <c r="BE17" s="1017"/>
      <c r="BF17" s="1017"/>
      <c r="BG17" s="1017"/>
      <c r="BH17" s="1017"/>
      <c r="BI17" s="1017"/>
      <c r="BJ17" s="1017"/>
      <c r="BK17" s="1017"/>
      <c r="BL17" s="1017"/>
      <c r="BM17" s="1017"/>
      <c r="BN17" s="1017"/>
      <c r="BO17" s="1017"/>
      <c r="BP17" s="1017"/>
      <c r="BQ17" s="1017"/>
      <c r="BR17" s="1017"/>
      <c r="BS17" s="1018"/>
      <c r="BT17" s="348" t="s">
        <v>1143</v>
      </c>
      <c r="BU17" s="348" t="s">
        <v>1144</v>
      </c>
      <c r="BV17" s="348" t="s">
        <v>1143</v>
      </c>
      <c r="BW17" s="348" t="s">
        <v>1144</v>
      </c>
      <c r="BX17" s="348" t="s">
        <v>1143</v>
      </c>
      <c r="BY17" s="348" t="s">
        <v>1144</v>
      </c>
      <c r="BZ17" s="348" t="s">
        <v>1143</v>
      </c>
      <c r="CA17" s="348" t="s">
        <v>1144</v>
      </c>
      <c r="CB17" s="348" t="s">
        <v>1143</v>
      </c>
      <c r="CC17" s="348" t="s">
        <v>1144</v>
      </c>
      <c r="CD17" s="348" t="s">
        <v>1143</v>
      </c>
      <c r="CE17" s="348" t="s">
        <v>1144</v>
      </c>
      <c r="CF17" s="348" t="s">
        <v>1143</v>
      </c>
      <c r="CG17" s="348" t="s">
        <v>1144</v>
      </c>
      <c r="CH17" s="348" t="s">
        <v>1143</v>
      </c>
      <c r="CI17" s="348" t="s">
        <v>1144</v>
      </c>
      <c r="CJ17" s="348" t="s">
        <v>1143</v>
      </c>
      <c r="CK17" s="348" t="s">
        <v>1144</v>
      </c>
      <c r="CL17" s="1020"/>
      <c r="CM17" s="1017"/>
      <c r="CN17" s="1017"/>
      <c r="CO17" s="1017"/>
      <c r="CP17" s="1017"/>
      <c r="CQ17" s="1017"/>
      <c r="CR17" s="1017"/>
      <c r="CS17" s="1017"/>
      <c r="CT17" s="1017"/>
      <c r="CU17" s="1017"/>
      <c r="CV17" s="1017"/>
      <c r="CW17" s="1017"/>
      <c r="CX17" s="1018"/>
      <c r="CY17" s="348" t="s">
        <v>1143</v>
      </c>
      <c r="CZ17" s="348" t="s">
        <v>1144</v>
      </c>
      <c r="DA17" s="348" t="s">
        <v>1143</v>
      </c>
      <c r="DB17" s="348" t="s">
        <v>1144</v>
      </c>
      <c r="DC17" s="348" t="s">
        <v>1143</v>
      </c>
      <c r="DD17" s="348" t="s">
        <v>1144</v>
      </c>
      <c r="DE17" s="348" t="s">
        <v>1143</v>
      </c>
      <c r="DF17" s="348" t="s">
        <v>1144</v>
      </c>
      <c r="DG17" s="348" t="s">
        <v>1143</v>
      </c>
      <c r="DH17" s="348" t="s">
        <v>1144</v>
      </c>
      <c r="DI17" s="348" t="s">
        <v>1143</v>
      </c>
      <c r="DJ17" s="348" t="s">
        <v>1144</v>
      </c>
      <c r="DK17" s="1020"/>
      <c r="DL17" s="1017"/>
      <c r="DM17" s="1017"/>
      <c r="DN17" s="1017"/>
      <c r="DO17" s="1017"/>
      <c r="DP17" s="1017"/>
      <c r="DQ17" s="1017"/>
      <c r="DR17" s="1017"/>
      <c r="DS17" s="1017"/>
      <c r="DT17" s="1017"/>
      <c r="DU17" s="1017"/>
      <c r="DV17" s="1017"/>
      <c r="DW17" s="1017"/>
      <c r="DX17" s="1017"/>
      <c r="DY17" s="1017"/>
      <c r="DZ17" s="1017"/>
      <c r="EA17" s="1017"/>
      <c r="EB17" s="1017"/>
      <c r="EC17" s="1017"/>
      <c r="ED17" s="1017"/>
      <c r="EE17" s="1017"/>
      <c r="EF17" s="1017"/>
      <c r="EG17" s="1017"/>
      <c r="EH17" s="1017"/>
      <c r="EI17" s="1017"/>
      <c r="EJ17" s="1017"/>
      <c r="EK17" s="1017"/>
      <c r="EL17" s="1017"/>
      <c r="EM17" s="1017"/>
      <c r="EN17" s="1017"/>
      <c r="EO17" s="1017"/>
      <c r="EP17" s="1017"/>
      <c r="EQ17" s="1017"/>
      <c r="ER17" s="1017"/>
      <c r="ES17" s="1017"/>
      <c r="ET17" s="1017"/>
      <c r="EU17" s="1017"/>
      <c r="EV17" s="1017"/>
      <c r="EW17" s="1017"/>
      <c r="EX17" s="1017"/>
      <c r="EY17" s="1017"/>
      <c r="EZ17" s="1017"/>
      <c r="FA17" s="1017"/>
      <c r="FB17" s="1017"/>
      <c r="FC17" s="1017"/>
      <c r="FD17" s="1017"/>
      <c r="FE17" s="1017"/>
      <c r="FF17" s="1017"/>
      <c r="FG17" s="1017"/>
      <c r="FH17" s="1017"/>
      <c r="FI17" s="1017"/>
      <c r="FJ17" s="1017"/>
      <c r="FK17" s="1017"/>
      <c r="FL17" s="1017"/>
      <c r="FM17" s="1017"/>
      <c r="FN17" s="1017"/>
      <c r="FO17" s="1017"/>
      <c r="FP17" s="1017"/>
      <c r="FQ17" s="1017"/>
      <c r="FR17" s="1017"/>
      <c r="FS17" s="1017"/>
      <c r="FT17" s="1017"/>
      <c r="FU17" s="1017"/>
      <c r="FV17" s="1017"/>
      <c r="FW17" s="1021"/>
      <c r="FX17" s="60"/>
      <c r="GC17" s="990">
        <v>15</v>
      </c>
    </row>
    <row r="18" s="992" customFormat="1" ht="12" hidden="1" customHeight="1">
      <c r="B18" s="993"/>
      <c r="E18" s="1022"/>
      <c r="F18" s="1023"/>
      <c r="G18" s="1023"/>
      <c r="H18" s="1023"/>
      <c r="I18" s="1023"/>
      <c r="J18" s="1024"/>
      <c r="K18" s="1024"/>
      <c r="L18" s="1024"/>
      <c r="M18" s="1024"/>
      <c r="N18" s="1024"/>
      <c r="O18" s="1023"/>
      <c r="P18" s="1023"/>
      <c r="Q18" s="1023"/>
      <c r="R18" s="1023"/>
      <c r="S18" s="1023"/>
      <c r="T18" s="1023"/>
      <c r="U18" s="1025"/>
      <c r="V18" s="1025"/>
      <c r="W18" s="1025"/>
      <c r="X18" s="1025"/>
      <c r="Y18" s="1025"/>
      <c r="Z18" s="1025"/>
      <c r="AA18" s="1025"/>
      <c r="AB18" s="1023"/>
      <c r="AC18" s="1024"/>
      <c r="AD18" s="1024"/>
      <c r="AE18" s="1024"/>
      <c r="AF18" s="1024"/>
      <c r="AG18" s="1024"/>
      <c r="AH18" s="1024"/>
      <c r="AI18" s="1024"/>
      <c r="AJ18" s="1024"/>
      <c r="AK18" s="1024"/>
      <c r="AL18" s="1024"/>
      <c r="AM18" s="1024"/>
      <c r="AN18" s="1024"/>
      <c r="AO18" s="1024"/>
      <c r="AP18" s="1024"/>
      <c r="AQ18" s="1024"/>
      <c r="AR18" s="1024"/>
      <c r="AS18" s="1024"/>
      <c r="AT18" s="1024"/>
      <c r="AU18" s="1024"/>
      <c r="AV18" s="1024"/>
      <c r="AW18" s="1024"/>
      <c r="AX18" s="1024"/>
      <c r="AY18" s="1024"/>
      <c r="AZ18" s="1024"/>
      <c r="BA18" s="1024"/>
      <c r="BB18" s="1024"/>
      <c r="BC18" s="1024"/>
      <c r="BD18" s="1024"/>
      <c r="BE18" s="1024"/>
      <c r="BF18" s="1024"/>
      <c r="BG18" s="1024"/>
      <c r="BH18" s="1024"/>
      <c r="BI18" s="1024"/>
      <c r="BJ18" s="1024"/>
      <c r="BK18" s="1024"/>
      <c r="BL18" s="1024"/>
      <c r="BM18" s="1024"/>
      <c r="BN18" s="1024"/>
      <c r="BO18" s="1024"/>
      <c r="BP18" s="1024"/>
      <c r="BQ18" s="1024"/>
      <c r="BR18" s="1024"/>
      <c r="BS18" s="1024"/>
      <c r="BT18" s="1026"/>
      <c r="BU18" s="1026"/>
      <c r="BV18" s="1026"/>
      <c r="BW18" s="1026"/>
      <c r="BX18" s="1026"/>
      <c r="BY18" s="1026"/>
      <c r="BZ18" s="1026"/>
      <c r="CA18" s="1026"/>
      <c r="CB18" s="1026"/>
      <c r="CC18" s="1026"/>
      <c r="CD18" s="1026"/>
      <c r="CE18" s="1026"/>
      <c r="CF18" s="1026"/>
      <c r="CG18" s="1026"/>
      <c r="CH18" s="1026"/>
      <c r="CI18" s="1026"/>
      <c r="CJ18" s="1026"/>
      <c r="CK18" s="1026"/>
      <c r="CL18" s="1024"/>
      <c r="CM18" s="1024"/>
      <c r="CN18" s="1024"/>
      <c r="CO18" s="1024"/>
      <c r="CP18" s="1024"/>
      <c r="CQ18" s="1024"/>
      <c r="CR18" s="1024"/>
      <c r="CS18" s="1024"/>
      <c r="CT18" s="1024"/>
      <c r="CU18" s="1024"/>
      <c r="CV18" s="1024"/>
      <c r="CW18" s="1024"/>
      <c r="CX18" s="1024"/>
      <c r="CY18" s="1026"/>
      <c r="CZ18" s="1026"/>
      <c r="DA18" s="1026"/>
      <c r="DB18" s="1026"/>
      <c r="DC18" s="1026"/>
      <c r="DD18" s="1026"/>
      <c r="DE18" s="1026"/>
      <c r="DF18" s="1026"/>
      <c r="DG18" s="1026"/>
      <c r="DH18" s="1026"/>
      <c r="DI18" s="1026"/>
      <c r="DJ18" s="1026"/>
      <c r="DK18" s="1024"/>
      <c r="DL18" s="1024"/>
      <c r="DM18" s="1024"/>
      <c r="DN18" s="1024"/>
      <c r="DO18" s="1024"/>
      <c r="DP18" s="1024"/>
      <c r="DQ18" s="1024"/>
      <c r="DR18" s="1024"/>
      <c r="DS18" s="1024"/>
      <c r="DT18" s="1024"/>
      <c r="DU18" s="1024"/>
      <c r="DV18" s="1024"/>
      <c r="DW18" s="1024"/>
      <c r="DX18" s="1024"/>
      <c r="DY18" s="1024"/>
      <c r="DZ18" s="1024"/>
      <c r="EA18" s="1024"/>
      <c r="EB18" s="1024"/>
      <c r="EC18" s="1024"/>
      <c r="ED18" s="1024"/>
      <c r="EE18" s="1024"/>
      <c r="EF18" s="1024"/>
      <c r="EG18" s="1024"/>
      <c r="EH18" s="1024"/>
      <c r="EI18" s="1024"/>
      <c r="EJ18" s="1024"/>
      <c r="EK18" s="1024"/>
      <c r="EL18" s="1024"/>
      <c r="EM18" s="1024"/>
      <c r="EN18" s="1024"/>
      <c r="EO18" s="1024"/>
      <c r="EP18" s="1024"/>
      <c r="EQ18" s="1024"/>
      <c r="ER18" s="1024"/>
      <c r="ES18" s="1024"/>
      <c r="ET18" s="1024"/>
      <c r="EU18" s="1024"/>
      <c r="EV18" s="1024"/>
      <c r="EW18" s="1024"/>
      <c r="EX18" s="1024"/>
      <c r="EY18" s="1024"/>
      <c r="EZ18" s="1024"/>
      <c r="FA18" s="1024"/>
      <c r="FB18" s="1024"/>
      <c r="FC18" s="1024"/>
      <c r="FD18" s="1024"/>
      <c r="FE18" s="1024"/>
      <c r="FF18" s="1024"/>
      <c r="FG18" s="1024"/>
      <c r="FH18" s="1024"/>
      <c r="FI18" s="1024"/>
      <c r="FJ18" s="1024"/>
      <c r="FK18" s="1024"/>
      <c r="FL18" s="1024"/>
      <c r="FM18" s="1024"/>
      <c r="FN18" s="1024"/>
      <c r="FO18" s="1024"/>
      <c r="FP18" s="1024"/>
      <c r="FQ18" s="1024"/>
      <c r="FR18" s="1024"/>
      <c r="FS18" s="1024"/>
      <c r="FT18" s="1024"/>
      <c r="FU18" s="1024"/>
      <c r="FV18" s="1024"/>
      <c r="FW18" s="1023"/>
      <c r="FX18" s="1027"/>
      <c r="GC18" s="992">
        <v>0</v>
      </c>
    </row>
    <row r="19" s="992" customFormat="1" ht="11.25" hidden="1" customHeight="1">
      <c r="B19" s="993"/>
      <c r="E19" s="1022"/>
      <c r="F19" s="1023"/>
      <c r="G19" s="1023"/>
      <c r="H19" s="1023"/>
      <c r="I19" s="1023"/>
      <c r="J19" s="1023"/>
      <c r="K19" s="1023"/>
      <c r="L19" s="1023"/>
      <c r="M19" s="1023"/>
      <c r="N19" s="1023"/>
      <c r="O19" s="1023"/>
      <c r="P19" s="1023"/>
      <c r="Q19" s="1023"/>
      <c r="R19" s="1023"/>
      <c r="S19" s="1023"/>
      <c r="T19" s="1023"/>
      <c r="U19" s="1025"/>
      <c r="V19" s="1025"/>
      <c r="W19" s="1025"/>
      <c r="X19" s="1025"/>
      <c r="Y19" s="1025"/>
      <c r="Z19" s="1025"/>
      <c r="AA19" s="1025"/>
      <c r="AB19" s="1023"/>
      <c r="AC19" s="1023"/>
      <c r="AD19" s="1023"/>
      <c r="AE19" s="1023"/>
      <c r="AF19" s="1023"/>
      <c r="AG19" s="1023"/>
      <c r="AH19" s="1023"/>
      <c r="AI19" s="1023"/>
      <c r="AJ19" s="1023"/>
      <c r="AK19" s="1023"/>
      <c r="AL19" s="1023"/>
      <c r="AM19" s="1023"/>
      <c r="AN19" s="1023"/>
      <c r="AO19" s="1023"/>
      <c r="AP19" s="1023"/>
      <c r="AQ19" s="1023"/>
      <c r="AR19" s="1023"/>
      <c r="AS19" s="1023"/>
      <c r="AT19" s="1023"/>
      <c r="AU19" s="1023"/>
      <c r="AV19" s="1023"/>
      <c r="AW19" s="1023"/>
      <c r="AX19" s="1023"/>
      <c r="AY19" s="1023"/>
      <c r="AZ19" s="1023"/>
      <c r="BA19" s="1023"/>
      <c r="BB19" s="1023"/>
      <c r="BC19" s="1023"/>
      <c r="BD19" s="1023"/>
      <c r="BE19" s="1023"/>
      <c r="BF19" s="1023"/>
      <c r="BG19" s="1023"/>
      <c r="BH19" s="1023"/>
      <c r="BI19" s="1023"/>
      <c r="BJ19" s="1023"/>
      <c r="BK19" s="1023"/>
      <c r="BL19" s="1023"/>
      <c r="BM19" s="1023"/>
      <c r="BN19" s="1023"/>
      <c r="BO19" s="1023"/>
      <c r="BP19" s="1023"/>
      <c r="BQ19" s="1023"/>
      <c r="BR19" s="1023"/>
      <c r="BS19" s="1023"/>
      <c r="BT19" s="1023"/>
      <c r="BU19" s="1023"/>
      <c r="BV19" s="1023"/>
      <c r="BW19" s="1023"/>
      <c r="BX19" s="1023"/>
      <c r="BY19" s="1023"/>
      <c r="BZ19" s="1023"/>
      <c r="CA19" s="1023"/>
      <c r="CB19" s="1023"/>
      <c r="CC19" s="1023"/>
      <c r="CD19" s="1023"/>
      <c r="CE19" s="1023"/>
      <c r="CF19" s="1023"/>
      <c r="CG19" s="1023"/>
      <c r="CH19" s="1023"/>
      <c r="CI19" s="1023"/>
      <c r="CJ19" s="1023"/>
      <c r="CK19" s="1023"/>
      <c r="CL19" s="1023"/>
      <c r="CM19" s="1023"/>
      <c r="CN19" s="1023"/>
      <c r="CO19" s="1023"/>
      <c r="CP19" s="1023"/>
      <c r="CQ19" s="1023"/>
      <c r="CR19" s="1023"/>
      <c r="CS19" s="1023"/>
      <c r="CT19" s="1023"/>
      <c r="CU19" s="1023"/>
      <c r="CV19" s="1023"/>
      <c r="CW19" s="1023"/>
      <c r="CX19" s="1023"/>
      <c r="CY19" s="1023"/>
      <c r="CZ19" s="1023"/>
      <c r="DA19" s="1023"/>
      <c r="DB19" s="1023"/>
      <c r="DC19" s="1023"/>
      <c r="DD19" s="1023"/>
      <c r="DE19" s="1023"/>
      <c r="DF19" s="1023"/>
      <c r="DG19" s="1023"/>
      <c r="DH19" s="1023"/>
      <c r="DI19" s="1023"/>
      <c r="DJ19" s="1023"/>
      <c r="DK19" s="1023"/>
      <c r="DL19" s="1023"/>
      <c r="DM19" s="1023"/>
      <c r="DN19" s="1023"/>
      <c r="DO19" s="1023"/>
      <c r="DP19" s="1023"/>
      <c r="DQ19" s="1023"/>
      <c r="DR19" s="1023"/>
      <c r="DS19" s="1023"/>
      <c r="DT19" s="1023"/>
      <c r="DU19" s="1023"/>
      <c r="DV19" s="1023"/>
      <c r="DW19" s="1023"/>
      <c r="DX19" s="1023"/>
      <c r="DY19" s="1023"/>
      <c r="DZ19" s="1023"/>
      <c r="EA19" s="1023"/>
      <c r="EB19" s="1023"/>
      <c r="EC19" s="1023"/>
      <c r="ED19" s="1023"/>
      <c r="EE19" s="1023"/>
      <c r="EF19" s="1023"/>
      <c r="EG19" s="1023"/>
      <c r="EH19" s="1023"/>
      <c r="EI19" s="1023"/>
      <c r="EJ19" s="1023"/>
      <c r="EK19" s="1023"/>
      <c r="EL19" s="1023"/>
      <c r="EM19" s="1023"/>
      <c r="EN19" s="1023"/>
      <c r="EO19" s="1023"/>
      <c r="EP19" s="1023"/>
      <c r="EQ19" s="1023"/>
      <c r="ER19" s="1023"/>
      <c r="ES19" s="1023"/>
      <c r="ET19" s="1023"/>
      <c r="EU19" s="1023"/>
      <c r="EV19" s="1023"/>
      <c r="EW19" s="1023"/>
      <c r="EX19" s="1023"/>
      <c r="EY19" s="1023"/>
      <c r="EZ19" s="1023"/>
      <c r="FA19" s="1023"/>
      <c r="FB19" s="1023"/>
      <c r="FC19" s="1023"/>
      <c r="FD19" s="1023"/>
      <c r="FE19" s="1023"/>
      <c r="FF19" s="1023"/>
      <c r="FG19" s="1023"/>
      <c r="FH19" s="1023"/>
      <c r="FI19" s="1023"/>
      <c r="FJ19" s="1023"/>
      <c r="FK19" s="1023"/>
      <c r="FL19" s="1023"/>
      <c r="FM19" s="1023"/>
      <c r="FN19" s="1023"/>
      <c r="FO19" s="1023"/>
      <c r="FP19" s="1023"/>
      <c r="FQ19" s="1023"/>
      <c r="FR19" s="1023"/>
      <c r="FS19" s="1023"/>
      <c r="FT19" s="1023"/>
      <c r="FU19" s="1023"/>
      <c r="FV19" s="1023"/>
      <c r="FW19" s="1023"/>
      <c r="FX19" s="1027"/>
      <c r="GC19" s="992">
        <v>0</v>
      </c>
    </row>
    <row r="20" s="992" customFormat="1" ht="11.25" hidden="1" customHeight="1">
      <c r="B20" s="993"/>
      <c r="D20" s="992"/>
      <c r="E20" s="1022"/>
      <c r="F20" s="1028" t="s">
        <v>370</v>
      </c>
      <c r="G20" s="328"/>
      <c r="H20" s="1029"/>
      <c r="I20" s="1029"/>
      <c r="J20" s="1029"/>
      <c r="K20" s="1029"/>
      <c r="L20" s="1029"/>
      <c r="M20" s="1029"/>
      <c r="N20" s="1029"/>
      <c r="O20" s="328"/>
      <c r="P20" s="328"/>
      <c r="Q20" s="328"/>
      <c r="R20" s="328"/>
      <c r="S20" s="328"/>
      <c r="T20" s="328"/>
      <c r="U20" s="1030"/>
      <c r="V20" s="1030"/>
      <c r="W20" s="1030"/>
      <c r="X20" s="1030"/>
      <c r="Y20" s="1030"/>
      <c r="Z20" s="1030"/>
      <c r="AA20" s="1030"/>
      <c r="AB20" s="328"/>
      <c r="AC20" s="1029"/>
      <c r="AD20" s="1029"/>
      <c r="AE20" s="1029"/>
      <c r="AF20" s="1029"/>
      <c r="AG20" s="1029"/>
      <c r="AH20" s="1029"/>
      <c r="AI20" s="1029"/>
      <c r="AJ20" s="1029"/>
      <c r="AK20" s="1029"/>
      <c r="AL20" s="1029"/>
      <c r="AM20" s="1029"/>
      <c r="AN20" s="1029"/>
      <c r="AO20" s="1029"/>
      <c r="AP20" s="1029"/>
      <c r="AQ20" s="1029"/>
      <c r="AR20" s="1029"/>
      <c r="AS20" s="1029"/>
      <c r="AT20" s="1029"/>
      <c r="AU20" s="1029"/>
      <c r="AV20" s="1029"/>
      <c r="AW20" s="1029"/>
      <c r="AX20" s="1029"/>
      <c r="AY20" s="1029"/>
      <c r="AZ20" s="1029"/>
      <c r="BA20" s="1029"/>
      <c r="BB20" s="1029"/>
      <c r="BC20" s="1029"/>
      <c r="BD20" s="1029"/>
      <c r="BE20" s="1029"/>
      <c r="BF20" s="1029"/>
      <c r="BG20" s="1029"/>
      <c r="BH20" s="1029"/>
      <c r="BI20" s="1029"/>
      <c r="BJ20" s="1029"/>
      <c r="BK20" s="1029"/>
      <c r="BL20" s="1029"/>
      <c r="BM20" s="1029"/>
      <c r="BN20" s="1029"/>
      <c r="BO20" s="1029"/>
      <c r="BP20" s="1029"/>
      <c r="BQ20" s="1029"/>
      <c r="BR20" s="1029"/>
      <c r="BS20" s="1029"/>
      <c r="BT20" s="1029"/>
      <c r="BU20" s="1029"/>
      <c r="BV20" s="1029"/>
      <c r="BW20" s="1029"/>
      <c r="BX20" s="1029"/>
      <c r="BY20" s="1029"/>
      <c r="BZ20" s="1029"/>
      <c r="CA20" s="1029"/>
      <c r="CB20" s="1029"/>
      <c r="CC20" s="1029"/>
      <c r="CD20" s="1029"/>
      <c r="CE20" s="1029"/>
      <c r="CF20" s="1029"/>
      <c r="CG20" s="1029"/>
      <c r="CH20" s="1029"/>
      <c r="CI20" s="1029"/>
      <c r="CJ20" s="1029"/>
      <c r="CK20" s="1029"/>
      <c r="CL20" s="1031"/>
      <c r="CM20" s="1031"/>
      <c r="CN20" s="1031"/>
      <c r="CO20" s="1031"/>
      <c r="CP20" s="1031"/>
      <c r="CQ20" s="1031"/>
      <c r="CR20" s="1031"/>
      <c r="CS20" s="1031"/>
      <c r="CT20" s="1031"/>
      <c r="CU20" s="1031"/>
      <c r="CV20" s="1031"/>
      <c r="CW20" s="1031"/>
      <c r="CX20" s="1031"/>
      <c r="CY20" s="1031"/>
      <c r="CZ20" s="1031"/>
      <c r="DA20" s="1031"/>
      <c r="DB20" s="1031"/>
      <c r="DC20" s="1031"/>
      <c r="DD20" s="1031"/>
      <c r="DE20" s="1031"/>
      <c r="DF20" s="1031"/>
      <c r="DG20" s="1031"/>
      <c r="DH20" s="1031"/>
      <c r="DI20" s="1031"/>
      <c r="DJ20" s="1031"/>
      <c r="DK20" s="1031"/>
      <c r="DL20" s="1031"/>
      <c r="DM20" s="1031"/>
      <c r="DN20" s="1031"/>
      <c r="DO20" s="1031"/>
      <c r="DP20" s="1031"/>
      <c r="DQ20" s="1031"/>
      <c r="DR20" s="1031"/>
      <c r="DS20" s="1031"/>
      <c r="DT20" s="1031"/>
      <c r="DU20" s="1031"/>
      <c r="DV20" s="1031"/>
      <c r="DW20" s="1031"/>
      <c r="DX20" s="1031"/>
      <c r="DY20" s="1031"/>
      <c r="DZ20" s="1031"/>
      <c r="EA20" s="1031"/>
      <c r="EB20" s="1031"/>
      <c r="EC20" s="1031"/>
      <c r="ED20" s="1031"/>
      <c r="EE20" s="1031"/>
      <c r="EF20" s="1031"/>
      <c r="EG20" s="1031"/>
      <c r="EH20" s="1031"/>
      <c r="EI20" s="1031"/>
      <c r="EJ20" s="1031"/>
      <c r="EK20" s="1031"/>
      <c r="EL20" s="1031"/>
      <c r="EM20" s="1031"/>
      <c r="EN20" s="1031"/>
      <c r="EO20" s="1031"/>
      <c r="EP20" s="1031"/>
      <c r="EQ20" s="1031"/>
      <c r="ER20" s="1031"/>
      <c r="ES20" s="1031"/>
      <c r="ET20" s="1031"/>
      <c r="EU20" s="1031"/>
      <c r="EV20" s="1031"/>
      <c r="EW20" s="1031"/>
      <c r="EX20" s="1031"/>
      <c r="EY20" s="1031"/>
      <c r="EZ20" s="1031"/>
      <c r="FA20" s="1031"/>
      <c r="FB20" s="1031"/>
      <c r="FC20" s="1031"/>
      <c r="FD20" s="1031"/>
      <c r="FE20" s="1031"/>
      <c r="FF20" s="1031"/>
      <c r="FG20" s="1031"/>
      <c r="FH20" s="1031"/>
      <c r="FI20" s="1031"/>
      <c r="FJ20" s="1031"/>
      <c r="FK20" s="1031"/>
      <c r="FL20" s="1031"/>
      <c r="FM20" s="1031"/>
      <c r="FN20" s="1031"/>
      <c r="FO20" s="1031"/>
      <c r="FP20" s="1031"/>
      <c r="FQ20" s="1031"/>
      <c r="FR20" s="1031"/>
      <c r="FS20" s="1031"/>
      <c r="FT20" s="1031"/>
      <c r="FU20" s="1031"/>
      <c r="FV20" s="1031"/>
      <c r="FW20" s="1031"/>
      <c r="FX20" s="1027"/>
      <c r="GC20" s="992">
        <v>0</v>
      </c>
    </row>
    <row r="21" s="992" customFormat="1" ht="21" customHeight="1">
      <c r="A21" s="532" t="s">
        <v>988</v>
      </c>
      <c r="B21" s="993"/>
      <c r="C21" s="992"/>
      <c r="D21" s="992"/>
      <c r="E21" s="1022" t="s">
        <v>22</v>
      </c>
      <c r="F21" s="1032" t="str">
        <f>INDEX(IP_MAIN_LIST_NAME_IP,MATCH(A21,IP_MAIN_LIST_IP_ID,0))&amp;" ("&amp;INDEX(IP_MAIN_START_DATE,MATCH(A21,IP_MAIN_LIST_IP_ID,0))&amp;"-"&amp;INDEX(IP_MAIN_END_DATE,MATCH(A21,IP_MAIN_LIST_IP_ID,0))&amp;")"</f>
        <v xml:space="preserve">Инвестиционная программа № 103/25 от 07.07.2025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территории городского округа Биробиджан на 2025-2030 годы (07.07.2025-31.12.2030)</v>
      </c>
      <c r="G21" s="1033"/>
      <c r="H21" s="1034"/>
      <c r="I21" s="1034"/>
      <c r="J21" s="1034"/>
      <c r="K21" s="1034"/>
      <c r="L21" s="1034"/>
      <c r="M21" s="1034"/>
      <c r="N21" s="1034"/>
      <c r="O21" s="1033"/>
      <c r="P21" s="1033"/>
      <c r="Q21" s="1033"/>
      <c r="R21" s="1033"/>
      <c r="S21" s="1033"/>
      <c r="T21" s="1033"/>
      <c r="U21" s="1035"/>
      <c r="V21" s="1035"/>
      <c r="W21" s="1035"/>
      <c r="X21" s="1035"/>
      <c r="Y21" s="1035"/>
      <c r="Z21" s="1035"/>
      <c r="AA21" s="1035"/>
      <c r="AB21" s="1033"/>
      <c r="AC21" s="1034"/>
      <c r="AD21" s="1034"/>
      <c r="AE21" s="1034"/>
      <c r="AF21" s="1034"/>
      <c r="AG21" s="1034"/>
      <c r="AH21" s="1034"/>
      <c r="AI21" s="1034"/>
      <c r="AJ21" s="1034"/>
      <c r="AK21" s="1034"/>
      <c r="AL21" s="1034"/>
      <c r="AM21" s="1034"/>
      <c r="AN21" s="1034"/>
      <c r="AO21" s="1034"/>
      <c r="AP21" s="1034"/>
      <c r="AQ21" s="1034"/>
      <c r="AR21" s="1034"/>
      <c r="AS21" s="1034"/>
      <c r="AT21" s="1034"/>
      <c r="AU21" s="1034"/>
      <c r="AV21" s="1034"/>
      <c r="AW21" s="1034"/>
      <c r="AX21" s="1034"/>
      <c r="AY21" s="1034"/>
      <c r="AZ21" s="1034"/>
      <c r="BA21" s="1034"/>
      <c r="BB21" s="1034"/>
      <c r="BC21" s="1034"/>
      <c r="BD21" s="1034"/>
      <c r="BE21" s="1034"/>
      <c r="BF21" s="1034"/>
      <c r="BG21" s="1034"/>
      <c r="BH21" s="1034"/>
      <c r="BI21" s="1034"/>
      <c r="BJ21" s="1034"/>
      <c r="BK21" s="1034"/>
      <c r="BL21" s="1034"/>
      <c r="BM21" s="1034"/>
      <c r="BN21" s="1034"/>
      <c r="BO21" s="1034"/>
      <c r="BP21" s="1034"/>
      <c r="BQ21" s="1034"/>
      <c r="BR21" s="1034"/>
      <c r="BS21" s="1034"/>
      <c r="BT21" s="1034"/>
      <c r="BU21" s="1034"/>
      <c r="BV21" s="1034"/>
      <c r="BW21" s="1034"/>
      <c r="BX21" s="1034"/>
      <c r="BY21" s="1034"/>
      <c r="BZ21" s="1034"/>
      <c r="CA21" s="1034"/>
      <c r="CB21" s="1034"/>
      <c r="CC21" s="1034"/>
      <c r="CD21" s="1034"/>
      <c r="CE21" s="1034"/>
      <c r="CF21" s="1034"/>
      <c r="CG21" s="1034"/>
      <c r="CH21" s="1034"/>
      <c r="CI21" s="1034"/>
      <c r="CJ21" s="1034"/>
      <c r="CK21" s="1034"/>
      <c r="CL21" s="1036"/>
      <c r="CM21" s="1036"/>
      <c r="CN21" s="1036"/>
      <c r="CO21" s="1036"/>
      <c r="CP21" s="1036"/>
      <c r="CQ21" s="1036"/>
      <c r="CR21" s="1036"/>
      <c r="CS21" s="1036"/>
      <c r="CT21" s="1036"/>
      <c r="CU21" s="1036"/>
      <c r="CV21" s="1036"/>
      <c r="CW21" s="1036"/>
      <c r="CX21" s="1036"/>
      <c r="CY21" s="1036"/>
      <c r="CZ21" s="1036"/>
      <c r="DA21" s="1036"/>
      <c r="DB21" s="1036"/>
      <c r="DC21" s="1036"/>
      <c r="DD21" s="1036"/>
      <c r="DE21" s="1036"/>
      <c r="DF21" s="1036"/>
      <c r="DG21" s="1036"/>
      <c r="DH21" s="1036"/>
      <c r="DI21" s="1036"/>
      <c r="DJ21" s="1036"/>
      <c r="DK21" s="1036"/>
      <c r="DL21" s="1036"/>
      <c r="DM21" s="1036"/>
      <c r="DN21" s="1036"/>
      <c r="DO21" s="1036"/>
      <c r="DP21" s="1036"/>
      <c r="DQ21" s="1036"/>
      <c r="DR21" s="1036"/>
      <c r="DS21" s="1036"/>
      <c r="DT21" s="1036"/>
      <c r="DU21" s="1036"/>
      <c r="DV21" s="1036"/>
      <c r="DW21" s="1036"/>
      <c r="DX21" s="1036"/>
      <c r="DY21" s="1036"/>
      <c r="DZ21" s="1036"/>
      <c r="EA21" s="1036"/>
      <c r="EB21" s="1036"/>
      <c r="EC21" s="1036"/>
      <c r="ED21" s="1036"/>
      <c r="EE21" s="1036"/>
      <c r="EF21" s="1036"/>
      <c r="EG21" s="1036"/>
      <c r="EH21" s="1036"/>
      <c r="EI21" s="1036"/>
      <c r="EJ21" s="1036"/>
      <c r="EK21" s="1036"/>
      <c r="EL21" s="1036"/>
      <c r="EM21" s="1036"/>
      <c r="EN21" s="1036"/>
      <c r="EO21" s="1036"/>
      <c r="EP21" s="1036"/>
      <c r="EQ21" s="1036"/>
      <c r="ER21" s="1036"/>
      <c r="ES21" s="1036"/>
      <c r="ET21" s="1036"/>
      <c r="EU21" s="1036"/>
      <c r="EV21" s="1036"/>
      <c r="EW21" s="1036"/>
      <c r="EX21" s="1036"/>
      <c r="EY21" s="1036"/>
      <c r="EZ21" s="1036"/>
      <c r="FA21" s="1036"/>
      <c r="FB21" s="1036"/>
      <c r="FC21" s="1036"/>
      <c r="FD21" s="1036"/>
      <c r="FE21" s="1036"/>
      <c r="FF21" s="1036"/>
      <c r="FG21" s="1036"/>
      <c r="FH21" s="1036"/>
      <c r="FI21" s="1036"/>
      <c r="FJ21" s="1036"/>
      <c r="FK21" s="1036"/>
      <c r="FL21" s="1036"/>
      <c r="FM21" s="1036"/>
      <c r="FN21" s="1036"/>
      <c r="FO21" s="1036"/>
      <c r="FP21" s="1036"/>
      <c r="FQ21" s="1036"/>
      <c r="FR21" s="1036"/>
      <c r="FS21" s="1036"/>
      <c r="FT21" s="1036"/>
      <c r="FU21" s="1036"/>
      <c r="FV21" s="1037"/>
      <c r="FW21" s="1031"/>
      <c r="FX21" s="1027"/>
      <c r="FY21" s="992"/>
      <c r="FZ21" s="992"/>
      <c r="GA21" s="992"/>
      <c r="GB21" s="992"/>
    </row>
    <row r="22" s="992" customFormat="1" ht="24.75" customHeight="1">
      <c r="A22" s="992" t="s">
        <v>988</v>
      </c>
      <c r="B22" s="993"/>
      <c r="C22" s="992"/>
      <c r="D22" s="992"/>
      <c r="E22" s="63"/>
      <c r="F22" s="829">
        <v>1</v>
      </c>
      <c r="G22" s="116" t="s">
        <v>980</v>
      </c>
      <c r="H22" s="109" t="s">
        <v>1145</v>
      </c>
      <c r="I22" s="1038"/>
      <c r="J22" s="1039"/>
      <c r="K22" s="1039"/>
      <c r="L22" s="1039"/>
      <c r="M22" s="1039"/>
      <c r="N22" s="1039"/>
      <c r="O22" s="1040"/>
      <c r="P22" s="1040"/>
      <c r="Q22" s="1040"/>
      <c r="R22" s="1040"/>
      <c r="S22" s="1040"/>
      <c r="T22" s="1040"/>
      <c r="U22" s="1040"/>
      <c r="V22" s="1040"/>
      <c r="W22" s="1040"/>
      <c r="X22" s="1040"/>
      <c r="Y22" s="1040"/>
      <c r="Z22" s="1040"/>
      <c r="AA22" s="1040"/>
      <c r="AB22" s="1040"/>
      <c r="AC22" s="1039"/>
      <c r="AD22" s="1039"/>
      <c r="AE22" s="1039"/>
      <c r="AF22" s="1039"/>
      <c r="AG22" s="1039"/>
      <c r="AH22" s="1039"/>
      <c r="AI22" s="1039"/>
      <c r="AJ22" s="1039"/>
      <c r="AK22" s="1039"/>
      <c r="AL22" s="1039"/>
      <c r="AM22" s="1039"/>
      <c r="AN22" s="1039"/>
      <c r="AO22" s="1039"/>
      <c r="AP22" s="1039"/>
      <c r="AQ22" s="1039"/>
      <c r="AR22" s="1039"/>
      <c r="AS22" s="1039"/>
      <c r="AT22" s="1039"/>
      <c r="AU22" s="1039"/>
      <c r="AV22" s="1039"/>
      <c r="AW22" s="1039"/>
      <c r="AX22" s="1039"/>
      <c r="AY22" s="1039"/>
      <c r="AZ22" s="1039"/>
      <c r="BA22" s="1039"/>
      <c r="BB22" s="1039"/>
      <c r="BC22" s="1039"/>
      <c r="BD22" s="1039"/>
      <c r="BE22" s="1039"/>
      <c r="BF22" s="1039"/>
      <c r="BG22" s="1039"/>
      <c r="BH22" s="1039"/>
      <c r="BI22" s="1039"/>
      <c r="BJ22" s="1039"/>
      <c r="BK22" s="1039"/>
      <c r="BL22" s="1039"/>
      <c r="BM22" s="1039"/>
      <c r="BN22" s="1039"/>
      <c r="BO22" s="1039"/>
      <c r="BP22" s="1039"/>
      <c r="BQ22" s="1039"/>
      <c r="BR22" s="1039"/>
      <c r="BS22" s="1039"/>
      <c r="BT22" s="1040"/>
      <c r="BU22" s="1040"/>
      <c r="BV22" s="1040"/>
      <c r="BW22" s="1040"/>
      <c r="BX22" s="1040"/>
      <c r="BY22" s="1040"/>
      <c r="BZ22" s="1040"/>
      <c r="CA22" s="1040"/>
      <c r="CB22" s="1040"/>
      <c r="CC22" s="1040"/>
      <c r="CD22" s="1040"/>
      <c r="CE22" s="1040"/>
      <c r="CF22" s="1040"/>
      <c r="CG22" s="1040"/>
      <c r="CH22" s="1040"/>
      <c r="CI22" s="1040"/>
      <c r="CJ22" s="1040"/>
      <c r="CK22" s="1040"/>
      <c r="CL22" s="1039"/>
      <c r="CM22" s="1039"/>
      <c r="CN22" s="1039"/>
      <c r="CO22" s="1039"/>
      <c r="CP22" s="1039"/>
      <c r="CQ22" s="1039"/>
      <c r="CR22" s="1039"/>
      <c r="CS22" s="1039"/>
      <c r="CT22" s="1039"/>
      <c r="CU22" s="1039"/>
      <c r="CV22" s="1039"/>
      <c r="CW22" s="1039"/>
      <c r="CX22" s="1039"/>
      <c r="CY22" s="1040"/>
      <c r="CZ22" s="1040"/>
      <c r="DA22" s="1040"/>
      <c r="DB22" s="1040"/>
      <c r="DC22" s="1040"/>
      <c r="DD22" s="1040"/>
      <c r="DE22" s="1040"/>
      <c r="DF22" s="1040"/>
      <c r="DG22" s="1040"/>
      <c r="DH22" s="1040"/>
      <c r="DI22" s="1040"/>
      <c r="DJ22" s="1040"/>
      <c r="DK22" s="1039"/>
      <c r="DL22" s="1039"/>
      <c r="DM22" s="1039"/>
      <c r="DN22" s="1039"/>
      <c r="DO22" s="1039"/>
      <c r="DP22" s="1039"/>
      <c r="DQ22" s="1039"/>
      <c r="DR22" s="1039"/>
      <c r="DS22" s="1039"/>
      <c r="DT22" s="1039"/>
      <c r="DU22" s="1039"/>
      <c r="DV22" s="1039"/>
      <c r="DW22" s="1039"/>
      <c r="DX22" s="1039"/>
      <c r="DY22" s="1039"/>
      <c r="DZ22" s="1039"/>
      <c r="EA22" s="1039"/>
      <c r="EB22" s="1039"/>
      <c r="EC22" s="1039"/>
      <c r="ED22" s="1039"/>
      <c r="EE22" s="1039"/>
      <c r="EF22" s="1039"/>
      <c r="EG22" s="1039"/>
      <c r="EH22" s="1039"/>
      <c r="EI22" s="1039"/>
      <c r="EJ22" s="1039"/>
      <c r="EK22" s="1039"/>
      <c r="EL22" s="1039"/>
      <c r="EM22" s="1039"/>
      <c r="EN22" s="1039"/>
      <c r="EO22" s="1039"/>
      <c r="EP22" s="1039"/>
      <c r="EQ22" s="1039"/>
      <c r="ER22" s="1039"/>
      <c r="ES22" s="1039"/>
      <c r="ET22" s="1039"/>
      <c r="EU22" s="1039"/>
      <c r="EV22" s="1039"/>
      <c r="EW22" s="1039"/>
      <c r="EX22" s="1039"/>
      <c r="EY22" s="1039"/>
      <c r="EZ22" s="1039"/>
      <c r="FA22" s="1039"/>
      <c r="FB22" s="1039"/>
      <c r="FC22" s="1039"/>
      <c r="FD22" s="1039"/>
      <c r="FE22" s="1039"/>
      <c r="FF22" s="1039"/>
      <c r="FG22" s="1039"/>
      <c r="FH22" s="1039"/>
      <c r="FI22" s="1039"/>
      <c r="FJ22" s="1039"/>
      <c r="FK22" s="1039"/>
      <c r="FL22" s="1039"/>
      <c r="FM22" s="1039"/>
      <c r="FN22" s="1039"/>
      <c r="FO22" s="1039"/>
      <c r="FP22" s="1039"/>
      <c r="FQ22" s="1039"/>
      <c r="FR22" s="1039"/>
      <c r="FS22" s="1039"/>
      <c r="FT22" s="1039"/>
      <c r="FU22" s="1039"/>
      <c r="FV22" s="1039"/>
      <c r="FW22" s="1039"/>
      <c r="FX22" s="1027"/>
      <c r="FY22" s="992"/>
      <c r="FZ22" s="992"/>
      <c r="GA22" s="992"/>
      <c r="GB22" s="992"/>
    </row>
    <row r="23" s="992" customFormat="1" ht="12" customHeight="1">
      <c r="A23" s="992" t="s">
        <v>988</v>
      </c>
      <c r="B23" s="993"/>
      <c r="C23" s="992"/>
      <c r="D23" s="992"/>
      <c r="E23" s="992"/>
      <c r="F23" s="1041"/>
      <c r="G23" s="973" t="s">
        <v>1146</v>
      </c>
      <c r="H23" s="973"/>
      <c r="I23" s="973"/>
      <c r="J23" s="973"/>
      <c r="K23" s="973"/>
      <c r="L23" s="973"/>
      <c r="M23" s="973"/>
      <c r="N23" s="973"/>
      <c r="O23" s="973"/>
      <c r="P23" s="973"/>
      <c r="Q23" s="973"/>
      <c r="R23" s="973"/>
      <c r="S23" s="973"/>
      <c r="T23" s="973"/>
      <c r="U23" s="973"/>
      <c r="V23" s="973"/>
      <c r="W23" s="973"/>
      <c r="X23" s="973"/>
      <c r="Y23" s="973"/>
      <c r="Z23" s="973"/>
      <c r="AA23" s="973"/>
      <c r="AB23" s="973"/>
      <c r="AC23" s="973"/>
      <c r="AD23" s="973"/>
      <c r="AE23" s="973"/>
      <c r="AF23" s="973"/>
      <c r="AG23" s="973"/>
      <c r="AH23" s="973"/>
      <c r="AI23" s="973"/>
      <c r="AJ23" s="973"/>
      <c r="AK23" s="973"/>
      <c r="AL23" s="973"/>
      <c r="AM23" s="973"/>
      <c r="AN23" s="973"/>
      <c r="AO23" s="973"/>
      <c r="AP23" s="973"/>
      <c r="AQ23" s="973"/>
      <c r="AR23" s="973"/>
      <c r="AS23" s="973"/>
      <c r="AT23" s="973"/>
      <c r="AU23" s="973"/>
      <c r="AV23" s="973"/>
      <c r="AW23" s="973"/>
      <c r="AX23" s="973"/>
      <c r="AY23" s="973"/>
      <c r="AZ23" s="973"/>
      <c r="BA23" s="973"/>
      <c r="BB23" s="973"/>
      <c r="BC23" s="973"/>
      <c r="BD23" s="973"/>
      <c r="BE23" s="973"/>
      <c r="BF23" s="973"/>
      <c r="BG23" s="973"/>
      <c r="BH23" s="973"/>
      <c r="BI23" s="973"/>
      <c r="BJ23" s="973"/>
      <c r="BK23" s="973"/>
      <c r="BL23" s="973"/>
      <c r="BM23" s="973"/>
      <c r="BN23" s="973"/>
      <c r="BO23" s="973"/>
      <c r="BP23" s="973"/>
      <c r="BQ23" s="973"/>
      <c r="BR23" s="973"/>
      <c r="BS23" s="973"/>
      <c r="BT23" s="973"/>
      <c r="BU23" s="973"/>
      <c r="BV23" s="973"/>
      <c r="BW23" s="973"/>
      <c r="BX23" s="973"/>
      <c r="BY23" s="973"/>
      <c r="BZ23" s="973"/>
      <c r="CA23" s="973"/>
      <c r="CB23" s="973"/>
      <c r="CC23" s="973"/>
      <c r="CD23" s="973"/>
      <c r="CE23" s="973"/>
      <c r="CF23" s="973"/>
      <c r="CG23" s="973"/>
      <c r="CH23" s="973"/>
      <c r="CI23" s="973"/>
      <c r="CJ23" s="973"/>
      <c r="CK23" s="973"/>
      <c r="CL23" s="973"/>
      <c r="CM23" s="973"/>
      <c r="CN23" s="973"/>
      <c r="CO23" s="973"/>
      <c r="CP23" s="973"/>
      <c r="CQ23" s="973"/>
      <c r="CR23" s="973"/>
      <c r="CS23" s="973"/>
      <c r="CT23" s="973"/>
      <c r="CU23" s="973"/>
      <c r="CV23" s="973"/>
      <c r="CW23" s="973"/>
      <c r="CX23" s="973"/>
      <c r="CY23" s="973"/>
      <c r="CZ23" s="973"/>
      <c r="DA23" s="973"/>
      <c r="DB23" s="973"/>
      <c r="DC23" s="973"/>
      <c r="DD23" s="973"/>
      <c r="DE23" s="973"/>
      <c r="DF23" s="973"/>
      <c r="DG23" s="973"/>
      <c r="DH23" s="973"/>
      <c r="DI23" s="973"/>
      <c r="DJ23" s="973"/>
      <c r="DK23" s="973"/>
      <c r="DL23" s="973"/>
      <c r="DM23" s="973"/>
      <c r="DN23" s="973"/>
      <c r="DO23" s="973"/>
      <c r="DP23" s="973"/>
      <c r="DQ23" s="973"/>
      <c r="DR23" s="973"/>
      <c r="DS23" s="973"/>
      <c r="DT23" s="973"/>
      <c r="DU23" s="973"/>
      <c r="DV23" s="973"/>
      <c r="DW23" s="973"/>
      <c r="DX23" s="973"/>
      <c r="DY23" s="973"/>
      <c r="DZ23" s="973"/>
      <c r="EA23" s="973"/>
      <c r="EB23" s="973"/>
      <c r="EC23" s="973"/>
      <c r="ED23" s="973"/>
      <c r="EE23" s="973"/>
      <c r="EF23" s="973"/>
      <c r="EG23" s="973"/>
      <c r="EH23" s="973"/>
      <c r="EI23" s="973"/>
      <c r="EJ23" s="973"/>
      <c r="EK23" s="973"/>
      <c r="EL23" s="973"/>
      <c r="EM23" s="973"/>
      <c r="EN23" s="973"/>
      <c r="EO23" s="973"/>
      <c r="EP23" s="973"/>
      <c r="EQ23" s="973"/>
      <c r="ER23" s="973"/>
      <c r="ES23" s="973"/>
      <c r="ET23" s="973"/>
      <c r="EU23" s="973"/>
      <c r="EV23" s="973"/>
      <c r="EW23" s="973"/>
      <c r="EX23" s="973"/>
      <c r="EY23" s="973"/>
      <c r="EZ23" s="973"/>
      <c r="FA23" s="973"/>
      <c r="FB23" s="973"/>
      <c r="FC23" s="973"/>
      <c r="FD23" s="973"/>
      <c r="FE23" s="973"/>
      <c r="FF23" s="973"/>
      <c r="FG23" s="973"/>
      <c r="FH23" s="973"/>
      <c r="FI23" s="973"/>
      <c r="FJ23" s="973"/>
      <c r="FK23" s="973"/>
      <c r="FL23" s="973"/>
      <c r="FM23" s="973"/>
      <c r="FN23" s="973"/>
      <c r="FO23" s="973"/>
      <c r="FP23" s="973"/>
      <c r="FQ23" s="973"/>
      <c r="FR23" s="973"/>
      <c r="FS23" s="973"/>
      <c r="FT23" s="973"/>
      <c r="FU23" s="973"/>
      <c r="FV23" s="973"/>
      <c r="FW23" s="1042"/>
      <c r="FX23" s="144"/>
      <c r="FY23" s="994"/>
      <c r="FZ23" s="994"/>
      <c r="GA23" s="994"/>
      <c r="GB23" s="994"/>
    </row>
    <row r="24" s="992" customFormat="1" ht="12.75" customHeight="1">
      <c r="A24" s="994"/>
      <c r="B24" s="994"/>
      <c r="C24" s="994"/>
      <c r="D24" s="994"/>
      <c r="E24" s="994"/>
      <c r="F24" s="1022"/>
      <c r="G24" s="1022"/>
      <c r="H24" s="1022"/>
      <c r="I24" s="1022"/>
      <c r="J24" s="1022"/>
      <c r="K24" s="1022"/>
      <c r="L24" s="1022"/>
      <c r="M24" s="1022"/>
      <c r="N24" s="1022"/>
      <c r="O24" s="1022"/>
      <c r="P24" s="1022"/>
      <c r="Q24" s="1022"/>
      <c r="R24" s="1022"/>
      <c r="S24" s="1043"/>
      <c r="T24" s="1043"/>
      <c r="U24" s="1022"/>
      <c r="V24" s="1022"/>
      <c r="W24" s="1022"/>
      <c r="X24" s="1022"/>
      <c r="Y24" s="1022"/>
      <c r="Z24" s="1022"/>
      <c r="AA24" s="1022"/>
      <c r="AB24" s="1022"/>
      <c r="AC24" s="1022"/>
      <c r="AD24" s="1022"/>
      <c r="AE24" s="1022"/>
      <c r="AF24" s="1022"/>
      <c r="AG24" s="1022"/>
      <c r="AH24" s="1022"/>
      <c r="AI24" s="1022"/>
      <c r="AJ24" s="1022"/>
      <c r="AK24" s="1022"/>
      <c r="AL24" s="1022"/>
      <c r="AM24" s="1022"/>
      <c r="AN24" s="1022"/>
      <c r="AO24" s="1022"/>
      <c r="AP24" s="1022"/>
      <c r="AQ24" s="1022"/>
      <c r="AR24" s="1022"/>
      <c r="AS24" s="1022"/>
      <c r="AT24" s="1022"/>
      <c r="AU24" s="1022"/>
      <c r="AV24" s="1022"/>
      <c r="AW24" s="1022"/>
      <c r="AX24" s="1022"/>
      <c r="AY24" s="1022"/>
      <c r="AZ24" s="1022"/>
      <c r="BA24" s="1022"/>
      <c r="BB24" s="1022"/>
      <c r="BC24" s="1022"/>
      <c r="BD24" s="1022"/>
      <c r="BE24" s="1022"/>
      <c r="BF24" s="1022"/>
      <c r="BG24" s="1022"/>
      <c r="BH24" s="1022"/>
      <c r="BI24" s="1022"/>
      <c r="BJ24" s="1022"/>
      <c r="BK24" s="1022"/>
      <c r="BL24" s="1022"/>
      <c r="BM24" s="1022"/>
      <c r="BN24" s="1022"/>
      <c r="BO24" s="1022"/>
      <c r="BP24" s="1022"/>
      <c r="BQ24" s="1022"/>
      <c r="BR24" s="1022"/>
      <c r="BS24" s="1022"/>
      <c r="BT24" s="1022"/>
      <c r="BU24" s="1022"/>
      <c r="BV24" s="1022"/>
      <c r="BW24" s="1022"/>
      <c r="BX24" s="1022"/>
      <c r="BY24" s="1022"/>
      <c r="BZ24" s="1022"/>
      <c r="CA24" s="1022"/>
      <c r="CB24" s="1022"/>
      <c r="CC24" s="1022"/>
      <c r="CD24" s="1022"/>
      <c r="CE24" s="1022"/>
      <c r="CF24" s="1022"/>
      <c r="CG24" s="1022"/>
      <c r="CH24" s="1022"/>
      <c r="CI24" s="1022"/>
      <c r="CJ24" s="1022"/>
      <c r="CK24" s="1022"/>
      <c r="CL24" s="1022"/>
      <c r="CM24" s="1022"/>
      <c r="CN24" s="1022"/>
      <c r="CO24" s="1022"/>
      <c r="CP24" s="1022"/>
      <c r="CQ24" s="1022"/>
      <c r="CR24" s="1022"/>
      <c r="CS24" s="1022"/>
      <c r="CT24" s="1022"/>
      <c r="CU24" s="1022"/>
      <c r="CV24" s="1022"/>
      <c r="CW24" s="1022"/>
      <c r="CX24" s="1022"/>
      <c r="CY24" s="1022"/>
      <c r="CZ24" s="1022"/>
      <c r="DA24" s="1022"/>
      <c r="DB24" s="1022"/>
      <c r="DC24" s="1022"/>
      <c r="DD24" s="1022"/>
      <c r="DE24" s="1022"/>
      <c r="DF24" s="1022"/>
      <c r="DG24" s="1022"/>
      <c r="DH24" s="1022"/>
      <c r="DI24" s="1022"/>
      <c r="DJ24" s="1022"/>
      <c r="DK24" s="1022"/>
      <c r="DL24" s="1022"/>
      <c r="DM24" s="1022"/>
      <c r="DN24" s="1022"/>
      <c r="DO24" s="1022"/>
      <c r="DP24" s="1022"/>
      <c r="DQ24" s="1022"/>
      <c r="DR24" s="1022"/>
      <c r="DS24" s="1022"/>
      <c r="DT24" s="1022"/>
      <c r="DU24" s="1022"/>
      <c r="DV24" s="1022"/>
      <c r="DW24" s="1022"/>
      <c r="DX24" s="1022"/>
      <c r="DY24" s="1022"/>
      <c r="DZ24" s="1022"/>
      <c r="EA24" s="1022"/>
      <c r="EB24" s="1022"/>
      <c r="EC24" s="1022"/>
      <c r="ED24" s="1022"/>
      <c r="EE24" s="1022"/>
      <c r="EF24" s="1022"/>
      <c r="EG24" s="1022"/>
      <c r="EH24" s="1022"/>
      <c r="EI24" s="1022"/>
      <c r="EJ24" s="1022"/>
      <c r="EK24" s="1022"/>
      <c r="EL24" s="1022"/>
      <c r="EM24" s="1022"/>
      <c r="EN24" s="1022"/>
      <c r="EO24" s="1022"/>
      <c r="EP24" s="1022"/>
      <c r="EQ24" s="1022"/>
      <c r="ER24" s="1022"/>
      <c r="ES24" s="1022"/>
      <c r="ET24" s="1022"/>
      <c r="EU24" s="1022"/>
      <c r="EV24" s="1022"/>
      <c r="EW24" s="1022"/>
      <c r="EX24" s="1022"/>
      <c r="EY24" s="1022"/>
      <c r="EZ24" s="1022"/>
      <c r="FA24" s="1022"/>
      <c r="FB24" s="1022"/>
      <c r="FC24" s="1022"/>
      <c r="FD24" s="1022"/>
      <c r="FE24" s="1022"/>
      <c r="FF24" s="1022"/>
      <c r="FG24" s="1022"/>
      <c r="FH24" s="1022"/>
      <c r="FI24" s="1022"/>
      <c r="FJ24" s="1022"/>
      <c r="FK24" s="1022"/>
      <c r="FL24" s="1022"/>
      <c r="FM24" s="1022"/>
      <c r="FN24" s="1022"/>
      <c r="FO24" s="1022"/>
      <c r="FP24" s="1022"/>
      <c r="FQ24" s="1022"/>
      <c r="FR24" s="1022"/>
      <c r="FS24" s="1022"/>
      <c r="FT24" s="1022"/>
      <c r="FU24" s="1022"/>
      <c r="FV24" s="1022"/>
      <c r="FW24" s="1022"/>
      <c r="FX24" s="994"/>
      <c r="FY24" s="994"/>
      <c r="FZ24" s="994"/>
      <c r="GA24" s="994"/>
      <c r="GB24" s="994"/>
      <c r="GC24" s="992">
        <v>12</v>
      </c>
    </row>
    <row r="25" s="992" customFormat="1" ht="12.75" customHeight="1">
      <c r="A25" s="994"/>
      <c r="B25" s="994"/>
      <c r="C25" s="994"/>
      <c r="D25" s="994"/>
      <c r="E25" s="994"/>
      <c r="FX25" s="994"/>
      <c r="FY25" s="994"/>
      <c r="FZ25" s="994"/>
      <c r="GA25" s="994"/>
      <c r="GB25" s="994"/>
      <c r="GC25" s="992">
        <v>12</v>
      </c>
    </row>
    <row r="26" s="990" customFormat="1" ht="12.75" customHeight="1">
      <c r="A26" s="994"/>
      <c r="B26" s="994"/>
      <c r="C26" s="994"/>
      <c r="D26" s="994"/>
      <c r="E26" s="994"/>
      <c r="O26" s="181"/>
      <c r="P26" s="181"/>
      <c r="Q26" s="181"/>
      <c r="R26" s="181"/>
      <c r="S26" s="181"/>
      <c r="T26" s="181"/>
      <c r="U26" s="181"/>
      <c r="V26" s="181"/>
      <c r="W26" s="181"/>
      <c r="X26" s="181"/>
      <c r="Y26" s="181"/>
      <c r="Z26" s="181"/>
      <c r="AA26" s="181"/>
      <c r="AB26" s="181"/>
      <c r="AC26" s="181"/>
      <c r="AD26" s="181"/>
      <c r="AE26" s="181"/>
      <c r="AF26" s="181"/>
      <c r="AG26" s="181"/>
      <c r="AH26" s="181"/>
      <c r="AI26" s="181"/>
      <c r="AJ26" s="181"/>
      <c r="AK26" s="181"/>
      <c r="AL26" s="181"/>
      <c r="AM26" s="181"/>
      <c r="AN26" s="181"/>
      <c r="AO26" s="181"/>
      <c r="AP26" s="181"/>
      <c r="AQ26" s="181"/>
      <c r="AR26" s="181"/>
      <c r="AS26" s="181"/>
      <c r="AT26" s="181"/>
      <c r="AU26" s="181"/>
      <c r="AV26" s="181"/>
      <c r="AW26" s="181"/>
      <c r="AX26" s="181"/>
      <c r="AY26" s="181"/>
      <c r="AZ26" s="181"/>
      <c r="BA26" s="181"/>
      <c r="BB26" s="181"/>
      <c r="BC26" s="181"/>
      <c r="BD26" s="181"/>
      <c r="BE26" s="181"/>
      <c r="BF26" s="181"/>
      <c r="BG26" s="181"/>
      <c r="BH26" s="181"/>
      <c r="BI26" s="181"/>
      <c r="BJ26" s="181"/>
      <c r="BK26" s="181"/>
      <c r="BL26" s="181"/>
      <c r="BM26" s="181"/>
      <c r="BN26" s="181"/>
      <c r="BO26" s="181"/>
      <c r="BP26" s="181"/>
      <c r="BQ26" s="181"/>
      <c r="BR26" s="181"/>
      <c r="BS26" s="181"/>
      <c r="BT26" s="1044"/>
      <c r="BU26" s="1044"/>
      <c r="BV26" s="1044"/>
      <c r="BW26" s="1044"/>
      <c r="BX26" s="1044"/>
      <c r="BY26" s="1044"/>
      <c r="BZ26" s="1044"/>
      <c r="CA26" s="1044"/>
      <c r="CB26" s="1044"/>
      <c r="CC26" s="1044"/>
      <c r="CD26" s="1044"/>
      <c r="CE26" s="1044"/>
      <c r="CF26" s="1044"/>
      <c r="CG26" s="1044"/>
      <c r="CH26" s="1044"/>
      <c r="CI26" s="1044"/>
      <c r="CJ26" s="1044"/>
      <c r="CK26" s="1044"/>
      <c r="CL26" s="1044"/>
      <c r="CM26" s="1044"/>
      <c r="CN26" s="1044"/>
      <c r="CO26" s="1044"/>
      <c r="CP26" s="1044"/>
      <c r="CQ26" s="1044"/>
      <c r="CR26" s="1044"/>
      <c r="CS26" s="1044"/>
      <c r="CT26" s="1044"/>
      <c r="CU26" s="1044"/>
      <c r="CV26" s="1044"/>
      <c r="CW26" s="1044"/>
      <c r="CX26" s="1044"/>
      <c r="CY26" s="1044"/>
      <c r="CZ26" s="1044"/>
      <c r="DA26" s="1044"/>
      <c r="DB26" s="1044"/>
      <c r="DC26" s="1044"/>
      <c r="DD26" s="1044"/>
      <c r="DE26" s="1044"/>
      <c r="DF26" s="1044"/>
      <c r="DG26" s="1044"/>
      <c r="DH26" s="1044"/>
      <c r="DI26" s="1044"/>
      <c r="DJ26" s="1044"/>
      <c r="DK26" s="1044"/>
      <c r="DL26" s="1044"/>
      <c r="DM26" s="1044"/>
      <c r="DN26" s="1044"/>
      <c r="DO26" s="1044"/>
      <c r="DP26" s="1044"/>
      <c r="DQ26" s="1044"/>
      <c r="DR26" s="1044"/>
      <c r="DS26" s="1044"/>
      <c r="DT26" s="1044"/>
      <c r="DU26" s="1044"/>
      <c r="DV26" s="1044"/>
      <c r="DW26" s="1044"/>
      <c r="DX26" s="1044"/>
      <c r="FX26" s="994"/>
      <c r="FY26" s="994"/>
      <c r="FZ26" s="994"/>
      <c r="GA26" s="994"/>
      <c r="GB26" s="994"/>
      <c r="GC26" s="990">
        <v>12</v>
      </c>
    </row>
    <row r="27" ht="12.75" customHeight="1">
      <c r="S27" s="994"/>
      <c r="T27" s="994"/>
      <c r="U27" s="994"/>
      <c r="V27" s="994"/>
      <c r="W27" s="994"/>
      <c r="X27" s="994"/>
      <c r="Y27" s="994"/>
      <c r="Z27" s="994"/>
      <c r="AA27" s="994"/>
      <c r="AB27" s="994"/>
      <c r="FX27" s="994"/>
      <c r="FY27" s="994"/>
      <c r="FZ27" s="994"/>
      <c r="GA27" s="994"/>
      <c r="GB27" s="994"/>
      <c r="GC27" s="990">
        <v>12</v>
      </c>
    </row>
    <row r="28" ht="12" hidden="1" customHeight="1">
      <c r="A28" s="990" t="s">
        <v>81</v>
      </c>
      <c r="B28" s="991">
        <v>0</v>
      </c>
      <c r="C28" s="990">
        <v>0</v>
      </c>
      <c r="D28" s="990">
        <v>0</v>
      </c>
      <c r="E28" s="990">
        <v>3</v>
      </c>
      <c r="F28" s="990">
        <v>6</v>
      </c>
      <c r="G28" s="990">
        <v>18</v>
      </c>
      <c r="H28" s="990">
        <v>27</v>
      </c>
      <c r="I28" s="990">
        <v>18</v>
      </c>
      <c r="J28" s="990">
        <v>0</v>
      </c>
      <c r="K28" s="990">
        <v>0</v>
      </c>
      <c r="L28" s="990">
        <v>0</v>
      </c>
      <c r="M28" s="990">
        <v>0</v>
      </c>
      <c r="N28" s="990">
        <v>0</v>
      </c>
      <c r="O28" s="990">
        <v>0</v>
      </c>
      <c r="P28" s="990">
        <v>0</v>
      </c>
      <c r="Q28" s="990">
        <v>0</v>
      </c>
      <c r="R28" s="990">
        <v>0</v>
      </c>
      <c r="S28" s="990">
        <v>0</v>
      </c>
      <c r="T28" s="990">
        <v>0</v>
      </c>
      <c r="U28" s="990">
        <v>0</v>
      </c>
      <c r="V28" s="990">
        <v>0</v>
      </c>
      <c r="W28" s="990">
        <v>0</v>
      </c>
      <c r="X28" s="990">
        <v>0</v>
      </c>
      <c r="Y28" s="990">
        <v>0</v>
      </c>
      <c r="Z28" s="990">
        <v>0</v>
      </c>
      <c r="AA28" s="990">
        <v>0</v>
      </c>
      <c r="AB28" s="990">
        <v>0</v>
      </c>
      <c r="AC28" s="990">
        <v>0</v>
      </c>
      <c r="AD28" s="990">
        <v>0</v>
      </c>
      <c r="AE28" s="990">
        <v>0</v>
      </c>
      <c r="AF28" s="990">
        <v>0</v>
      </c>
      <c r="AG28" s="990">
        <v>0</v>
      </c>
      <c r="AH28" s="990">
        <v>0</v>
      </c>
      <c r="AI28" s="990">
        <v>0</v>
      </c>
      <c r="AJ28" s="990">
        <v>0</v>
      </c>
      <c r="AK28" s="990">
        <v>0</v>
      </c>
      <c r="AL28" s="990">
        <v>0</v>
      </c>
      <c r="AM28" s="990">
        <v>0</v>
      </c>
      <c r="AN28" s="990">
        <v>0</v>
      </c>
      <c r="AO28" s="990">
        <v>0</v>
      </c>
      <c r="AP28" s="990">
        <v>0</v>
      </c>
      <c r="AQ28" s="990">
        <v>0</v>
      </c>
      <c r="AR28" s="990">
        <v>0</v>
      </c>
      <c r="AS28" s="990">
        <v>0</v>
      </c>
      <c r="AT28" s="990">
        <v>0</v>
      </c>
      <c r="AU28" s="990">
        <v>0</v>
      </c>
      <c r="AV28" s="990">
        <v>0</v>
      </c>
      <c r="AW28" s="990">
        <v>0</v>
      </c>
      <c r="AX28" s="990">
        <v>0</v>
      </c>
      <c r="AY28" s="990">
        <v>0</v>
      </c>
      <c r="AZ28" s="990">
        <v>0</v>
      </c>
      <c r="BA28" s="990">
        <v>0</v>
      </c>
      <c r="BB28" s="990">
        <v>0</v>
      </c>
      <c r="BC28" s="990">
        <v>0</v>
      </c>
      <c r="BD28" s="990">
        <v>0</v>
      </c>
      <c r="BE28" s="990">
        <v>0</v>
      </c>
      <c r="BF28" s="990">
        <v>0</v>
      </c>
      <c r="BG28" s="990">
        <v>0</v>
      </c>
      <c r="BH28" s="990">
        <v>0</v>
      </c>
      <c r="BI28" s="990">
        <v>0</v>
      </c>
      <c r="BJ28" s="990">
        <v>0</v>
      </c>
      <c r="BK28" s="990">
        <v>0</v>
      </c>
      <c r="BL28" s="990">
        <v>0</v>
      </c>
      <c r="BM28" s="990">
        <v>0</v>
      </c>
      <c r="BN28" s="990">
        <v>0</v>
      </c>
      <c r="BO28" s="990">
        <v>0</v>
      </c>
      <c r="BP28" s="990">
        <v>0</v>
      </c>
      <c r="BQ28" s="990">
        <v>0</v>
      </c>
      <c r="BR28" s="990">
        <v>0</v>
      </c>
      <c r="BS28" s="990">
        <v>0</v>
      </c>
      <c r="BT28" s="990">
        <v>0</v>
      </c>
      <c r="BU28" s="990">
        <v>0</v>
      </c>
      <c r="BV28" s="990">
        <v>0</v>
      </c>
      <c r="BW28" s="990">
        <v>0</v>
      </c>
      <c r="BX28" s="990">
        <v>0</v>
      </c>
      <c r="BY28" s="990">
        <v>0</v>
      </c>
      <c r="BZ28" s="990">
        <v>0</v>
      </c>
      <c r="CA28" s="990">
        <v>0</v>
      </c>
      <c r="CB28" s="990">
        <v>0</v>
      </c>
      <c r="CC28" s="990">
        <v>0</v>
      </c>
      <c r="CD28" s="990">
        <v>0</v>
      </c>
      <c r="CE28" s="990">
        <v>0</v>
      </c>
      <c r="CF28" s="990">
        <v>0</v>
      </c>
      <c r="CG28" s="990">
        <v>0</v>
      </c>
      <c r="CH28" s="990">
        <v>0</v>
      </c>
      <c r="CI28" s="990">
        <v>0</v>
      </c>
      <c r="CJ28" s="990">
        <v>0</v>
      </c>
      <c r="CK28" s="990">
        <v>0</v>
      </c>
      <c r="CL28" s="990">
        <v>0</v>
      </c>
      <c r="CM28" s="990">
        <v>0</v>
      </c>
      <c r="CN28" s="990">
        <v>0</v>
      </c>
      <c r="CO28" s="990">
        <v>0</v>
      </c>
      <c r="CP28" s="990">
        <v>0</v>
      </c>
      <c r="CQ28" s="990">
        <v>0</v>
      </c>
      <c r="CR28" s="990">
        <v>0</v>
      </c>
      <c r="CS28" s="990">
        <v>0</v>
      </c>
      <c r="CT28" s="990">
        <v>0</v>
      </c>
      <c r="CU28" s="990">
        <v>0</v>
      </c>
      <c r="CV28" s="990">
        <v>0</v>
      </c>
      <c r="CW28" s="990">
        <v>0</v>
      </c>
      <c r="CX28" s="990">
        <v>0</v>
      </c>
      <c r="CY28" s="990">
        <v>0</v>
      </c>
      <c r="CZ28" s="990">
        <v>0</v>
      </c>
      <c r="DA28" s="990">
        <v>0</v>
      </c>
      <c r="DB28" s="990">
        <v>0</v>
      </c>
      <c r="DC28" s="990">
        <v>0</v>
      </c>
      <c r="DD28" s="990">
        <v>0</v>
      </c>
      <c r="DE28" s="990">
        <v>0</v>
      </c>
      <c r="DF28" s="990">
        <v>0</v>
      </c>
      <c r="DG28" s="990">
        <v>0</v>
      </c>
      <c r="DH28" s="990">
        <v>0</v>
      </c>
      <c r="DI28" s="990">
        <v>0</v>
      </c>
      <c r="DJ28" s="990">
        <v>0</v>
      </c>
      <c r="DK28" s="990">
        <v>0</v>
      </c>
      <c r="DL28" s="990">
        <v>0</v>
      </c>
      <c r="DM28" s="990">
        <v>0</v>
      </c>
      <c r="DN28" s="990">
        <v>0</v>
      </c>
      <c r="DO28" s="990">
        <v>0</v>
      </c>
      <c r="DP28" s="990">
        <v>0</v>
      </c>
      <c r="DQ28" s="990">
        <v>0</v>
      </c>
      <c r="DR28" s="990">
        <v>0</v>
      </c>
      <c r="DS28" s="990">
        <v>0</v>
      </c>
      <c r="DT28" s="990">
        <v>0</v>
      </c>
      <c r="DU28" s="990">
        <v>0</v>
      </c>
      <c r="DV28" s="990">
        <v>0</v>
      </c>
      <c r="DW28" s="990">
        <v>0</v>
      </c>
      <c r="DX28" s="990">
        <v>0</v>
      </c>
      <c r="DY28" s="990">
        <v>0</v>
      </c>
      <c r="DZ28" s="990">
        <v>0</v>
      </c>
      <c r="EA28" s="990">
        <v>0</v>
      </c>
      <c r="EB28" s="990">
        <v>0</v>
      </c>
      <c r="EC28" s="990">
        <v>0</v>
      </c>
      <c r="ED28" s="990">
        <v>0</v>
      </c>
      <c r="EE28" s="990">
        <v>0</v>
      </c>
      <c r="EF28" s="990">
        <v>0</v>
      </c>
      <c r="EG28" s="990">
        <v>0</v>
      </c>
      <c r="EH28" s="990">
        <v>0</v>
      </c>
      <c r="EI28" s="990">
        <v>0</v>
      </c>
      <c r="EJ28" s="990">
        <v>0</v>
      </c>
      <c r="EK28" s="990">
        <v>0</v>
      </c>
      <c r="EL28" s="990">
        <v>0</v>
      </c>
      <c r="EM28" s="990">
        <v>0</v>
      </c>
      <c r="EN28" s="990">
        <v>0</v>
      </c>
      <c r="EO28" s="990">
        <v>0</v>
      </c>
      <c r="EP28" s="990">
        <v>0</v>
      </c>
      <c r="EQ28" s="990">
        <v>0</v>
      </c>
      <c r="ER28" s="990">
        <v>0</v>
      </c>
      <c r="ES28" s="990">
        <v>0</v>
      </c>
      <c r="ET28" s="990">
        <v>0</v>
      </c>
      <c r="EU28" s="990">
        <v>0</v>
      </c>
      <c r="EV28" s="990">
        <v>0</v>
      </c>
      <c r="EW28" s="990">
        <v>0</v>
      </c>
      <c r="EX28" s="990">
        <v>0</v>
      </c>
      <c r="EY28" s="990">
        <v>0</v>
      </c>
      <c r="EZ28" s="990">
        <v>0</v>
      </c>
      <c r="FA28" s="990">
        <v>0</v>
      </c>
      <c r="FB28" s="990">
        <v>0</v>
      </c>
      <c r="FC28" s="990">
        <v>0</v>
      </c>
      <c r="FD28" s="990">
        <v>0</v>
      </c>
      <c r="FE28" s="990">
        <v>0</v>
      </c>
      <c r="FF28" s="990">
        <v>0</v>
      </c>
      <c r="FG28" s="990">
        <v>0</v>
      </c>
      <c r="FH28" s="990">
        <v>0</v>
      </c>
      <c r="FI28" s="990">
        <v>0</v>
      </c>
      <c r="FJ28" s="990">
        <v>0</v>
      </c>
      <c r="FK28" s="990">
        <v>0</v>
      </c>
      <c r="FL28" s="990">
        <v>0</v>
      </c>
      <c r="FM28" s="990">
        <v>0</v>
      </c>
      <c r="FN28" s="990">
        <v>0</v>
      </c>
      <c r="FO28" s="990">
        <v>0</v>
      </c>
      <c r="FP28" s="990">
        <v>0</v>
      </c>
      <c r="FQ28" s="990">
        <v>0</v>
      </c>
      <c r="FR28" s="990">
        <v>0</v>
      </c>
      <c r="FS28" s="990">
        <v>0</v>
      </c>
      <c r="FT28" s="990">
        <v>0</v>
      </c>
      <c r="FU28" s="990">
        <v>0</v>
      </c>
      <c r="FV28" s="990">
        <v>0</v>
      </c>
      <c r="FW28" s="990">
        <v>0</v>
      </c>
      <c r="FX28" s="990">
        <v>8</v>
      </c>
      <c r="FY28" s="990">
        <v>8</v>
      </c>
      <c r="FZ28" s="990">
        <v>8</v>
      </c>
      <c r="GA28" s="990">
        <v>8</v>
      </c>
      <c r="GB28" s="990">
        <v>8</v>
      </c>
      <c r="GC28" s="990">
        <v>12</v>
      </c>
    </row>
  </sheetData>
  <sheetProtection autoFilter="0" deleteColumns="1" deleteRows="1" formatCells="1" formatColumns="0" formatRows="0" insertColumns="1" insertHyperlinks="1" insertRows="1" objects="0" pivotTables="1" scenarios="0" selectLockedCells="0" selectUnlockedCells="0" sheet="1" sort="1"/>
  <mergeCells count="198">
    <mergeCell ref="F5:BS5"/>
    <mergeCell ref="F6:BS6"/>
    <mergeCell ref="O8:BS8"/>
    <mergeCell ref="BT8:CX8"/>
    <mergeCell ref="CY8:DX8"/>
    <mergeCell ref="DY8:FV8"/>
    <mergeCell ref="FW8:FW17"/>
    <mergeCell ref="F10:FV10"/>
    <mergeCell ref="F11:F17"/>
    <mergeCell ref="G11:G17"/>
    <mergeCell ref="H11:H17"/>
    <mergeCell ref="I11:I17"/>
    <mergeCell ref="J11:J17"/>
    <mergeCell ref="K11:K17"/>
    <mergeCell ref="L11:L17"/>
    <mergeCell ref="M11:M17"/>
    <mergeCell ref="N11:N17"/>
    <mergeCell ref="O11:AB11"/>
    <mergeCell ref="AC11:AC17"/>
    <mergeCell ref="AD11:AD17"/>
    <mergeCell ref="AE11:AE17"/>
    <mergeCell ref="AF11:AF17"/>
    <mergeCell ref="AG11:AG17"/>
    <mergeCell ref="AH11:AH17"/>
    <mergeCell ref="AI11:AI17"/>
    <mergeCell ref="AJ11:AJ17"/>
    <mergeCell ref="AK11:AK17"/>
    <mergeCell ref="AL11:AL17"/>
    <mergeCell ref="AM11:AM17"/>
    <mergeCell ref="AN11:AN17"/>
    <mergeCell ref="AO11:AO17"/>
    <mergeCell ref="AP11:AP17"/>
    <mergeCell ref="AQ11:AQ17"/>
    <mergeCell ref="AR11:AR17"/>
    <mergeCell ref="AS11:AS17"/>
    <mergeCell ref="AT11:AT17"/>
    <mergeCell ref="AU11:AU17"/>
    <mergeCell ref="AV11:AV17"/>
    <mergeCell ref="AW11:AW17"/>
    <mergeCell ref="AX11:AX17"/>
    <mergeCell ref="AY11:AY17"/>
    <mergeCell ref="AZ11:AZ17"/>
    <mergeCell ref="BA11:BA17"/>
    <mergeCell ref="BB11:BB17"/>
    <mergeCell ref="BC11:BC17"/>
    <mergeCell ref="BD11:BD17"/>
    <mergeCell ref="BE11:BE17"/>
    <mergeCell ref="BF11:BF17"/>
    <mergeCell ref="BG11:BG17"/>
    <mergeCell ref="BH11:BH17"/>
    <mergeCell ref="BI11:BI17"/>
    <mergeCell ref="BJ11:BJ17"/>
    <mergeCell ref="BK11:BK17"/>
    <mergeCell ref="BL11:BL17"/>
    <mergeCell ref="BM11:BM17"/>
    <mergeCell ref="BN11:BN17"/>
    <mergeCell ref="BO11:BO17"/>
    <mergeCell ref="BP11:BP17"/>
    <mergeCell ref="BQ11:BQ17"/>
    <mergeCell ref="BR11:BR17"/>
    <mergeCell ref="BS11:BS17"/>
    <mergeCell ref="BT11:CK11"/>
    <mergeCell ref="CL11:CL17"/>
    <mergeCell ref="CM11:CM17"/>
    <mergeCell ref="CN11:CN17"/>
    <mergeCell ref="CO11:CO17"/>
    <mergeCell ref="CP11:CP17"/>
    <mergeCell ref="CQ11:CQ17"/>
    <mergeCell ref="CR11:CR17"/>
    <mergeCell ref="CS11:CS17"/>
    <mergeCell ref="CT11:CT17"/>
    <mergeCell ref="CU11:CU17"/>
    <mergeCell ref="CV11:CV17"/>
    <mergeCell ref="CW11:CW17"/>
    <mergeCell ref="CX11:CX17"/>
    <mergeCell ref="CY11:DJ11"/>
    <mergeCell ref="DK11:DK17"/>
    <mergeCell ref="DL11:DL17"/>
    <mergeCell ref="DM11:DM17"/>
    <mergeCell ref="DN11:DN17"/>
    <mergeCell ref="DO11:DO17"/>
    <mergeCell ref="DP11:DP17"/>
    <mergeCell ref="DQ11:DQ17"/>
    <mergeCell ref="DR11:DR17"/>
    <mergeCell ref="DS11:DS17"/>
    <mergeCell ref="DT11:DT17"/>
    <mergeCell ref="DU11:DU17"/>
    <mergeCell ref="DV11:DV17"/>
    <mergeCell ref="DW11:DW17"/>
    <mergeCell ref="DX11:DX17"/>
    <mergeCell ref="DY11:DY17"/>
    <mergeCell ref="DZ11:DZ17"/>
    <mergeCell ref="EA11:EA17"/>
    <mergeCell ref="EB11:EB17"/>
    <mergeCell ref="EC11:EC17"/>
    <mergeCell ref="ED11:ED17"/>
    <mergeCell ref="EE11:EE17"/>
    <mergeCell ref="EF11:EF17"/>
    <mergeCell ref="EG11:EG17"/>
    <mergeCell ref="EH11:EH17"/>
    <mergeCell ref="EI11:EI17"/>
    <mergeCell ref="EJ11:EJ17"/>
    <mergeCell ref="EK11:EK17"/>
    <mergeCell ref="EL11:EL17"/>
    <mergeCell ref="EM11:EM17"/>
    <mergeCell ref="EN11:EN17"/>
    <mergeCell ref="EO11:EO17"/>
    <mergeCell ref="EP11:EP17"/>
    <mergeCell ref="EQ11:EQ17"/>
    <mergeCell ref="ER11:ER17"/>
    <mergeCell ref="ES11:ES17"/>
    <mergeCell ref="ET11:ET17"/>
    <mergeCell ref="EU11:EU17"/>
    <mergeCell ref="EV11:EV17"/>
    <mergeCell ref="EW11:EW17"/>
    <mergeCell ref="EX11:EX17"/>
    <mergeCell ref="EY11:EY17"/>
    <mergeCell ref="EZ11:EZ17"/>
    <mergeCell ref="FA11:FA17"/>
    <mergeCell ref="FB11:FB17"/>
    <mergeCell ref="FC11:FC17"/>
    <mergeCell ref="FD11:FD17"/>
    <mergeCell ref="FE11:FE17"/>
    <mergeCell ref="FF11:FF17"/>
    <mergeCell ref="FG11:FG17"/>
    <mergeCell ref="FH11:FH17"/>
    <mergeCell ref="FI11:FI17"/>
    <mergeCell ref="FJ11:FJ17"/>
    <mergeCell ref="FK11:FK17"/>
    <mergeCell ref="FL11:FL17"/>
    <mergeCell ref="FM11:FM17"/>
    <mergeCell ref="FN11:FN17"/>
    <mergeCell ref="FO11:FO17"/>
    <mergeCell ref="FP11:FP17"/>
    <mergeCell ref="FQ11:FQ17"/>
    <mergeCell ref="FR11:FR17"/>
    <mergeCell ref="FS11:FS17"/>
    <mergeCell ref="FT11:FT17"/>
    <mergeCell ref="FU11:FU17"/>
    <mergeCell ref="FV11:FV17"/>
    <mergeCell ref="O12:R12"/>
    <mergeCell ref="S12:AB12"/>
    <mergeCell ref="BT12:BW12"/>
    <mergeCell ref="BX12:CA12"/>
    <mergeCell ref="CB12:CC12"/>
    <mergeCell ref="CD12:CK12"/>
    <mergeCell ref="CY12:DD12"/>
    <mergeCell ref="DE12:DF12"/>
    <mergeCell ref="DG12:DJ12"/>
    <mergeCell ref="O13:R13"/>
    <mergeCell ref="S13:T15"/>
    <mergeCell ref="U13:X13"/>
    <mergeCell ref="Y13:AB13"/>
    <mergeCell ref="BT13:BU15"/>
    <mergeCell ref="BV13:BW15"/>
    <mergeCell ref="BX13:BY15"/>
    <mergeCell ref="BZ13:CA15"/>
    <mergeCell ref="CB13:CC15"/>
    <mergeCell ref="CD13:CE15"/>
    <mergeCell ref="CF13:CG15"/>
    <mergeCell ref="CH13:CK13"/>
    <mergeCell ref="CY13:CZ15"/>
    <mergeCell ref="DA13:DB15"/>
    <mergeCell ref="DC13:DD15"/>
    <mergeCell ref="DE13:DF15"/>
    <mergeCell ref="DG13:DJ13"/>
    <mergeCell ref="O14:P15"/>
    <mergeCell ref="Q14:R15"/>
    <mergeCell ref="U14:V15"/>
    <mergeCell ref="W14:X15"/>
    <mergeCell ref="Y14:Z15"/>
    <mergeCell ref="AA14:AB15"/>
    <mergeCell ref="CH14:CI15"/>
    <mergeCell ref="CJ14:CK15"/>
    <mergeCell ref="DG14:DH15"/>
    <mergeCell ref="DI14:DJ15"/>
    <mergeCell ref="O16:P16"/>
    <mergeCell ref="Q16:R16"/>
    <mergeCell ref="S16:T16"/>
    <mergeCell ref="U16:V16"/>
    <mergeCell ref="W16:X16"/>
    <mergeCell ref="Y16:Z16"/>
    <mergeCell ref="AA16:AB16"/>
    <mergeCell ref="BT16:BU16"/>
    <mergeCell ref="BV16:BW16"/>
    <mergeCell ref="BX16:BY16"/>
    <mergeCell ref="BZ16:CA16"/>
    <mergeCell ref="CB16:CC16"/>
    <mergeCell ref="CD16:CE16"/>
    <mergeCell ref="CF16:CG16"/>
    <mergeCell ref="CH16:CI16"/>
    <mergeCell ref="CJ16:CK16"/>
    <mergeCell ref="CY16:CZ16"/>
    <mergeCell ref="DA16:DB16"/>
    <mergeCell ref="DC16:DD16"/>
    <mergeCell ref="DE16:DF16"/>
    <mergeCell ref="DG16:DH16"/>
    <mergeCell ref="DI16:DJ16"/>
  </mergeCells>
  <dataValidations count="1" disablePrompts="0">
    <dataValidation sqref="AA14:AB16 U16:Z16" type="none" allowBlank="1" errorStyle="stop" imeMode="noControl" operator="between"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6" disablePrompts="0">
        <x14:dataValidation xr:uid="{001B00F7-0025-4EB3-A4BA-00B200D200C8}" type="list" allowBlank="1" error="Выберите значение из списка" errorStyle="stop" errorTitle="Ошибка" imeMode="noControl" operator="between" prompt="Выберите значение из списка" showDropDown="0" showErrorMessage="1" showInputMessage="1">
          <x14:formula1>
            <xm:f>QRE_METHOD_LIST</xm:f>
          </x14:formula1>
          <xm:sqref>H22</xm:sqref>
        </x14:dataValidation>
        <x14:dataValidation xr:uid="{00AA0031-00AE-41D5-9E26-00A500BD0016}" type="textLength" allowBlank="1" error="Допускается ввод не более 900 символов!" errorStyle="stop" errorTitle="Ошибка" imeMode="noControl" operator="lessThanOrEqual" showDropDown="0" showErrorMessage="1" showInputMessage="1">
          <x14:formula1>
            <xm:f>900</xm:f>
          </x14:formula1>
          <xm:sqref>I22</xm:sqref>
        </x14:dataValidation>
        <x14:dataValidation xr:uid="{00740034-00A7-452D-A877-00E200110082}"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O22</xm:sqref>
        </x14:dataValidation>
        <x14:dataValidation xr:uid="{004300F8-0072-4D7B-B6E0-005200DF004F}"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P22</xm:sqref>
        </x14:dataValidation>
        <x14:dataValidation xr:uid="{00E60013-002C-4DD0-A1E7-003500AB0044}"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Q22</xm:sqref>
        </x14:dataValidation>
        <x14:dataValidation xr:uid="{00E90069-004A-4467-9661-001900B800E9}"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R22</xm:sqref>
        </x14:dataValidation>
        <x14:dataValidation xr:uid="{004200FD-00B9-41F2-8296-0085004B005B}"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S22</xm:sqref>
        </x14:dataValidation>
        <x14:dataValidation xr:uid="{00060057-0081-4BC2-A8A6-008800500098}"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T22</xm:sqref>
        </x14:dataValidation>
        <x14:dataValidation xr:uid="{00A200E2-0011-44B9-9EC1-00FE008C002C}"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U22</xm:sqref>
        </x14:dataValidation>
        <x14:dataValidation xr:uid="{00A20019-00CA-4846-89B8-006100FC00C9}"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V22</xm:sqref>
        </x14:dataValidation>
        <x14:dataValidation xr:uid="{00F0004A-0028-4D58-A3BC-002B009E0016}"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W22</xm:sqref>
        </x14:dataValidation>
        <x14:dataValidation xr:uid="{00800041-005B-4354-AC8B-000400D30078}"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X22</xm:sqref>
        </x14:dataValidation>
        <x14:dataValidation xr:uid="{00190043-005E-4250-91AE-007C003F00E7}"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Y22</xm:sqref>
        </x14:dataValidation>
        <x14:dataValidation xr:uid="{00850043-0063-4C6F-9141-004A00A4005A}"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Z22</xm:sqref>
        </x14:dataValidation>
        <x14:dataValidation xr:uid="{000F004A-00D8-4B96-9F6D-008D006E0002}"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AA22</xm:sqref>
        </x14:dataValidation>
        <x14:dataValidation xr:uid="{0091007F-008A-4DA9-9220-0049004E00AB}"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AB22</xm:sqref>
        </x14:dataValidation>
        <x14:dataValidation xr:uid="{00B40033-0074-4459-A94F-003100FB00C9}"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BT22</xm:sqref>
        </x14:dataValidation>
        <x14:dataValidation xr:uid="{00E2000D-0098-43E0-B0EF-0055007D0019}"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BU22</xm:sqref>
        </x14:dataValidation>
        <x14:dataValidation xr:uid="{001D00AB-0087-4B72-BB4F-003C009A0006}"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BV22</xm:sqref>
        </x14:dataValidation>
        <x14:dataValidation xr:uid="{00490010-009B-4B7F-B759-001C00F500D5}"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BW22</xm:sqref>
        </x14:dataValidation>
        <x14:dataValidation xr:uid="{00CF00A4-0095-49B6-ACCC-006200410096}"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BX22</xm:sqref>
        </x14:dataValidation>
        <x14:dataValidation xr:uid="{009700D5-0064-4591-B750-005700F90012}"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BY22</xm:sqref>
        </x14:dataValidation>
        <x14:dataValidation xr:uid="{006E008E-00DF-4F99-B6BB-0033001200FE}"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BZ22</xm:sqref>
        </x14:dataValidation>
        <x14:dataValidation xr:uid="{00DD009C-00FD-4A46-8735-00ED00AB00D4}"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CA22</xm:sqref>
        </x14:dataValidation>
        <x14:dataValidation xr:uid="{00A700C4-0071-4194-B599-00CD00FF003F}"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CB22</xm:sqref>
        </x14:dataValidation>
        <x14:dataValidation xr:uid="{007D0092-006F-4B7F-AFC4-009A001B006A}"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CC22</xm:sqref>
        </x14:dataValidation>
        <x14:dataValidation xr:uid="{00780089-007D-4CA4-A3D2-00EE00C50081}"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CD22</xm:sqref>
        </x14:dataValidation>
        <x14:dataValidation xr:uid="{00B3004B-0068-4874-BC0E-00CC00760028}"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CE22</xm:sqref>
        </x14:dataValidation>
        <x14:dataValidation xr:uid="{00F300A3-006C-4789-B6B8-00A800180067}"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CF22</xm:sqref>
        </x14:dataValidation>
        <x14:dataValidation xr:uid="{002E0083-0080-49AC-BD8F-00EE003D0087}"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CG22</xm:sqref>
        </x14:dataValidation>
        <x14:dataValidation xr:uid="{00170063-00D1-4EEF-A9C0-004800720046}"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CH22</xm:sqref>
        </x14:dataValidation>
        <x14:dataValidation xr:uid="{00FF006F-00D1-4797-B16B-0085002F0048}"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CI22</xm:sqref>
        </x14:dataValidation>
        <x14:dataValidation xr:uid="{000A0066-009E-4D83-B933-00FB001700E9}"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CJ22</xm:sqref>
        </x14:dataValidation>
        <x14:dataValidation xr:uid="{001B00B5-0093-4CD5-B675-0010005500DB}"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CK22</xm:sqref>
        </x14:dataValidation>
        <x14:dataValidation xr:uid="{0017000B-0069-4ACF-8A9E-000600FE0005}"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CY22</xm:sqref>
        </x14:dataValidation>
        <x14:dataValidation xr:uid="{004B002E-0042-4E62-9518-00D300910098}"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CZ22</xm:sqref>
        </x14:dataValidation>
        <x14:dataValidation xr:uid="{00A200E6-0025-43C7-BA97-00BE00290059}"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DA22</xm:sqref>
        </x14:dataValidation>
        <x14:dataValidation xr:uid="{008F006B-00DF-4B8A-AC4A-002A00F6007A}"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DB22</xm:sqref>
        </x14:dataValidation>
        <x14:dataValidation xr:uid="{007200C4-008F-4ADA-830F-0084007100DD}"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DC22</xm:sqref>
        </x14:dataValidation>
        <x14:dataValidation xr:uid="{003400CE-00D0-42DA-9800-00A100980020}"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DD22</xm:sqref>
        </x14:dataValidation>
        <x14:dataValidation xr:uid="{002B0063-00F7-43B1-B34D-0010008C00F9}"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DE22</xm:sqref>
        </x14:dataValidation>
        <x14:dataValidation xr:uid="{004A0007-00E6-4F6D-A00B-007B008D00ED}"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DF22</xm:sqref>
        </x14:dataValidation>
        <x14:dataValidation xr:uid="{003B00A3-00BC-4B1A-8153-00F7008B0057}"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DG22</xm:sqref>
        </x14:dataValidation>
        <x14:dataValidation xr:uid="{000E0062-008B-4414-885C-00BD00440054}"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DH22</xm:sqref>
        </x14:dataValidation>
        <x14:dataValidation xr:uid="{005700F5-0032-4F6A-856A-00CF00730018}"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DI22</xm:sqref>
        </x14:dataValidation>
        <x14:dataValidation xr:uid="{00AD0077-00D6-4856-8560-00CF007000C0}"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DJ22</xm:sqref>
        </x14:dataValidation>
      </x14:dataValidations>
    </ext>
  </extLst>
</worksheet>
</file>

<file path=xl/worksheets/sheet4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2" tint="-0.10000000000000001"/>
    <outlinePr applyStyles="0" summaryBelow="1" summaryRight="1" showOutlineSymbols="1"/>
    <pageSetUpPr autoPageBreaks="1" fitToPage="0"/>
  </sheetPr>
  <sheetViews>
    <sheetView showGridLines="0" zoomScale="90" workbookViewId="0">
      <pane xSplit="7" ySplit="14" topLeftCell="H15" activePane="bottomRight" state="frozen"/>
      <selection activeCell="A1" activeCellId="0" sqref="A1"/>
    </sheetView>
  </sheetViews>
  <sheetFormatPr defaultColWidth="10.57421875" defaultRowHeight="15" customHeight="1"/>
  <cols>
    <col customWidth="1" hidden="1" min="1" max="1" style="56" width="9.140625"/>
    <col customWidth="1" hidden="1" min="2" max="2" style="50" width="9.140625"/>
    <col customWidth="1" min="3" max="3" style="150" width="4.00390625"/>
    <col customWidth="1" min="4" max="4" style="50" width="6.00390625"/>
    <col customWidth="1" min="5" max="5" style="50" width="36.00390625"/>
    <col customWidth="1" min="6" max="6" style="50" width="9.00390625"/>
    <col customWidth="1" hidden="1" min="7" max="7" style="50" width="42.421875"/>
    <col customWidth="1" min="8" max="8" style="50" width="40.7109375"/>
    <col customWidth="1" min="9" max="9" style="53" width="93.00390625"/>
    <col customWidth="1" min="10" max="17" style="50" width="10.00390625"/>
    <col customWidth="1" min="18" max="18" style="115" width="10.00390625"/>
    <col hidden="1" min="19" max="19" style="50" width="10.57421875"/>
  </cols>
  <sheetData>
    <row r="1" s="53" customFormat="1" ht="15" hidden="1" customHeight="1">
      <c r="C1" s="114"/>
      <c r="H1" s="53">
        <v>4</v>
      </c>
      <c r="R1" s="167"/>
      <c r="S1" s="53" t="s">
        <v>14</v>
      </c>
    </row>
    <row r="2" ht="22.5" hidden="1" customHeight="1">
      <c r="C2" s="1045" t="s">
        <v>683</v>
      </c>
      <c r="D2" s="219"/>
      <c r="E2" s="449"/>
      <c r="F2" s="158" t="str">
        <f>IF(TEMPLATE_SPHERE="HEAT","Гкал/час","тыс. куб. м/сутки")</f>
        <v xml:space="preserve">тыс. куб. м/сутки</v>
      </c>
      <c r="G2" s="848"/>
      <c r="H2" s="848"/>
      <c r="I2" s="486"/>
      <c r="S2" s="50">
        <v>0</v>
      </c>
    </row>
    <row r="3" s="53" customFormat="1" ht="15" hidden="1" customHeight="1">
      <c r="C3" s="114"/>
      <c r="R3" s="167"/>
      <c r="S3" s="53">
        <v>0</v>
      </c>
    </row>
    <row r="4" ht="15.75" customHeight="1">
      <c r="C4" s="150"/>
      <c r="D4" s="50"/>
      <c r="E4" s="50"/>
      <c r="F4" s="50"/>
      <c r="G4" s="50"/>
      <c r="H4" s="50"/>
      <c r="S4" s="50">
        <v>15</v>
      </c>
    </row>
    <row r="5" ht="39.75" customHeight="1">
      <c r="C5" s="150"/>
      <c r="D5" s="453" t="str">
        <f>TP_NAME_FORM</f>
        <v xml:space="preserve">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453"/>
      <c r="F5" s="453"/>
      <c r="G5" s="453"/>
      <c r="H5" s="453"/>
      <c r="I5" s="53"/>
      <c r="S5" s="50">
        <v>38</v>
      </c>
    </row>
    <row r="6" ht="15.75" customHeight="1">
      <c r="C6" s="150"/>
      <c r="D6" s="304" t="str">
        <f>IF(org=0,"Не определено",org)</f>
        <v xml:space="preserve">АО "ДГК" СП "Биробиджанская ТЭЦ"</v>
      </c>
      <c r="E6" s="304"/>
      <c r="F6" s="304"/>
      <c r="G6" s="304"/>
      <c r="H6" s="304"/>
      <c r="I6" s="53"/>
      <c r="S6" s="50">
        <v>15</v>
      </c>
    </row>
    <row r="7" s="50" customFormat="1" ht="15.75" customHeight="1">
      <c r="A7" s="56"/>
      <c r="C7" s="150"/>
      <c r="D7" s="86"/>
      <c r="E7" s="86"/>
      <c r="F7" s="86"/>
      <c r="G7" s="86"/>
      <c r="H7" s="342"/>
      <c r="I7" s="53"/>
      <c r="R7" s="115"/>
      <c r="S7" s="50">
        <v>15</v>
      </c>
    </row>
    <row r="8" ht="1.05" customHeight="1">
      <c r="C8" s="150"/>
      <c r="D8" s="50"/>
      <c r="E8" s="50"/>
      <c r="F8" s="50"/>
      <c r="G8" s="50"/>
      <c r="H8" s="53" t="s">
        <v>113</v>
      </c>
      <c r="S8" s="50">
        <v>1</v>
      </c>
    </row>
    <row r="9" ht="15.75" customHeight="1">
      <c r="C9" s="150"/>
      <c r="D9" s="722"/>
      <c r="E9" s="723" t="s">
        <v>101</v>
      </c>
      <c r="F9" s="724"/>
      <c r="G9" s="879" t="str">
        <f>IF(G8="","",INDEX(DIFFERENTIATION_UNMERGE_VD,MATCH(G8,DIFFERENTIATION_ID_DIFF,0)))</f>
        <v/>
      </c>
      <c r="H9" s="879">
        <f>IF(H8="","",INDEX(DIFFERENTIATION_UNMERGE_VD,MATCH(H8,DIFFERENTIATION_ID_DIFF,0)))</f>
        <v>0</v>
      </c>
      <c r="I9" s="158" t="s">
        <v>295</v>
      </c>
      <c r="S9" s="50">
        <v>15</v>
      </c>
    </row>
    <row r="10" s="50" customFormat="1" ht="15.75" customHeight="1">
      <c r="A10" s="56"/>
      <c r="C10" s="150"/>
      <c r="D10" s="722"/>
      <c r="E10" s="723" t="s">
        <v>558</v>
      </c>
      <c r="F10" s="724"/>
      <c r="G10" s="879" t="str">
        <f>IF(G8="","",INDEX(DIFFERENTIATION_UNMERGE_AREA,MATCH(G8,DIFFERENTIATION_ID_DIFF,0)))</f>
        <v/>
      </c>
      <c r="H10" s="879" t="str">
        <f>IF(H8="","",INDEX(DIFFERENTIATION_UNMERGE_AREA,MATCH(H8,DIFFERENTIATION_ID_DIFF,0)))</f>
        <v/>
      </c>
      <c r="I10" s="158"/>
      <c r="R10" s="115"/>
      <c r="S10" s="50">
        <v>15</v>
      </c>
    </row>
    <row r="11" s="50" customFormat="1" ht="15.75" customHeight="1">
      <c r="A11" s="56"/>
      <c r="C11" s="150"/>
      <c r="D11" s="722"/>
      <c r="E11" s="723" t="s">
        <v>559</v>
      </c>
      <c r="F11" s="724"/>
      <c r="G11" s="879" t="str">
        <f>IF(G8="","",INDEX(DIFFERENTIATION_UNMERGE_SYSTEM,MATCH(G8,DIFFERENTIATION_ID_DIFF,0)))</f>
        <v/>
      </c>
      <c r="H11" s="879" t="str">
        <f>IF(H8="","",INDEX(DIFFERENTIATION_UNMERGE_SYSTEM,MATCH(H8,DIFFERENTIATION_ID_DIFF,0)))</f>
        <v xml:space="preserve">без дифференциации</v>
      </c>
      <c r="I11" s="158"/>
      <c r="R11" s="115"/>
      <c r="S11" s="50">
        <v>15</v>
      </c>
    </row>
    <row r="12" s="50" customFormat="1" ht="15.75" customHeight="1">
      <c r="A12" s="56"/>
      <c r="C12" s="150"/>
      <c r="D12" s="726" t="s">
        <v>294</v>
      </c>
      <c r="E12" s="727"/>
      <c r="F12" s="727"/>
      <c r="G12" s="723"/>
      <c r="H12" s="723"/>
      <c r="I12" s="158"/>
      <c r="R12" s="115"/>
      <c r="S12" s="50">
        <v>15</v>
      </c>
    </row>
    <row r="13" ht="35.649999999999999" customHeight="1">
      <c r="C13" s="150"/>
      <c r="D13" s="158" t="s">
        <v>87</v>
      </c>
      <c r="E13" s="158" t="s">
        <v>296</v>
      </c>
      <c r="F13" s="158" t="s">
        <v>560</v>
      </c>
      <c r="G13" s="73" t="s">
        <v>297</v>
      </c>
      <c r="H13" s="73" t="s">
        <v>297</v>
      </c>
      <c r="I13" s="158"/>
      <c r="S13" s="50">
        <v>34</v>
      </c>
    </row>
    <row r="14" ht="15" hidden="1" customHeight="1">
      <c r="C14" s="150"/>
      <c r="D14" s="207" t="s">
        <v>105</v>
      </c>
      <c r="E14" s="207" t="s">
        <v>106</v>
      </c>
      <c r="F14" s="207" t="s">
        <v>89</v>
      </c>
      <c r="G14" s="150" t="str">
        <f>G1&amp;".1"</f>
        <v>.1</v>
      </c>
      <c r="H14" s="150" t="str">
        <f>H1&amp;".1"</f>
        <v>4.1</v>
      </c>
      <c r="I14" s="486"/>
      <c r="S14" s="50">
        <v>0</v>
      </c>
    </row>
    <row r="15" ht="15.75" customHeight="1">
      <c r="A15" s="50"/>
      <c r="C15" s="129"/>
      <c r="D15" s="158">
        <v>1</v>
      </c>
      <c r="E15" s="256" t="str">
        <f>TP_P_A</f>
        <v xml:space="preserve">Количество поданных заявлений </v>
      </c>
      <c r="F15" s="158" t="s">
        <v>1147</v>
      </c>
      <c r="G15" s="1046"/>
      <c r="H15" s="1046"/>
      <c r="I15" s="823" t="str">
        <f>TP_P_NOTE_A</f>
        <v xml:space="preserve">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0">
        <v>15</v>
      </c>
    </row>
    <row r="16" ht="15.75" customHeight="1">
      <c r="A16" s="50"/>
      <c r="C16" s="129"/>
      <c r="D16" s="158">
        <v>2</v>
      </c>
      <c r="E16" s="256" t="str">
        <f>TP_P_B</f>
        <v xml:space="preserve">Количество исполненных заявлений </v>
      </c>
      <c r="F16" s="158" t="s">
        <v>1147</v>
      </c>
      <c r="G16" s="1046"/>
      <c r="H16" s="1046"/>
      <c r="I16" s="823" t="str">
        <f>TP_P_NOTE_B</f>
        <v xml:space="preserve">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0">
        <v>15</v>
      </c>
    </row>
    <row r="17" ht="77.700000000000003" customHeight="1">
      <c r="A17" s="50"/>
      <c r="C17" s="129"/>
      <c r="D17" s="158">
        <v>3</v>
      </c>
      <c r="E17" s="256" t="str">
        <f>TP_P_V</f>
        <v xml:space="preserve">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158" t="s">
        <v>1147</v>
      </c>
      <c r="G17" s="1046"/>
      <c r="H17" s="1046"/>
      <c r="I17" s="823" t="str">
        <f>TP_P_NOTE_V</f>
        <v xml:space="preserve">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0">
        <v>74</v>
      </c>
    </row>
    <row r="18" ht="54.75" customHeight="1">
      <c r="A18" s="50"/>
      <c r="C18" s="129"/>
      <c r="D18" s="158">
        <v>4</v>
      </c>
      <c r="E18" s="256" t="str">
        <f>TP_P_V_1</f>
        <v xml:space="preserve">Причины отказа в заключении договора о подключении (технологическом присоединении) к централизованной системе горячего водоснабжения</v>
      </c>
      <c r="F18" s="158" t="s">
        <v>300</v>
      </c>
      <c r="G18" s="680"/>
      <c r="H18" s="680"/>
      <c r="I18" s="256" t="str">
        <f>TP_P_NOTE_V_1</f>
        <v xml:space="preserve">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
        <v>52</v>
      </c>
    </row>
    <row r="19" ht="60" customHeight="1">
      <c r="A19" s="50"/>
      <c r="C19" s="129"/>
      <c r="D19" s="158">
        <v>5</v>
      </c>
      <c r="E19" s="256" t="str">
        <f>TP_P_G</f>
        <v xml:space="preserve">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158" t="str">
        <f>IF(TEMPLATE_SPHERE="HEAT","Гкал/час","тыс. куб. м/сутки")</f>
        <v xml:space="preserve">тыс. куб. м/сутки</v>
      </c>
      <c r="G19" s="1047">
        <f>SUM(G20:G22)</f>
        <v>0</v>
      </c>
      <c r="H19" s="1047">
        <f>SUM(H20:H22)</f>
        <v>0</v>
      </c>
      <c r="I19" s="823" t="str">
        <f>TP_P_NOTE_G</f>
        <v xml:space="preserve">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0">
        <v>57</v>
      </c>
    </row>
    <row r="20" ht="15" hidden="1" customHeight="1">
      <c r="D20" s="50" t="s">
        <v>1148</v>
      </c>
      <c r="E20" s="86"/>
      <c r="F20" s="50"/>
      <c r="G20" s="50"/>
      <c r="H20" s="50"/>
      <c r="I20" s="1048"/>
      <c r="S20" s="50">
        <v>0</v>
      </c>
    </row>
    <row r="21" ht="29.25" customHeight="1">
      <c r="C21" s="129"/>
      <c r="D21" s="219" t="s">
        <v>307</v>
      </c>
      <c r="E21" s="95"/>
      <c r="F21" s="158" t="str">
        <f>IF(TEMPLATE_SPHERE="HEAT","Гкал/час","тыс. куб. м/сутки")</f>
        <v xml:space="preserve">тыс. куб. м/сутки</v>
      </c>
      <c r="G21" s="848"/>
      <c r="H21" s="848"/>
      <c r="I21" s="286" t="str">
        <f>TP_P_NOTE_G_1</f>
        <v xml:space="preserve">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0">
        <v>28</v>
      </c>
    </row>
    <row r="22" ht="15.75" customHeight="1">
      <c r="A22" s="50"/>
      <c r="C22" s="50"/>
      <c r="D22" s="832"/>
      <c r="E22" s="173" t="s">
        <v>1149</v>
      </c>
      <c r="F22" s="742"/>
      <c r="G22" s="742"/>
      <c r="H22" s="742"/>
      <c r="I22" s="290"/>
      <c r="R22" s="50"/>
      <c r="S22" s="50">
        <v>15</v>
      </c>
    </row>
    <row r="23" ht="22.5" hidden="1" customHeight="1">
      <c r="A23" s="56" t="s">
        <v>81</v>
      </c>
      <c r="B23" s="50">
        <v>0</v>
      </c>
      <c r="C23" s="150">
        <v>4</v>
      </c>
      <c r="D23" s="50">
        <v>6</v>
      </c>
      <c r="E23" s="50">
        <v>36</v>
      </c>
      <c r="F23" s="50">
        <v>9</v>
      </c>
      <c r="G23" s="50">
        <v>0</v>
      </c>
      <c r="H23" s="50">
        <v>40</v>
      </c>
      <c r="I23" s="53">
        <v>93</v>
      </c>
      <c r="J23" s="50">
        <v>10</v>
      </c>
      <c r="K23" s="50">
        <v>10</v>
      </c>
      <c r="L23" s="50">
        <v>10</v>
      </c>
      <c r="M23" s="50">
        <v>10</v>
      </c>
      <c r="N23" s="50">
        <v>10</v>
      </c>
      <c r="O23" s="50">
        <v>10</v>
      </c>
      <c r="P23" s="50">
        <v>10</v>
      </c>
      <c r="Q23" s="50">
        <v>10</v>
      </c>
      <c r="R23" s="115">
        <v>10</v>
      </c>
      <c r="S23" s="50">
        <v>23</v>
      </c>
    </row>
  </sheetData>
  <sheetProtection autoFilter="0" deleteColumns="1" deleteRows="1" formatCells="1" formatColumns="0" formatRows="0" insertColumns="1" insertHyperlinks="1" insertRows="1" objects="0" pivotTables="1" scenarios="0" selectLockedCells="0" selectUnlockedCells="0" sheet="1" sort="1"/>
  <mergeCells count="8">
    <mergeCell ref="D5:H5"/>
    <mergeCell ref="D6:H6"/>
    <mergeCell ref="E9:F9"/>
    <mergeCell ref="I9:I13"/>
    <mergeCell ref="E10:F10"/>
    <mergeCell ref="E11:F11"/>
    <mergeCell ref="D12:F12"/>
    <mergeCell ref="I21:I22"/>
  </mergeCells>
  <dataValidations count="1" disablePrompts="0">
    <dataValidation sqref="E15 E13" type="none" allowBlank="1" errorStyle="stop" imeMode="noControl" operator="between" prompt="Количество поданных заявок на подключение (технологическое присоединение) к системе теплоснабжения в течение квартала, шт."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disablePrompts="0">
        <x14:dataValidation xr:uid="{007F00B6-0081-402B-9B78-00DE006F0061}" type="textLength" allowBlank="1" error="Допускается ввод не более 900 символов!" errorStyle="stop" errorTitle="Ошибка" imeMode="noControl" operator="lessThanOrEqual" showDropDown="0" showErrorMessage="1" showInputMessage="1">
          <x14:formula1>
            <xm:f>900</xm:f>
          </x14:formula1>
          <xm:sqref>E21 E2 G18:H18</xm:sqref>
        </x14:dataValidation>
        <x14:dataValidation xr:uid="{001700E8-0010-41FF-8E85-00AD007400C5}"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G15:H17</xm:sqref>
        </x14:dataValidation>
        <x14:dataValidation xr:uid="{00A90044-00D6-46E9-938B-00E100B70083}"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G2:H2 G21:H21</xm:sqref>
        </x14:dataValidation>
      </x14:dataValidations>
    </ext>
  </extLst>
</worksheet>
</file>

<file path=xl/worksheets/sheet4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1"/>
  </sheetPr>
  <sheetViews>
    <sheetView showGridLines="0" zoomScale="90" workbookViewId="0">
      <pane xSplit="5" ySplit="13" topLeftCell="F14" activePane="bottomRight" state="frozen"/>
      <selection activeCell="A1" activeCellId="0" sqref="A1"/>
    </sheetView>
  </sheetViews>
  <sheetFormatPr defaultColWidth="10.57421875" defaultRowHeight="14.25" customHeight="1"/>
  <cols>
    <col customWidth="1" hidden="1" min="1" max="1" style="60" width="9.140625"/>
    <col customWidth="1" hidden="1" min="2" max="2" style="53" width="9.140625"/>
    <col customWidth="1" min="3" max="3" style="479" width="3.00390625"/>
    <col customWidth="1" min="4" max="4" style="50" width="6.00390625"/>
    <col customWidth="1" min="5" max="6" style="50" width="64.00390625"/>
    <col customWidth="1" min="7" max="7" style="50" width="140.00390625"/>
    <col customWidth="1" min="8" max="8" style="50" width="10.00390625"/>
    <col customWidth="1" min="9" max="10" style="130" width="10.00390625"/>
    <col customWidth="1" min="11" max="16" style="50" width="10.00390625"/>
    <col hidden="1" min="17" max="17" style="50" width="10.57421875"/>
  </cols>
  <sheetData>
    <row r="1" ht="22.5" hidden="1" customHeight="1">
      <c r="M1" s="821"/>
      <c r="N1" s="821"/>
      <c r="P1" s="821"/>
      <c r="Q1" s="50" t="s">
        <v>14</v>
      </c>
    </row>
    <row r="2" ht="14.25" hidden="1" customHeight="1">
      <c r="Q2" s="50">
        <v>0</v>
      </c>
    </row>
    <row r="3" ht="14.25" hidden="1" customHeight="1">
      <c r="Q3" s="50">
        <v>0</v>
      </c>
    </row>
    <row r="4" ht="3" customHeight="1">
      <c r="C4" s="540"/>
      <c r="D4" s="91"/>
      <c r="E4" s="91"/>
      <c r="F4" s="824"/>
      <c r="G4" s="824"/>
      <c r="Q4" s="50">
        <v>3</v>
      </c>
    </row>
    <row r="5" ht="29.25" customHeight="1">
      <c r="C5" s="540"/>
      <c r="D5" s="237" t="str">
        <f>TERMS_NAME_FORM</f>
        <v xml:space="preserve">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38"/>
      <c r="F5" s="238"/>
      <c r="G5" s="239"/>
      <c r="Q5" s="50">
        <v>28</v>
      </c>
    </row>
    <row r="6" s="50" customFormat="1" ht="18.75" customHeight="1">
      <c r="A6" s="60"/>
      <c r="B6" s="53"/>
      <c r="C6" s="540"/>
      <c r="D6" s="409" t="str">
        <f>IF(org=0,"Не определено",org)</f>
        <v xml:space="preserve">АО "ДГК" СП "Биробиджанская ТЭЦ"</v>
      </c>
      <c r="E6" s="410"/>
      <c r="F6" s="410"/>
      <c r="G6" s="411"/>
      <c r="I6" s="130"/>
      <c r="J6" s="130"/>
      <c r="Q6" s="50">
        <v>18</v>
      </c>
    </row>
    <row r="7" ht="14.65" customHeight="1">
      <c r="C7" s="540"/>
      <c r="D7" s="91"/>
      <c r="E7" s="83"/>
      <c r="F7" s="342"/>
      <c r="G7" s="825"/>
      <c r="Q7" s="50">
        <v>14</v>
      </c>
    </row>
    <row r="8" s="50" customFormat="1" ht="1.05" customHeight="1">
      <c r="A8" s="60"/>
      <c r="B8" s="53"/>
      <c r="C8" s="540"/>
      <c r="D8" s="91"/>
      <c r="E8" s="83"/>
      <c r="F8" s="342"/>
      <c r="G8" s="825"/>
      <c r="I8" s="130"/>
      <c r="J8" s="130"/>
      <c r="Q8" s="50">
        <v>1</v>
      </c>
    </row>
    <row r="9" ht="14.65" customHeight="1">
      <c r="C9" s="540"/>
      <c r="D9" s="348" t="s">
        <v>294</v>
      </c>
      <c r="E9" s="348"/>
      <c r="F9" s="348"/>
      <c r="G9" s="829" t="s">
        <v>295</v>
      </c>
      <c r="Q9" s="50">
        <v>14</v>
      </c>
    </row>
    <row r="10" ht="24" customHeight="1">
      <c r="C10" s="540"/>
      <c r="D10" s="348" t="s">
        <v>87</v>
      </c>
      <c r="E10" s="247" t="s">
        <v>296</v>
      </c>
      <c r="F10" s="247" t="s">
        <v>384</v>
      </c>
      <c r="G10" s="829"/>
      <c r="Q10" s="50">
        <v>23</v>
      </c>
    </row>
    <row r="11" ht="12" hidden="1" customHeight="1">
      <c r="C11" s="540"/>
      <c r="D11" s="426"/>
      <c r="E11" s="426"/>
      <c r="F11" s="426"/>
      <c r="G11" s="426"/>
      <c r="Q11" s="50">
        <v>0</v>
      </c>
    </row>
    <row r="12" ht="65.25" customHeight="1">
      <c r="A12" s="144"/>
      <c r="C12" s="540"/>
      <c r="D12" s="345">
        <v>1</v>
      </c>
      <c r="E12" s="1049" t="str">
        <f>TERMS_P_1</f>
        <v xml:space="preserve">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247" t="s">
        <v>300</v>
      </c>
      <c r="G12" s="486"/>
      <c r="Q12" s="50">
        <v>62</v>
      </c>
    </row>
    <row r="13" ht="24" customHeight="1">
      <c r="A13" s="144"/>
      <c r="C13" s="540"/>
      <c r="D13" s="345" t="s">
        <v>1052</v>
      </c>
      <c r="E13" s="88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 xml:space="preserve">Форма публичного договора поставки товаров (оказания услуг), тарифы на которые подлежат регулированию</v>
      </c>
      <c r="F13" s="247" t="s">
        <v>300</v>
      </c>
      <c r="G13" s="486"/>
      <c r="Q13" s="50">
        <v>23</v>
      </c>
    </row>
    <row r="14" ht="14.65" customHeight="1">
      <c r="A14" s="144"/>
      <c r="C14" s="540"/>
      <c r="D14" s="345" t="s">
        <v>1088</v>
      </c>
      <c r="E14" s="1050"/>
      <c r="F14" s="471"/>
      <c r="G14" s="286"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 xml:space="preserve">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50">
        <v>14</v>
      </c>
    </row>
    <row r="15" ht="15.75" customHeight="1">
      <c r="A15" s="144"/>
      <c r="C15" s="540"/>
      <c r="D15" s="832"/>
      <c r="E15" s="236" t="s">
        <v>1150</v>
      </c>
      <c r="F15" s="833"/>
      <c r="G15" s="290"/>
      <c r="Q15" s="50">
        <v>15</v>
      </c>
    </row>
    <row r="16" ht="14.65" customHeight="1">
      <c r="A16" s="144"/>
      <c r="C16" s="540"/>
      <c r="D16" s="345" t="s">
        <v>1054</v>
      </c>
      <c r="E16" s="887" t="str">
        <f>"Договор о подключении (технологическом присоединении) к"&amp;IF(TEMPLATE_SPHERE="HEAT",""," централизованной")&amp;" системе "&amp;TEMPLATE_SPHERE_RUS</f>
        <v xml:space="preserve">Договор о подключении (технологическом присоединении) к централизованной системе горячего водоснабжения</v>
      </c>
      <c r="F16" s="247" t="s">
        <v>300</v>
      </c>
      <c r="G16" s="550"/>
      <c r="Q16" s="50">
        <v>14</v>
      </c>
    </row>
    <row r="17" ht="14.65" customHeight="1">
      <c r="A17" s="144"/>
      <c r="C17" s="540"/>
      <c r="D17" s="345" t="s">
        <v>1096</v>
      </c>
      <c r="E17" s="1050"/>
      <c r="F17" s="820"/>
      <c r="G17" s="286"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 xml:space="preserve">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50">
        <v>14</v>
      </c>
    </row>
    <row r="18" s="50" customFormat="1" ht="22" customHeight="1">
      <c r="A18" s="144"/>
      <c r="B18" s="53"/>
      <c r="C18" s="540"/>
      <c r="D18" s="832"/>
      <c r="E18" s="236" t="s">
        <v>1151</v>
      </c>
      <c r="F18" s="1051"/>
      <c r="G18" s="290"/>
      <c r="I18" s="130"/>
      <c r="J18" s="130"/>
      <c r="Q18" s="50">
        <v>21</v>
      </c>
    </row>
    <row r="19" s="50" customFormat="1" ht="256.5" hidden="1" customHeight="1">
      <c r="A19" s="144"/>
      <c r="B19" s="53"/>
      <c r="C19" s="540"/>
      <c r="D19" s="345" t="s">
        <v>1056</v>
      </c>
      <c r="E19" s="887" t="s">
        <v>1152</v>
      </c>
      <c r="F19" s="820"/>
      <c r="G19" s="550" t="s">
        <v>1153</v>
      </c>
      <c r="I19" s="130"/>
      <c r="J19" s="130"/>
      <c r="Q19" s="50">
        <v>0</v>
      </c>
    </row>
    <row r="20" s="50" customFormat="1" ht="14.65" customHeight="1">
      <c r="A20" s="144"/>
      <c r="B20" s="53"/>
      <c r="C20" s="540"/>
      <c r="D20" s="347">
        <v>2</v>
      </c>
      <c r="E20" s="887" t="s">
        <v>1154</v>
      </c>
      <c r="F20" s="247" t="s">
        <v>300</v>
      </c>
      <c r="G20" s="550"/>
      <c r="I20" s="130"/>
      <c r="J20" s="130"/>
      <c r="Q20" s="50">
        <v>14</v>
      </c>
    </row>
    <row r="21" s="50" customFormat="1" ht="18.75" hidden="1" customHeight="1">
      <c r="A21" s="144"/>
      <c r="B21" s="53"/>
      <c r="C21" s="540"/>
      <c r="D21" s="1052" t="s">
        <v>630</v>
      </c>
      <c r="E21" s="1053"/>
      <c r="F21" s="1054"/>
      <c r="G21" s="1055"/>
      <c r="H21" s="782"/>
      <c r="I21" s="130"/>
      <c r="J21" s="130"/>
      <c r="Q21" s="50">
        <v>0</v>
      </c>
    </row>
    <row r="22" ht="15.75" customHeight="1">
      <c r="A22" s="144"/>
      <c r="C22" s="540"/>
      <c r="D22" s="832"/>
      <c r="E22" s="173" t="s">
        <v>316</v>
      </c>
      <c r="F22" s="1051"/>
      <c r="G22" s="770"/>
      <c r="Q22" s="50">
        <v>15</v>
      </c>
    </row>
    <row r="23" s="50" customFormat="1" ht="22.5" hidden="1" customHeight="1">
      <c r="A23" s="144"/>
      <c r="B23" s="53"/>
      <c r="C23" s="540"/>
      <c r="D23" s="345" t="s">
        <v>106</v>
      </c>
      <c r="E23" s="1049" t="s">
        <v>1155</v>
      </c>
      <c r="F23" s="247" t="s">
        <v>300</v>
      </c>
      <c r="G23" s="486"/>
      <c r="I23" s="130"/>
      <c r="J23" s="130"/>
      <c r="Q23" s="50">
        <v>0</v>
      </c>
    </row>
    <row r="24" s="50" customFormat="1" ht="14.25" hidden="1" customHeight="1">
      <c r="A24" s="144"/>
      <c r="B24" s="53"/>
      <c r="C24" s="540"/>
      <c r="D24" s="345" t="s">
        <v>703</v>
      </c>
      <c r="E24" s="887" t="s">
        <v>1156</v>
      </c>
      <c r="F24" s="247" t="s">
        <v>300</v>
      </c>
      <c r="G24" s="550"/>
      <c r="I24" s="130"/>
      <c r="J24" s="130"/>
      <c r="Q24" s="50">
        <v>0</v>
      </c>
    </row>
    <row r="25" s="50" customFormat="1" ht="14.25" hidden="1" customHeight="1">
      <c r="A25" s="144"/>
      <c r="B25" s="53"/>
      <c r="C25" s="540"/>
      <c r="D25" s="345" t="s">
        <v>706</v>
      </c>
      <c r="E25" s="1050"/>
      <c r="F25" s="820"/>
      <c r="G25" s="286" t="s">
        <v>1157</v>
      </c>
      <c r="I25" s="130"/>
      <c r="J25" s="130"/>
      <c r="Q25" s="50">
        <v>0</v>
      </c>
    </row>
    <row r="26" s="50" customFormat="1" ht="22.5" hidden="1" customHeight="1">
      <c r="A26" s="144"/>
      <c r="B26" s="53"/>
      <c r="C26" s="540"/>
      <c r="D26" s="832"/>
      <c r="E26" s="236" t="s">
        <v>1158</v>
      </c>
      <c r="F26" s="1051"/>
      <c r="G26" s="290"/>
      <c r="I26" s="130"/>
      <c r="J26" s="130"/>
      <c r="Q26" s="50">
        <v>0</v>
      </c>
    </row>
    <row r="27" ht="3" customHeight="1">
      <c r="Q27" s="50">
        <v>3</v>
      </c>
    </row>
    <row r="28" ht="14.65" customHeight="1">
      <c r="D28" s="477"/>
      <c r="E28" s="849"/>
      <c r="F28" s="396"/>
      <c r="G28" s="396"/>
      <c r="H28" s="396"/>
      <c r="I28" s="396"/>
      <c r="J28" s="396"/>
      <c r="K28" s="396"/>
      <c r="L28" s="396"/>
      <c r="M28" s="396"/>
      <c r="N28" s="396"/>
      <c r="O28" s="396"/>
      <c r="P28" s="396"/>
      <c r="Q28" s="50">
        <v>14</v>
      </c>
    </row>
    <row r="29" ht="14.65" customHeight="1">
      <c r="D29" s="477"/>
      <c r="E29" s="107"/>
      <c r="Q29" s="50">
        <v>14</v>
      </c>
    </row>
    <row r="30" ht="14.65" customHeight="1">
      <c r="Q30" s="50">
        <v>14</v>
      </c>
    </row>
    <row r="31" ht="14.65" customHeight="1">
      <c r="E31" s="50"/>
      <c r="Q31" s="50">
        <v>14</v>
      </c>
    </row>
    <row r="32" ht="22.5" hidden="1" customHeight="1">
      <c r="A32" s="60" t="s">
        <v>81</v>
      </c>
      <c r="B32" s="53">
        <v>0</v>
      </c>
      <c r="C32" s="479">
        <v>3</v>
      </c>
      <c r="D32" s="50">
        <v>6</v>
      </c>
      <c r="E32" s="50">
        <v>64</v>
      </c>
      <c r="F32" s="50">
        <v>64</v>
      </c>
      <c r="G32" s="50">
        <v>140</v>
      </c>
      <c r="H32" s="50">
        <v>10</v>
      </c>
      <c r="I32" s="130">
        <v>10</v>
      </c>
      <c r="J32" s="130">
        <v>10</v>
      </c>
      <c r="K32" s="50">
        <v>10</v>
      </c>
      <c r="L32" s="50">
        <v>10</v>
      </c>
      <c r="M32" s="50">
        <v>10</v>
      </c>
      <c r="N32" s="50">
        <v>10</v>
      </c>
      <c r="O32" s="50">
        <v>10</v>
      </c>
      <c r="P32" s="50">
        <v>10</v>
      </c>
      <c r="Q32" s="50">
        <v>23</v>
      </c>
    </row>
  </sheetData>
  <sheetProtection autoFilter="0" deleteColumns="1" deleteRows="1" formatCells="1" formatColumns="0" formatRows="0" insertColumns="1" insertHyperlinks="1" insertRows="1" objects="0" pivotTables="1" scenarios="0" selectLockedCells="0" selectUnlockedCells="0" sheet="1" sort="1"/>
  <mergeCells count="7">
    <mergeCell ref="D5:G5"/>
    <mergeCell ref="D6:G6"/>
    <mergeCell ref="D9:F9"/>
    <mergeCell ref="G9:G10"/>
    <mergeCell ref="G14:G15"/>
    <mergeCell ref="G17:G18"/>
    <mergeCell ref="G25:G26"/>
  </mergeCells>
  <printOptions headings="0" gridLines="0"/>
  <pageMargins left="0" right="0" top="0" bottom="0" header="0" footer="0.79000000000000004"/>
  <pageSetup paperSize="9" scale="41" fitToWidth="1" fitToHeight="0" pageOrder="downThenOver" orientation="portrait" usePrinterDefaults="1" blackAndWhite="1"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4A0049-004E-4AE9-9C80-00D600130046}"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F14 F17:F19 F25:F26</xm:sqref>
        </x14:dataValidation>
        <x14:dataValidation xr:uid="{006D0067-007C-42A8-B35A-00C6002700BD}" type="textLength" allowBlank="1" error="Допускается ввод не более 900 символов!" errorStyle="stop" errorTitle="Ошибка" imeMode="noControl" operator="lessThanOrEqual" showDropDown="0" showErrorMessage="1" showInputMessage="1">
          <x14:formula1>
            <xm:f>900</xm:f>
          </x14:formula1>
          <xm:sqref>G14 G25 E17 E14 G17 G21 E25</xm:sqref>
        </x14:dataValidation>
      </x14:dataValidations>
    </ext>
  </extLst>
</worksheet>
</file>

<file path=xl/worksheets/sheet4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6" ySplit="21" topLeftCell="G22" activePane="bottomRight" state="frozen"/>
      <selection activeCell="A1" activeCellId="0" sqref="A1"/>
    </sheetView>
  </sheetViews>
  <sheetFormatPr defaultColWidth="10.57421875" defaultRowHeight="14.25" customHeight="1"/>
  <cols>
    <col customWidth="1" hidden="1" min="1" max="1" style="61" width="9.140625"/>
    <col customWidth="1" hidden="1" min="2" max="2" style="53" width="9.140625"/>
    <col customWidth="1" min="3" max="3" style="479" width="3.00390625"/>
    <col customWidth="1" min="4" max="4" style="50" width="6.00390625"/>
    <col customWidth="1" min="5" max="5" style="50" width="63.00390625"/>
    <col customWidth="1" hidden="1" min="6" max="6" style="50" width="1.7109375"/>
    <col customWidth="1" min="7" max="8" style="50" width="35.00390625"/>
    <col customWidth="1" min="9" max="9" style="50" width="91.00390625"/>
    <col customWidth="1" min="10" max="10" style="50" width="68.00390625"/>
    <col customWidth="1" min="11" max="12" style="130" width="10.00390625"/>
    <col hidden="1" min="13" max="13" style="50" width="10.57421875"/>
  </cols>
  <sheetData>
    <row r="1" ht="22.5" hidden="1" customHeight="1">
      <c r="M1" s="50" t="s">
        <v>14</v>
      </c>
    </row>
    <row r="2" s="50" customFormat="1" ht="18.75" hidden="1" customHeight="1">
      <c r="A2" s="64"/>
      <c r="B2" s="53"/>
      <c r="C2" s="822" t="s">
        <v>683</v>
      </c>
      <c r="D2" s="345"/>
      <c r="E2" s="94"/>
      <c r="F2" s="247"/>
      <c r="G2" s="247" t="s">
        <v>300</v>
      </c>
      <c r="H2" s="471"/>
      <c r="K2" s="130"/>
      <c r="L2" s="130"/>
      <c r="M2" s="50">
        <v>0</v>
      </c>
    </row>
    <row r="3" s="50" customFormat="1" ht="14.25" hidden="1" customHeight="1">
      <c r="A3" s="61"/>
      <c r="B3" s="53"/>
      <c r="C3" s="479"/>
      <c r="K3" s="130"/>
      <c r="L3" s="130"/>
      <c r="M3" s="50">
        <v>0</v>
      </c>
    </row>
    <row r="4" s="50" customFormat="1" ht="18.75" hidden="1" customHeight="1">
      <c r="A4" s="64"/>
      <c r="B4" s="53"/>
      <c r="C4" s="822" t="s">
        <v>683</v>
      </c>
      <c r="D4" s="345"/>
      <c r="E4" s="887" t="s">
        <v>1159</v>
      </c>
      <c r="F4" s="247"/>
      <c r="G4" s="1056"/>
      <c r="H4" s="247" t="s">
        <v>300</v>
      </c>
      <c r="K4" s="130"/>
      <c r="L4" s="130"/>
      <c r="M4" s="50">
        <v>0</v>
      </c>
    </row>
    <row r="5" s="50" customFormat="1" ht="14.25" hidden="1" customHeight="1">
      <c r="A5" s="61"/>
      <c r="B5" s="53"/>
      <c r="C5" s="479"/>
      <c r="K5" s="130"/>
      <c r="L5" s="130"/>
      <c r="M5" s="50">
        <v>0</v>
      </c>
    </row>
    <row r="6" s="50" customFormat="1" ht="18.75" hidden="1" customHeight="1">
      <c r="A6" s="64"/>
      <c r="B6" s="53"/>
      <c r="C6" s="822" t="s">
        <v>683</v>
      </c>
      <c r="D6" s="345"/>
      <c r="E6" s="1057" t="s">
        <v>1160</v>
      </c>
      <c r="F6" s="247"/>
      <c r="G6" s="1056"/>
      <c r="H6" s="247" t="s">
        <v>300</v>
      </c>
      <c r="K6" s="130"/>
      <c r="L6" s="130"/>
      <c r="M6" s="50">
        <v>0</v>
      </c>
    </row>
    <row r="7" s="50" customFormat="1" ht="14.25" hidden="1" customHeight="1">
      <c r="A7" s="61"/>
      <c r="B7" s="53"/>
      <c r="C7" s="479"/>
      <c r="K7" s="130"/>
      <c r="L7" s="130"/>
      <c r="M7" s="50">
        <v>0</v>
      </c>
    </row>
    <row r="8" s="50" customFormat="1" ht="18.75" hidden="1" customHeight="1">
      <c r="A8" s="64"/>
      <c r="B8" s="53"/>
      <c r="C8" s="822" t="s">
        <v>683</v>
      </c>
      <c r="D8" s="345"/>
      <c r="E8" s="1057" t="s">
        <v>1161</v>
      </c>
      <c r="F8" s="247"/>
      <c r="G8" s="1056"/>
      <c r="H8" s="247" t="s">
        <v>300</v>
      </c>
      <c r="K8" s="130"/>
      <c r="L8" s="130"/>
      <c r="M8" s="50">
        <v>0</v>
      </c>
    </row>
    <row r="9" s="50" customFormat="1" ht="14.25" hidden="1" customHeight="1">
      <c r="A9" s="61"/>
      <c r="B9" s="53"/>
      <c r="C9" s="479"/>
      <c r="K9" s="130"/>
      <c r="L9" s="130"/>
      <c r="M9" s="50">
        <v>0</v>
      </c>
    </row>
    <row r="10" s="50" customFormat="1" ht="18.75" hidden="1" customHeight="1">
      <c r="A10" s="64"/>
      <c r="B10" s="53"/>
      <c r="C10" s="822" t="s">
        <v>683</v>
      </c>
      <c r="D10" s="345"/>
      <c r="E10" s="1057" t="s">
        <v>1162</v>
      </c>
      <c r="F10" s="247"/>
      <c r="G10" s="389"/>
      <c r="H10" s="247" t="s">
        <v>300</v>
      </c>
      <c r="K10" s="130"/>
      <c r="L10" s="130" t="s">
        <v>1163</v>
      </c>
      <c r="M10" s="50">
        <v>0</v>
      </c>
    </row>
    <row r="11" ht="14.25" hidden="1" customHeight="1">
      <c r="M11" s="50">
        <v>0</v>
      </c>
    </row>
    <row r="12" ht="14.25" hidden="1" customHeight="1">
      <c r="M12" s="50">
        <v>0</v>
      </c>
    </row>
    <row r="13" ht="14.65" customHeight="1">
      <c r="C13" s="540"/>
      <c r="D13" s="91"/>
      <c r="E13" s="91"/>
      <c r="F13" s="91"/>
      <c r="G13" s="91"/>
      <c r="H13" s="824"/>
      <c r="I13" s="824"/>
      <c r="M13" s="50">
        <v>14</v>
      </c>
    </row>
    <row r="14" ht="29.25" customHeight="1">
      <c r="C14" s="540"/>
      <c r="D14" s="237" t="str">
        <f>PROCEDURE_TC_NAME_FORM</f>
        <v xml:space="preserve">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38"/>
      <c r="F14" s="238"/>
      <c r="G14" s="238"/>
      <c r="H14" s="239"/>
      <c r="J14" s="50"/>
      <c r="M14" s="50">
        <v>28</v>
      </c>
    </row>
    <row r="15" s="50" customFormat="1" ht="14.65" customHeight="1">
      <c r="A15" s="61"/>
      <c r="B15" s="53"/>
      <c r="C15" s="540"/>
      <c r="D15" s="409" t="str">
        <f>IF(org=0,"Не определено",org)</f>
        <v xml:space="preserve">АО "ДГК" СП "Биробиджанская ТЭЦ"</v>
      </c>
      <c r="E15" s="410"/>
      <c r="F15" s="410"/>
      <c r="G15" s="410"/>
      <c r="H15" s="411"/>
      <c r="J15" s="362"/>
      <c r="K15" s="130"/>
      <c r="L15" s="130"/>
      <c r="M15" s="50">
        <v>14</v>
      </c>
    </row>
    <row r="16" ht="14.65" customHeight="1">
      <c r="C16" s="540"/>
      <c r="D16" s="91"/>
      <c r="E16" s="83"/>
      <c r="F16" s="83"/>
      <c r="G16" s="83"/>
      <c r="H16" s="342"/>
      <c r="I16" s="825"/>
      <c r="M16" s="50">
        <v>14</v>
      </c>
    </row>
    <row r="17" s="50" customFormat="1" ht="14.25" hidden="1" customHeight="1">
      <c r="A17" s="61"/>
      <c r="B17" s="53"/>
      <c r="C17" s="540"/>
      <c r="D17" s="91"/>
      <c r="E17" s="83"/>
      <c r="F17" s="83"/>
      <c r="G17" s="83"/>
      <c r="H17" s="342"/>
      <c r="I17" s="825"/>
      <c r="K17" s="130"/>
      <c r="L17" s="130"/>
      <c r="M17" s="50">
        <v>0</v>
      </c>
    </row>
    <row r="18" ht="22" customHeight="1">
      <c r="C18" s="540"/>
      <c r="D18" s="348" t="s">
        <v>294</v>
      </c>
      <c r="E18" s="348"/>
      <c r="F18" s="348"/>
      <c r="G18" s="348"/>
      <c r="H18" s="348"/>
      <c r="I18" s="829" t="s">
        <v>295</v>
      </c>
      <c r="M18" s="50">
        <v>21</v>
      </c>
    </row>
    <row r="19" ht="22" customHeight="1">
      <c r="C19" s="540"/>
      <c r="D19" s="348" t="s">
        <v>87</v>
      </c>
      <c r="E19" s="247" t="s">
        <v>296</v>
      </c>
      <c r="F19" s="247"/>
      <c r="G19" s="247" t="s">
        <v>297</v>
      </c>
      <c r="H19" s="247" t="s">
        <v>384</v>
      </c>
      <c r="I19" s="829"/>
      <c r="M19" s="50">
        <v>21</v>
      </c>
    </row>
    <row r="20" ht="12" hidden="1" customHeight="1">
      <c r="C20" s="540"/>
      <c r="D20" s="426"/>
      <c r="E20" s="426"/>
      <c r="F20" s="426"/>
      <c r="G20" s="426"/>
      <c r="H20" s="426"/>
      <c r="I20" s="426"/>
      <c r="M20" s="50">
        <v>0</v>
      </c>
    </row>
    <row r="21" ht="14.65" customHeight="1">
      <c r="A21" s="64"/>
      <c r="C21" s="540"/>
      <c r="D21" s="345">
        <v>1</v>
      </c>
      <c r="E21" s="831" t="s">
        <v>1164</v>
      </c>
      <c r="F21" s="831"/>
      <c r="G21" s="831"/>
      <c r="H21" s="831"/>
      <c r="I21" s="823"/>
      <c r="M21" s="50">
        <v>14</v>
      </c>
    </row>
    <row r="22" ht="21" customHeight="1">
      <c r="A22" s="64"/>
      <c r="C22" s="540"/>
      <c r="D22" s="345" t="s">
        <v>1052</v>
      </c>
      <c r="E22" s="887" t="s">
        <v>1165</v>
      </c>
      <c r="F22" s="247"/>
      <c r="G22" s="1058"/>
      <c r="H22" s="247" t="s">
        <v>300</v>
      </c>
      <c r="I22" s="486" t="s">
        <v>1166</v>
      </c>
      <c r="M22" s="50">
        <v>20</v>
      </c>
    </row>
    <row r="23" ht="60" customHeight="1">
      <c r="A23" s="64"/>
      <c r="C23" s="540"/>
      <c r="D23" s="345" t="s">
        <v>1054</v>
      </c>
      <c r="E23" s="887" t="s">
        <v>1167</v>
      </c>
      <c r="F23" s="247"/>
      <c r="G23" s="1056"/>
      <c r="H23" s="471"/>
      <c r="I23" s="256" t="s">
        <v>1168</v>
      </c>
      <c r="M23" s="50">
        <v>57</v>
      </c>
    </row>
    <row r="24" ht="14.65" customHeight="1">
      <c r="A24" s="64"/>
      <c r="B24" s="53">
        <v>3</v>
      </c>
      <c r="C24" s="540"/>
      <c r="D24" s="345">
        <v>2</v>
      </c>
      <c r="E24" s="831" t="str">
        <f>"Форма заявки на заключение договора о подключении (технологическом присоединении) к системе "&amp;TEMPLATE_SPHERE_RUS</f>
        <v xml:space="preserve">Форма заявки на заключение договора о подключении (технологическом присоединении) к системе горячего водоснабжения</v>
      </c>
      <c r="F24" s="247"/>
      <c r="G24" s="247" t="s">
        <v>300</v>
      </c>
      <c r="H24" s="471"/>
      <c r="I24" s="314" t="s">
        <v>625</v>
      </c>
      <c r="M24" s="50">
        <v>14</v>
      </c>
    </row>
    <row r="25" ht="48.25" customHeight="1">
      <c r="A25" s="64"/>
      <c r="C25" s="540"/>
      <c r="D25" s="345">
        <v>3</v>
      </c>
      <c r="E25" s="83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 xml:space="preserve">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831"/>
      <c r="G25" s="831"/>
      <c r="H25" s="831"/>
      <c r="I25" s="823"/>
      <c r="M25" s="50">
        <v>46</v>
      </c>
    </row>
    <row r="26" ht="14.65" customHeight="1">
      <c r="A26" s="64"/>
      <c r="C26" s="540"/>
      <c r="D26" s="345" t="s">
        <v>318</v>
      </c>
      <c r="E26" s="94"/>
      <c r="F26" s="247"/>
      <c r="G26" s="247" t="s">
        <v>300</v>
      </c>
      <c r="H26" s="471"/>
      <c r="I26" s="286" t="s">
        <v>1169</v>
      </c>
      <c r="M26" s="50">
        <v>14</v>
      </c>
    </row>
    <row r="27" ht="15.75" customHeight="1">
      <c r="A27" s="64" t="s">
        <v>105</v>
      </c>
      <c r="C27" s="540"/>
      <c r="D27" s="832"/>
      <c r="E27" s="173" t="s">
        <v>316</v>
      </c>
      <c r="F27" s="236"/>
      <c r="G27" s="236"/>
      <c r="H27" s="833"/>
      <c r="I27" s="290"/>
      <c r="M27" s="50">
        <v>15</v>
      </c>
    </row>
    <row r="28" ht="39.75" customHeight="1">
      <c r="A28" s="64"/>
      <c r="B28" s="53">
        <v>3</v>
      </c>
      <c r="C28" s="540"/>
      <c r="D28" s="345">
        <v>4</v>
      </c>
      <c r="E28" s="83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 xml:space="preserve">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831"/>
      <c r="G28" s="831"/>
      <c r="H28" s="831"/>
      <c r="I28" s="823"/>
      <c r="M28" s="50">
        <v>38</v>
      </c>
    </row>
    <row r="29" ht="21" customHeight="1">
      <c r="A29" s="64"/>
      <c r="C29" s="540"/>
      <c r="D29" s="345" t="s">
        <v>748</v>
      </c>
      <c r="E29" s="887" t="s">
        <v>1159</v>
      </c>
      <c r="F29" s="247"/>
      <c r="G29" s="1056"/>
      <c r="H29" s="247" t="s">
        <v>300</v>
      </c>
      <c r="I29" s="286" t="s">
        <v>1170</v>
      </c>
      <c r="M29" s="50">
        <v>20</v>
      </c>
    </row>
    <row r="30" ht="15.75" customHeight="1">
      <c r="A30" s="64" t="s">
        <v>106</v>
      </c>
      <c r="C30" s="540"/>
      <c r="D30" s="832"/>
      <c r="E30" s="173" t="s">
        <v>316</v>
      </c>
      <c r="F30" s="236"/>
      <c r="G30" s="236"/>
      <c r="H30" s="833"/>
      <c r="I30" s="290"/>
      <c r="M30" s="50">
        <v>15</v>
      </c>
    </row>
    <row r="31" ht="31.5" customHeight="1">
      <c r="A31" s="64"/>
      <c r="B31" s="53">
        <v>3</v>
      </c>
      <c r="C31" s="540"/>
      <c r="D31" s="345">
        <v>5</v>
      </c>
      <c r="E31" s="83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 xml:space="preserve">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831"/>
      <c r="G31" s="831"/>
      <c r="H31" s="831"/>
      <c r="I31" s="823"/>
      <c r="M31" s="50">
        <v>30</v>
      </c>
    </row>
    <row r="32" ht="27.300000000000001" customHeight="1">
      <c r="A32" s="64"/>
      <c r="C32" s="540"/>
      <c r="D32" s="345" t="s">
        <v>307</v>
      </c>
      <c r="E32" s="88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 xml:space="preserve">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887"/>
      <c r="G32" s="887"/>
      <c r="H32" s="887"/>
      <c r="I32" s="823"/>
      <c r="M32" s="50">
        <v>26</v>
      </c>
    </row>
    <row r="33" ht="14.65" customHeight="1">
      <c r="A33" s="64"/>
      <c r="C33" s="540"/>
      <c r="D33" s="345" t="s">
        <v>1171</v>
      </c>
      <c r="E33" s="1057" t="s">
        <v>1160</v>
      </c>
      <c r="F33" s="247"/>
      <c r="G33" s="1056"/>
      <c r="H33" s="247" t="s">
        <v>300</v>
      </c>
      <c r="I33" s="286" t="s">
        <v>1172</v>
      </c>
      <c r="M33" s="50">
        <v>14</v>
      </c>
    </row>
    <row r="34" ht="15.75" customHeight="1">
      <c r="A34" s="64" t="s">
        <v>89</v>
      </c>
      <c r="C34" s="540"/>
      <c r="D34" s="832"/>
      <c r="E34" s="236" t="s">
        <v>316</v>
      </c>
      <c r="F34" s="688"/>
      <c r="G34" s="688"/>
      <c r="H34" s="833"/>
      <c r="I34" s="290"/>
      <c r="M34" s="50">
        <v>15</v>
      </c>
    </row>
    <row r="35" ht="25.199999999999999" customHeight="1">
      <c r="A35" s="64"/>
      <c r="C35" s="540"/>
      <c r="D35" s="345" t="s">
        <v>876</v>
      </c>
      <c r="E35" s="88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 xml:space="preserve">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887"/>
      <c r="G35" s="887"/>
      <c r="H35" s="887"/>
      <c r="I35" s="823"/>
      <c r="M35" s="50">
        <v>24</v>
      </c>
    </row>
    <row r="36" ht="14.65" customHeight="1">
      <c r="A36" s="64"/>
      <c r="C36" s="540"/>
      <c r="D36" s="345" t="s">
        <v>1173</v>
      </c>
      <c r="E36" s="1057" t="s">
        <v>1161</v>
      </c>
      <c r="F36" s="247"/>
      <c r="G36" s="1056"/>
      <c r="H36" s="247" t="s">
        <v>300</v>
      </c>
      <c r="I36" s="256" t="s">
        <v>1174</v>
      </c>
      <c r="M36" s="50">
        <v>14</v>
      </c>
    </row>
    <row r="37" ht="15.75" customHeight="1">
      <c r="A37" s="64" t="s">
        <v>90</v>
      </c>
      <c r="C37" s="540"/>
      <c r="D37" s="832"/>
      <c r="E37" s="236" t="s">
        <v>316</v>
      </c>
      <c r="F37" s="688"/>
      <c r="G37" s="688"/>
      <c r="H37" s="833"/>
      <c r="I37" s="256"/>
      <c r="M37" s="50">
        <v>15</v>
      </c>
    </row>
    <row r="38" ht="27.300000000000001" customHeight="1">
      <c r="A38" s="64"/>
      <c r="C38" s="540"/>
      <c r="D38" s="345" t="s">
        <v>877</v>
      </c>
      <c r="E38" s="88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 xml:space="preserve">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887"/>
      <c r="G38" s="887"/>
      <c r="H38" s="887"/>
      <c r="I38" s="823"/>
      <c r="M38" s="50">
        <v>26</v>
      </c>
    </row>
    <row r="39" ht="14.65" customHeight="1">
      <c r="A39" s="64"/>
      <c r="C39" s="540"/>
      <c r="D39" s="345" t="s">
        <v>878</v>
      </c>
      <c r="E39" s="1057" t="s">
        <v>1162</v>
      </c>
      <c r="F39" s="247"/>
      <c r="G39" s="389"/>
      <c r="H39" s="247" t="s">
        <v>300</v>
      </c>
      <c r="I39" s="286" t="s">
        <v>1175</v>
      </c>
      <c r="L39" s="130" t="s">
        <v>1163</v>
      </c>
      <c r="M39" s="50">
        <v>14</v>
      </c>
    </row>
    <row r="40" ht="15.75" customHeight="1">
      <c r="A40" s="64" t="s">
        <v>107</v>
      </c>
      <c r="C40" s="540"/>
      <c r="D40" s="832"/>
      <c r="E40" s="236" t="s">
        <v>316</v>
      </c>
      <c r="F40" s="688"/>
      <c r="G40" s="688"/>
      <c r="H40" s="833"/>
      <c r="I40" s="290"/>
      <c r="M40" s="50">
        <v>15</v>
      </c>
    </row>
    <row r="41" s="144" customFormat="1" ht="3" customHeight="1">
      <c r="A41" s="64"/>
      <c r="K41" s="168"/>
      <c r="L41" s="168"/>
      <c r="M41" s="144">
        <v>3</v>
      </c>
    </row>
    <row r="42" ht="26.25" customHeight="1">
      <c r="D42" s="477" t="s">
        <v>798</v>
      </c>
      <c r="E42" s="575" t="str">
        <f>"Информация размещается в случае, если организация осуществляет услуги по подключению (технологическому присоединению) к системе "&amp;TEMPLATE_SPHERE_RUS&amp;"."</f>
        <v xml:space="preserve">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575"/>
      <c r="G42" s="575"/>
      <c r="H42" s="575"/>
      <c r="I42" s="575"/>
      <c r="M42" s="50">
        <v>25</v>
      </c>
    </row>
    <row r="43" ht="22.5" hidden="1" customHeight="1">
      <c r="A43" s="61" t="s">
        <v>81</v>
      </c>
      <c r="B43" s="53">
        <v>0</v>
      </c>
      <c r="C43" s="479">
        <v>3</v>
      </c>
      <c r="D43" s="50">
        <v>6</v>
      </c>
      <c r="E43" s="50">
        <v>63</v>
      </c>
      <c r="F43" s="50">
        <v>0</v>
      </c>
      <c r="G43" s="50">
        <v>35</v>
      </c>
      <c r="H43" s="50">
        <v>35</v>
      </c>
      <c r="I43" s="50">
        <v>91</v>
      </c>
      <c r="J43" s="50">
        <v>68</v>
      </c>
      <c r="K43" s="130">
        <v>10</v>
      </c>
      <c r="L43" s="130">
        <v>10</v>
      </c>
      <c r="M43" s="50">
        <v>23</v>
      </c>
    </row>
  </sheetData>
  <sheetProtection autoFilter="0" deleteColumns="1" deleteRows="1" formatCells="1" formatColumns="0" formatRows="0" insertColumns="1" insertHyperlinks="1" insertRows="1" objects="0" pivotTables="1" scenarios="0" selectLockedCells="0" selectUnlockedCells="0" sheet="1" sort="1"/>
  <mergeCells count="17">
    <mergeCell ref="D14:H14"/>
    <mergeCell ref="D15:H15"/>
    <mergeCell ref="D18:H18"/>
    <mergeCell ref="I18:I19"/>
    <mergeCell ref="E21:H21"/>
    <mergeCell ref="E25:H25"/>
    <mergeCell ref="I26:I27"/>
    <mergeCell ref="E28:H28"/>
    <mergeCell ref="I29:I30"/>
    <mergeCell ref="E31:H31"/>
    <mergeCell ref="E32:H32"/>
    <mergeCell ref="I33:I34"/>
    <mergeCell ref="E35:H35"/>
    <mergeCell ref="I36:I37"/>
    <mergeCell ref="E38:H38"/>
    <mergeCell ref="I39:I40"/>
    <mergeCell ref="E42:I42"/>
  </mergeCells>
  <dataValidations count="1" disablePrompts="0">
    <dataValidation sqref="G22"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disablePrompts="0">
        <x14:dataValidation xr:uid="{00A70007-002F-4A24-AB78-0047001400F0}" type="textLength" allowBlank="1" error="Допускается ввод не более 900 символов!" errorStyle="stop" errorTitle="Ошибка" imeMode="noControl" operator="lessThanOrEqual" showDropDown="0" showErrorMessage="1" showInputMessage="1">
          <x14:formula1>
            <xm:f>900</xm:f>
          </x14:formula1>
          <xm:sqref>I23:I24 I33 G36 I39 I26 E29 G33 E36 I29 E33 I36 G23 E26 I10 E23 G29 E10 G8 E2 I2 I4 G4 E4 E6 I6 G6 E8 I8 E39</xm:sqref>
        </x14:dataValidation>
        <x14:dataValidation xr:uid="{00040079-00D9-49BE-80C7-009400E800E6}"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H26 H23:H24 H2</xm:sqref>
        </x14:dataValidation>
        <x14:dataValidation xr:uid="{005B0020-00E9-449E-8E41-00A0005000EC}"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G10 G39</xm:sqref>
        </x14:dataValidation>
      </x14:dataValidations>
    </ext>
  </extLst>
</worksheet>
</file>

<file path=xl/worksheets/sheet4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7" ySplit="21" topLeftCell="H22" activePane="bottomRight" state="frozen"/>
      <selection activeCell="A1" activeCellId="0" sqref="A1"/>
    </sheetView>
  </sheetViews>
  <sheetFormatPr defaultColWidth="10.57421875" defaultRowHeight="14.25" customHeight="1"/>
  <cols>
    <col customWidth="1" hidden="1" min="1" max="2" style="11" width="25.140625"/>
    <col customWidth="1" hidden="1" min="3" max="3" style="396" width="9.140625"/>
    <col customWidth="1" min="4" max="4" style="479" width="3.00390625"/>
    <col customWidth="1" min="5" max="5" style="50" width="6.00390625"/>
    <col customWidth="1" min="6" max="6" style="50" width="46.7109375"/>
    <col customWidth="1" min="7" max="7" style="50" width="35.00390625"/>
    <col customWidth="1" min="8" max="8" style="50" width="3.00390625"/>
    <col customWidth="1" min="9" max="10" style="50" width="11.00390625"/>
    <col customWidth="1" min="11" max="12" style="50" width="35.00390625"/>
    <col customWidth="1" min="13" max="13" style="50" width="84.00390625"/>
    <col customWidth="1" min="14" max="14" style="50" width="10.00390625"/>
    <col customWidth="1" min="15" max="16" style="130" width="10.00390625"/>
    <col customWidth="1" min="17" max="33" style="50" width="10.00390625"/>
    <col hidden="1" min="34" max="34" style="50" width="10.57421875"/>
  </cols>
  <sheetData>
    <row r="1" s="50" customFormat="1" ht="22.5" hidden="1" customHeight="1">
      <c r="A1" s="11"/>
      <c r="B1" s="11"/>
      <c r="C1" s="396"/>
      <c r="D1" s="479"/>
      <c r="N1" s="57">
        <f>_xlfn.IFERROR(MATCH("метод экономически обоснованных расходов (затрат)",OFFER_METHOD,0),0)</f>
        <v>0</v>
      </c>
      <c r="O1" s="130"/>
      <c r="P1" s="130"/>
      <c r="T1" s="121"/>
      <c r="AG1" s="821"/>
      <c r="AH1" s="50" t="s">
        <v>14</v>
      </c>
    </row>
    <row r="2" s="50" customFormat="1" ht="18.75" hidden="1" customHeight="1">
      <c r="A2" s="144" t="s">
        <v>151</v>
      </c>
      <c r="B2" s="144" t="s">
        <v>152</v>
      </c>
      <c r="C2" s="396"/>
      <c r="D2" s="479"/>
      <c r="E2" s="556"/>
      <c r="F2" s="556"/>
      <c r="G2" s="984" t="str">
        <f>INDEX(PT_DIFFERENTIATION_NTAR,MATCH(B2,PT_DIFFERENTIATION_NTAR_ID,0))</f>
        <v/>
      </c>
      <c r="H2" s="418"/>
      <c r="I2" s="1059"/>
      <c r="J2" s="1060"/>
      <c r="K2" s="608"/>
      <c r="L2" s="418" t="s">
        <v>300</v>
      </c>
      <c r="M2" s="629"/>
      <c r="N2" s="782"/>
      <c r="O2" s="130"/>
      <c r="P2" s="130"/>
      <c r="AH2" s="50">
        <v>0</v>
      </c>
    </row>
    <row r="3" s="50" customFormat="1" ht="18.75" hidden="1" customHeight="1">
      <c r="A3" s="144"/>
      <c r="B3" s="144"/>
      <c r="C3" s="396" t="s">
        <v>1176</v>
      </c>
      <c r="D3" s="479"/>
      <c r="E3" s="556"/>
      <c r="F3" s="556"/>
      <c r="G3" s="984"/>
      <c r="H3" s="702"/>
      <c r="I3" s="178" t="s">
        <v>1177</v>
      </c>
      <c r="J3" s="236"/>
      <c r="K3" s="702"/>
      <c r="L3" s="833"/>
      <c r="M3" s="629"/>
      <c r="N3" s="782"/>
      <c r="O3" s="130"/>
      <c r="P3" s="130"/>
      <c r="AH3" s="50">
        <v>0</v>
      </c>
    </row>
    <row r="4" s="50" customFormat="1" ht="14.25" hidden="1" customHeight="1">
      <c r="A4" s="11"/>
      <c r="B4" s="11"/>
      <c r="C4" s="396"/>
      <c r="D4" s="479"/>
      <c r="N4" s="57">
        <f>_xlfn.IFERROR(MATCH("метод экономически обоснованных расходов (затрат)",OFFER_METHOD,0),0)</f>
        <v>0</v>
      </c>
      <c r="O4" s="130"/>
      <c r="P4" s="130"/>
      <c r="T4" s="121"/>
      <c r="AG4" s="821"/>
      <c r="AH4" s="50">
        <v>0</v>
      </c>
    </row>
    <row r="5" s="50" customFormat="1" ht="18.75" hidden="1" customHeight="1">
      <c r="A5" s="144" t="s">
        <v>151</v>
      </c>
      <c r="B5" s="144" t="s">
        <v>152</v>
      </c>
      <c r="C5" s="396"/>
      <c r="D5" s="479"/>
      <c r="E5" s="556"/>
      <c r="F5" s="556"/>
      <c r="G5" s="984" t="str">
        <f>INDEX(PT_DIFFERENTIATION_NTAR,MATCH(B5,PT_DIFFERENTIATION_NTAR_ID,0))</f>
        <v/>
      </c>
      <c r="H5" s="418"/>
      <c r="I5" s="1059"/>
      <c r="J5" s="1060"/>
      <c r="K5" s="434"/>
      <c r="L5" s="418" t="s">
        <v>300</v>
      </c>
      <c r="M5" s="629"/>
      <c r="N5" s="782"/>
      <c r="O5" s="130"/>
      <c r="P5" s="130"/>
      <c r="AH5" s="50">
        <v>0</v>
      </c>
    </row>
    <row r="6" s="50" customFormat="1" ht="18.75" hidden="1" customHeight="1">
      <c r="A6" s="144"/>
      <c r="B6" s="144"/>
      <c r="C6" s="396" t="s">
        <v>1178</v>
      </c>
      <c r="D6" s="479"/>
      <c r="E6" s="556"/>
      <c r="F6" s="556"/>
      <c r="G6" s="984"/>
      <c r="H6" s="702"/>
      <c r="I6" s="178" t="s">
        <v>1177</v>
      </c>
      <c r="J6" s="236"/>
      <c r="K6" s="702"/>
      <c r="L6" s="833"/>
      <c r="M6" s="629"/>
      <c r="N6" s="782"/>
      <c r="O6" s="130"/>
      <c r="P6" s="130"/>
      <c r="AH6" s="50">
        <v>0</v>
      </c>
    </row>
    <row r="7" s="50" customFormat="1" ht="14.25" hidden="1" customHeight="1">
      <c r="A7" s="11"/>
      <c r="B7" s="11"/>
      <c r="C7" s="396"/>
      <c r="D7" s="479"/>
      <c r="N7" s="57">
        <f>_xlfn.IFERROR(MATCH("метод экономически обоснованных расходов (затрат)",OFFER_METHOD,0),0)</f>
        <v>0</v>
      </c>
      <c r="O7" s="130"/>
      <c r="P7" s="130"/>
      <c r="T7" s="121"/>
      <c r="AG7" s="821"/>
      <c r="AH7" s="50">
        <v>0</v>
      </c>
    </row>
    <row r="8" s="50" customFormat="1" ht="56.25" hidden="1" customHeight="1">
      <c r="A8" s="144"/>
      <c r="B8" s="144"/>
      <c r="C8" s="396"/>
      <c r="D8" s="479"/>
      <c r="E8" s="556"/>
      <c r="F8" s="556"/>
      <c r="G8" s="556"/>
      <c r="H8" s="418"/>
      <c r="I8" s="1059"/>
      <c r="J8" s="1060"/>
      <c r="K8" s="608"/>
      <c r="L8" s="418" t="s">
        <v>300</v>
      </c>
      <c r="M8" s="629"/>
      <c r="N8" s="782"/>
      <c r="O8" s="130"/>
      <c r="P8" s="130"/>
      <c r="AH8" s="50">
        <v>0</v>
      </c>
    </row>
    <row r="9" ht="14.25" hidden="1" customHeight="1">
      <c r="T9" s="121"/>
      <c r="AG9" s="821"/>
      <c r="AH9" s="50">
        <v>0</v>
      </c>
    </row>
    <row r="10" s="50" customFormat="1" ht="56.25" hidden="1" customHeight="1">
      <c r="A10" s="144"/>
      <c r="B10" s="144"/>
      <c r="C10" s="396"/>
      <c r="D10" s="479"/>
      <c r="E10" s="556"/>
      <c r="F10" s="556"/>
      <c r="G10" s="556"/>
      <c r="H10" s="247"/>
      <c r="I10" s="1059"/>
      <c r="J10" s="1060"/>
      <c r="K10" s="434"/>
      <c r="L10" s="418" t="s">
        <v>300</v>
      </c>
      <c r="M10" s="629"/>
      <c r="N10" s="782"/>
      <c r="O10" s="130"/>
      <c r="P10" s="130"/>
      <c r="AH10" s="50">
        <v>0</v>
      </c>
    </row>
    <row r="11" ht="14.25" hidden="1" customHeight="1">
      <c r="AH11" s="50">
        <v>0</v>
      </c>
    </row>
    <row r="12" ht="14.25" hidden="1" customHeight="1">
      <c r="AH12" s="50">
        <v>0</v>
      </c>
    </row>
    <row r="13" ht="6.2999999999999998" customHeight="1">
      <c r="D13" s="540"/>
      <c r="E13" s="91"/>
      <c r="F13" s="91"/>
      <c r="G13" s="91"/>
      <c r="H13" s="91"/>
      <c r="I13" s="91"/>
      <c r="J13" s="91"/>
      <c r="K13" s="91"/>
      <c r="L13" s="824"/>
      <c r="M13" s="824"/>
      <c r="AH13" s="50">
        <v>6</v>
      </c>
    </row>
    <row r="14" ht="14.65" customHeight="1">
      <c r="D14" s="540"/>
      <c r="E14" s="106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 xml:space="preserve">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1061"/>
      <c r="G14" s="1061"/>
      <c r="H14" s="1061"/>
      <c r="I14" s="1061"/>
      <c r="J14" s="1061"/>
      <c r="K14" s="1061"/>
      <c r="L14" s="1061"/>
      <c r="M14" s="241"/>
      <c r="AH14" s="50">
        <v>14</v>
      </c>
    </row>
    <row r="15" ht="6.2999999999999998" customHeight="1">
      <c r="D15" s="540"/>
      <c r="E15" s="91"/>
      <c r="F15" s="83"/>
      <c r="G15" s="83"/>
      <c r="H15" s="83"/>
      <c r="I15" s="83"/>
      <c r="J15" s="83"/>
      <c r="K15" s="83"/>
      <c r="L15" s="542"/>
      <c r="M15" s="825"/>
      <c r="AH15" s="50">
        <v>6</v>
      </c>
    </row>
    <row r="16" ht="24" customHeight="1">
      <c r="D16" s="540"/>
      <c r="E16" s="91"/>
      <c r="F16" s="1062" t="str">
        <f>"Дата подачи заявления об "&amp;IF(TITLE_DATE_PR_CHANGE="","утверждении","изменении")&amp;" тарифов"</f>
        <v xml:space="preserve">Дата подачи заявления об утверждении тарифов</v>
      </c>
      <c r="G16" s="547" t="str">
        <f>IF(TITLE_DATE_PR_CHANGE="",IF(TITLE_DATE_PR="","",TITLE_DATE_PR),TITLE_DATE_PR_CHANGE)</f>
        <v/>
      </c>
      <c r="H16" s="547"/>
      <c r="I16" s="547"/>
      <c r="J16" s="547"/>
      <c r="K16" s="547"/>
      <c r="L16" s="547"/>
      <c r="M16" s="782"/>
      <c r="N16" s="50"/>
      <c r="AH16" s="50">
        <v>23</v>
      </c>
    </row>
    <row r="17" ht="24" customHeight="1">
      <c r="D17" s="540"/>
      <c r="E17" s="91"/>
      <c r="F17" s="1062" t="str">
        <f>"Номер подачи заявления об "&amp;IF(TITLE_DATE_PR_CHANGE="","утверждении","изменении")&amp;" тарифов"</f>
        <v xml:space="preserve">Номер подачи заявления об утверждении тарифов</v>
      </c>
      <c r="G17" s="545" t="str">
        <f>IF(TITLE_NUMBER_PR_CHANGE="",IF(TITLE_NUMBER_PR="","",TITLE_NUMBER_PR),TITLE_NUMBER_PR_CHANGE)</f>
        <v/>
      </c>
      <c r="H17" s="545"/>
      <c r="I17" s="545"/>
      <c r="J17" s="545"/>
      <c r="K17" s="545"/>
      <c r="L17" s="545"/>
      <c r="M17" s="782"/>
      <c r="N17" s="50"/>
      <c r="AH17" s="50">
        <v>23</v>
      </c>
    </row>
    <row r="18" ht="14.65" customHeight="1">
      <c r="D18" s="540"/>
      <c r="E18" s="91"/>
      <c r="F18" s="83"/>
      <c r="G18" s="83"/>
      <c r="H18" s="83"/>
      <c r="I18" s="83"/>
      <c r="J18" s="83"/>
      <c r="K18" s="83"/>
      <c r="L18" s="342"/>
      <c r="M18" s="825"/>
      <c r="AH18" s="50">
        <v>14</v>
      </c>
    </row>
    <row r="19" ht="22" customHeight="1">
      <c r="D19" s="540"/>
      <c r="E19" s="348" t="s">
        <v>294</v>
      </c>
      <c r="F19" s="348"/>
      <c r="G19" s="348"/>
      <c r="H19" s="348"/>
      <c r="I19" s="348"/>
      <c r="J19" s="348"/>
      <c r="K19" s="348"/>
      <c r="L19" s="348"/>
      <c r="M19" s="829" t="s">
        <v>295</v>
      </c>
      <c r="AH19" s="50">
        <v>21</v>
      </c>
    </row>
    <row r="20" ht="22" customHeight="1">
      <c r="D20" s="540"/>
      <c r="E20" s="554" t="s">
        <v>87</v>
      </c>
      <c r="F20" s="419" t="s">
        <v>118</v>
      </c>
      <c r="G20" s="419" t="s">
        <v>119</v>
      </c>
      <c r="H20" s="826" t="s">
        <v>1179</v>
      </c>
      <c r="I20" s="827"/>
      <c r="J20" s="1019"/>
      <c r="K20" s="419" t="s">
        <v>297</v>
      </c>
      <c r="L20" s="419" t="s">
        <v>384</v>
      </c>
      <c r="M20" s="829"/>
      <c r="AH20" s="50">
        <v>21</v>
      </c>
    </row>
    <row r="21" ht="22" customHeight="1">
      <c r="D21" s="540"/>
      <c r="E21" s="562"/>
      <c r="F21" s="422"/>
      <c r="G21" s="422"/>
      <c r="H21" s="416" t="s">
        <v>1180</v>
      </c>
      <c r="I21" s="418"/>
      <c r="J21" s="247" t="s">
        <v>1181</v>
      </c>
      <c r="K21" s="422"/>
      <c r="L21" s="422"/>
      <c r="M21" s="829"/>
      <c r="AH21" s="50">
        <v>21</v>
      </c>
    </row>
    <row r="22" ht="12.75" customHeight="1">
      <c r="D22" s="540"/>
      <c r="E22" s="426"/>
      <c r="F22" s="426"/>
      <c r="G22" s="426"/>
      <c r="H22" s="1063"/>
      <c r="I22" s="1063"/>
      <c r="J22" s="426"/>
      <c r="K22" s="426"/>
      <c r="L22" s="426"/>
      <c r="M22" s="426"/>
      <c r="AH22" s="50">
        <v>12</v>
      </c>
    </row>
    <row r="23" ht="19.949999999999999" customHeight="1">
      <c r="A23" s="144"/>
      <c r="B23" s="144"/>
      <c r="D23" s="540"/>
      <c r="E23" s="1064" t="s">
        <v>105</v>
      </c>
      <c r="F23" s="1065" t="str">
        <f>"Предлагаемый метод регулирования"&amp;IF(TEMPLATE_SPHERE="HEAT"," в сфере "&amp;TEMPLATE_SPHERE_RUS,"")</f>
        <v xml:space="preserve">Предлагаемый метод регулирования</v>
      </c>
      <c r="G23" s="1065"/>
      <c r="H23" s="831"/>
      <c r="I23" s="831"/>
      <c r="J23" s="831"/>
      <c r="K23" s="1065" t="s">
        <v>300</v>
      </c>
      <c r="L23" s="831"/>
      <c r="M23" s="314"/>
      <c r="N23" s="782"/>
      <c r="AH23" s="50">
        <v>19</v>
      </c>
    </row>
    <row r="24" ht="60.75" hidden="1" customHeight="1">
      <c r="A24" s="144" t="s">
        <v>151</v>
      </c>
      <c r="B24" s="144" t="s">
        <v>152</v>
      </c>
      <c r="D24" s="1066"/>
      <c r="E24" s="345"/>
      <c r="F24" s="1067" t="str">
        <f>INDEX(PT_DIFFERENTIATION_VTAR,MATCH(A24,PT_DIFFERENTIATION_VTAR_ID,0))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984" t="str">
        <f>INDEX(PT_DIFFERENTIATION_NTAR,MATCH(B24,PT_DIFFERENTIATION_NTAR_ID,0))</f>
        <v/>
      </c>
      <c r="H24" s="418"/>
      <c r="I24" s="1059"/>
      <c r="J24" s="1060"/>
      <c r="K24" s="608"/>
      <c r="L24" s="418" t="s">
        <v>300</v>
      </c>
      <c r="M24" s="28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 xml:space="preserve">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782"/>
      <c r="AH24" s="50">
        <v>0</v>
      </c>
    </row>
    <row r="25" s="50" customFormat="1" ht="18.75" hidden="1" customHeight="1">
      <c r="A25" s="144"/>
      <c r="B25" s="144"/>
      <c r="C25" s="396" t="s">
        <v>1176</v>
      </c>
      <c r="D25" s="1066"/>
      <c r="E25" s="345"/>
      <c r="F25" s="1067"/>
      <c r="G25" s="984"/>
      <c r="H25" s="702"/>
      <c r="I25" s="178" t="s">
        <v>1177</v>
      </c>
      <c r="J25" s="236"/>
      <c r="K25" s="702"/>
      <c r="L25" s="833"/>
      <c r="M25" s="288"/>
      <c r="N25" s="782"/>
      <c r="O25" s="130"/>
      <c r="P25" s="130"/>
      <c r="AH25" s="50">
        <v>0</v>
      </c>
    </row>
    <row r="26" ht="0.75" hidden="1" customHeight="1">
      <c r="A26" s="144"/>
      <c r="B26" s="144"/>
      <c r="C26" s="396" t="s">
        <v>1182</v>
      </c>
      <c r="D26" s="1066"/>
      <c r="E26" s="345"/>
      <c r="F26" s="79"/>
      <c r="G26" s="1068"/>
      <c r="H26" s="702"/>
      <c r="I26" s="178"/>
      <c r="J26" s="236"/>
      <c r="K26" s="702"/>
      <c r="L26" s="833"/>
      <c r="M26" s="288"/>
      <c r="N26" s="782"/>
      <c r="AH26" s="50">
        <v>0</v>
      </c>
    </row>
    <row r="27" s="50" customFormat="1" ht="45" hidden="1" customHeight="1">
      <c r="A27" s="144" t="s">
        <v>156</v>
      </c>
      <c r="B27" s="144" t="s">
        <v>157</v>
      </c>
      <c r="C27" s="396"/>
      <c r="D27" s="1069"/>
      <c r="E27" s="1070"/>
      <c r="F27" s="1071" t="str">
        <f>INDEX(PT_DIFFERENTIATION_VTAR,MATCH(A27,PT_DIFFERENTIATION_VTAR_ID,0))</f>
        <v/>
      </c>
      <c r="G27" s="984" t="str">
        <f>INDEX(PT_DIFFERENTIATION_NTAR,MATCH(B27,PT_DIFFERENTIATION_NTAR_ID,0))</f>
        <v/>
      </c>
      <c r="H27" s="418"/>
      <c r="I27" s="1059"/>
      <c r="J27" s="1060"/>
      <c r="K27" s="608"/>
      <c r="L27" s="418" t="s">
        <v>300</v>
      </c>
      <c r="M27" s="288"/>
      <c r="N27" s="782"/>
      <c r="O27" s="130"/>
      <c r="P27" s="130"/>
      <c r="AH27" s="50">
        <v>0</v>
      </c>
    </row>
    <row r="28" s="50" customFormat="1" ht="18.75" hidden="1" customHeight="1">
      <c r="A28" s="144"/>
      <c r="B28" s="144"/>
      <c r="C28" s="396" t="s">
        <v>1176</v>
      </c>
      <c r="D28" s="1069"/>
      <c r="E28" s="1070"/>
      <c r="F28" s="1071"/>
      <c r="G28" s="984"/>
      <c r="H28" s="702"/>
      <c r="I28" s="178" t="s">
        <v>1177</v>
      </c>
      <c r="J28" s="236"/>
      <c r="K28" s="702"/>
      <c r="L28" s="833"/>
      <c r="M28" s="288"/>
      <c r="N28" s="782"/>
      <c r="O28" s="130"/>
      <c r="P28" s="130"/>
      <c r="AH28" s="50">
        <v>0</v>
      </c>
    </row>
    <row r="29" s="50" customFormat="1" ht="0.75" hidden="1" customHeight="1">
      <c r="A29" s="144"/>
      <c r="B29" s="144"/>
      <c r="C29" s="396" t="s">
        <v>1182</v>
      </c>
      <c r="D29" s="1069"/>
      <c r="E29" s="345"/>
      <c r="F29" s="79"/>
      <c r="G29" s="1068"/>
      <c r="H29" s="702"/>
      <c r="I29" s="178"/>
      <c r="J29" s="236"/>
      <c r="K29" s="702"/>
      <c r="L29" s="833"/>
      <c r="M29" s="288"/>
      <c r="N29" s="782"/>
      <c r="O29" s="130"/>
      <c r="P29" s="130"/>
      <c r="AH29" s="50">
        <v>0</v>
      </c>
    </row>
    <row r="30" s="50" customFormat="1" ht="45" hidden="1" customHeight="1">
      <c r="A30" s="144" t="s">
        <v>163</v>
      </c>
      <c r="B30" s="144" t="s">
        <v>164</v>
      </c>
      <c r="C30" s="396"/>
      <c r="D30" s="1069"/>
      <c r="E30" s="345"/>
      <c r="F30" s="79" t="str">
        <f>INDEX(PT_DIFFERENTIATION_VTAR,MATCH(A30,PT_DIFFERENTIATION_VTAR_ID,0))</f>
        <v xml:space="preserve">Тарифы на теплоноситель, поставляемый теплоснабжающими организациями потребителям, другим теплоснабжающим организациям</v>
      </c>
      <c r="G30" s="984" t="str">
        <f>INDEX(PT_DIFFERENTIATION_NTAR,MATCH(B30,PT_DIFFERENTIATION_NTAR_ID,0))</f>
        <v/>
      </c>
      <c r="H30" s="418"/>
      <c r="I30" s="1059"/>
      <c r="J30" s="1060"/>
      <c r="K30" s="608"/>
      <c r="L30" s="418" t="s">
        <v>300</v>
      </c>
      <c r="M30" s="288"/>
      <c r="N30" s="782"/>
      <c r="O30" s="130"/>
      <c r="P30" s="130"/>
      <c r="AH30" s="50">
        <v>0</v>
      </c>
    </row>
    <row r="31" s="50" customFormat="1" ht="18.75" hidden="1" customHeight="1">
      <c r="A31" s="144"/>
      <c r="B31" s="144"/>
      <c r="C31" s="396" t="s">
        <v>1176</v>
      </c>
      <c r="D31" s="1069"/>
      <c r="E31" s="345"/>
      <c r="F31" s="79"/>
      <c r="G31" s="984"/>
      <c r="H31" s="702"/>
      <c r="I31" s="178" t="s">
        <v>1177</v>
      </c>
      <c r="J31" s="236"/>
      <c r="K31" s="702"/>
      <c r="L31" s="833"/>
      <c r="M31" s="288"/>
      <c r="N31" s="782"/>
      <c r="O31" s="130"/>
      <c r="P31" s="130"/>
      <c r="AH31" s="50">
        <v>0</v>
      </c>
    </row>
    <row r="32" s="50" customFormat="1" ht="0.75" hidden="1" customHeight="1">
      <c r="A32" s="144"/>
      <c r="B32" s="144"/>
      <c r="C32" s="396" t="s">
        <v>1182</v>
      </c>
      <c r="D32" s="1069"/>
      <c r="E32" s="345"/>
      <c r="F32" s="79"/>
      <c r="G32" s="1068"/>
      <c r="H32" s="702"/>
      <c r="I32" s="178"/>
      <c r="J32" s="236"/>
      <c r="K32" s="702"/>
      <c r="L32" s="833"/>
      <c r="M32" s="288"/>
      <c r="N32" s="782"/>
      <c r="O32" s="130"/>
      <c r="P32" s="130"/>
      <c r="AH32" s="50">
        <v>0</v>
      </c>
    </row>
    <row r="33" s="50" customFormat="1" ht="45" hidden="1" customHeight="1">
      <c r="A33" s="144" t="s">
        <v>169</v>
      </c>
      <c r="B33" s="144" t="s">
        <v>170</v>
      </c>
      <c r="C33" s="396"/>
      <c r="D33" s="1069"/>
      <c r="E33" s="345"/>
      <c r="F33" s="79" t="str">
        <f>INDEX(PT_DIFFERENTIATION_VTAR,MATCH(A33,PT_DIFFERENTIATION_VTAR_ID,0))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984" t="str">
        <f>INDEX(PT_DIFFERENTIATION_NTAR,MATCH(B33,PT_DIFFERENTIATION_NTAR_ID,0))</f>
        <v/>
      </c>
      <c r="H33" s="418"/>
      <c r="I33" s="1059"/>
      <c r="J33" s="1060"/>
      <c r="K33" s="608"/>
      <c r="L33" s="418" t="s">
        <v>300</v>
      </c>
      <c r="M33" s="288"/>
      <c r="N33" s="782"/>
      <c r="O33" s="130"/>
      <c r="P33" s="130"/>
      <c r="AH33" s="50">
        <v>0</v>
      </c>
    </row>
    <row r="34" s="50" customFormat="1" ht="18.75" hidden="1" customHeight="1">
      <c r="A34" s="144"/>
      <c r="B34" s="144"/>
      <c r="C34" s="396" t="s">
        <v>1176</v>
      </c>
      <c r="D34" s="1069"/>
      <c r="E34" s="345"/>
      <c r="F34" s="79"/>
      <c r="G34" s="984"/>
      <c r="H34" s="702"/>
      <c r="I34" s="178" t="s">
        <v>1177</v>
      </c>
      <c r="J34" s="236"/>
      <c r="K34" s="702"/>
      <c r="L34" s="833"/>
      <c r="M34" s="288"/>
      <c r="N34" s="782"/>
      <c r="O34" s="130"/>
      <c r="P34" s="130"/>
      <c r="AH34" s="50">
        <v>0</v>
      </c>
    </row>
    <row r="35" s="50" customFormat="1" ht="0.75" hidden="1" customHeight="1">
      <c r="A35" s="144"/>
      <c r="B35" s="144"/>
      <c r="C35" s="396" t="s">
        <v>1182</v>
      </c>
      <c r="D35" s="1069"/>
      <c r="E35" s="345"/>
      <c r="F35" s="79"/>
      <c r="G35" s="1068"/>
      <c r="H35" s="702"/>
      <c r="I35" s="178"/>
      <c r="J35" s="236"/>
      <c r="K35" s="702"/>
      <c r="L35" s="833"/>
      <c r="M35" s="288"/>
      <c r="N35" s="782"/>
      <c r="O35" s="130"/>
      <c r="P35" s="130"/>
      <c r="AH35" s="50">
        <v>0</v>
      </c>
    </row>
    <row r="36" s="50" customFormat="1" ht="18.75" hidden="1" customHeight="1">
      <c r="A36" s="144" t="s">
        <v>175</v>
      </c>
      <c r="B36" s="144" t="s">
        <v>176</v>
      </c>
      <c r="C36" s="396"/>
      <c r="D36" s="1069"/>
      <c r="E36" s="345"/>
      <c r="F36" s="79" t="str">
        <f>INDEX(PT_DIFFERENTIATION_VTAR,MATCH(A36,PT_DIFFERENTIATION_VTAR_ID,0))</f>
        <v xml:space="preserve">Тарифы на услуги по передаче тепловой энергии</v>
      </c>
      <c r="G36" s="984" t="str">
        <f>INDEX(PT_DIFFERENTIATION_NTAR,MATCH(B36,PT_DIFFERENTIATION_NTAR_ID,0))</f>
        <v/>
      </c>
      <c r="H36" s="418"/>
      <c r="I36" s="1059"/>
      <c r="J36" s="1060"/>
      <c r="K36" s="608"/>
      <c r="L36" s="418" t="s">
        <v>300</v>
      </c>
      <c r="M36" s="288"/>
      <c r="N36" s="782"/>
      <c r="O36" s="130"/>
      <c r="P36" s="130"/>
      <c r="AH36" s="50">
        <v>0</v>
      </c>
    </row>
    <row r="37" s="50" customFormat="1" ht="18.75" hidden="1" customHeight="1">
      <c r="A37" s="144"/>
      <c r="B37" s="144"/>
      <c r="C37" s="396" t="s">
        <v>1176</v>
      </c>
      <c r="D37" s="1069"/>
      <c r="E37" s="345"/>
      <c r="F37" s="79"/>
      <c r="G37" s="984"/>
      <c r="H37" s="702"/>
      <c r="I37" s="178" t="s">
        <v>1177</v>
      </c>
      <c r="J37" s="236"/>
      <c r="K37" s="702"/>
      <c r="L37" s="833"/>
      <c r="M37" s="288"/>
      <c r="N37" s="782"/>
      <c r="O37" s="130"/>
      <c r="P37" s="130"/>
      <c r="AH37" s="50">
        <v>0</v>
      </c>
    </row>
    <row r="38" s="50" customFormat="1" ht="0.75" hidden="1" customHeight="1">
      <c r="A38" s="144"/>
      <c r="B38" s="144"/>
      <c r="C38" s="396" t="s">
        <v>1182</v>
      </c>
      <c r="D38" s="1069"/>
      <c r="E38" s="345"/>
      <c r="F38" s="79"/>
      <c r="G38" s="1068"/>
      <c r="H38" s="702"/>
      <c r="I38" s="178"/>
      <c r="J38" s="236"/>
      <c r="K38" s="702"/>
      <c r="L38" s="833"/>
      <c r="M38" s="288"/>
      <c r="N38" s="782"/>
      <c r="O38" s="130"/>
      <c r="P38" s="130"/>
      <c r="AH38" s="50">
        <v>0</v>
      </c>
    </row>
    <row r="39" s="50" customFormat="1" ht="18.75" hidden="1" customHeight="1">
      <c r="A39" s="144" t="s">
        <v>181</v>
      </c>
      <c r="B39" s="144" t="s">
        <v>182</v>
      </c>
      <c r="C39" s="396"/>
      <c r="D39" s="1069"/>
      <c r="E39" s="345"/>
      <c r="F39" s="79" t="str">
        <f>INDEX(PT_DIFFERENTIATION_VTAR,MATCH(A39,PT_DIFFERENTIATION_VTAR_ID,0))</f>
        <v xml:space="preserve">Тарифы на услуги по передаче теплоносителя</v>
      </c>
      <c r="G39" s="984" t="str">
        <f>INDEX(PT_DIFFERENTIATION_NTAR,MATCH(B39,PT_DIFFERENTIATION_NTAR_ID,0))</f>
        <v/>
      </c>
      <c r="H39" s="418"/>
      <c r="I39" s="1059"/>
      <c r="J39" s="1060"/>
      <c r="K39" s="608"/>
      <c r="L39" s="418" t="s">
        <v>300</v>
      </c>
      <c r="M39" s="288"/>
      <c r="N39" s="782"/>
      <c r="O39" s="130"/>
      <c r="P39" s="130"/>
      <c r="AH39" s="50">
        <v>0</v>
      </c>
    </row>
    <row r="40" s="50" customFormat="1" ht="18.75" hidden="1" customHeight="1">
      <c r="A40" s="144"/>
      <c r="B40" s="144"/>
      <c r="C40" s="396" t="s">
        <v>1176</v>
      </c>
      <c r="D40" s="1069"/>
      <c r="E40" s="345"/>
      <c r="F40" s="79"/>
      <c r="G40" s="984"/>
      <c r="H40" s="702"/>
      <c r="I40" s="178" t="s">
        <v>1177</v>
      </c>
      <c r="J40" s="236"/>
      <c r="K40" s="702"/>
      <c r="L40" s="833"/>
      <c r="M40" s="288"/>
      <c r="N40" s="782"/>
      <c r="O40" s="130"/>
      <c r="P40" s="130"/>
      <c r="AH40" s="50">
        <v>0</v>
      </c>
    </row>
    <row r="41" s="50" customFormat="1" ht="0.75" hidden="1" customHeight="1">
      <c r="A41" s="144"/>
      <c r="B41" s="144"/>
      <c r="C41" s="396" t="s">
        <v>1182</v>
      </c>
      <c r="D41" s="1069"/>
      <c r="E41" s="345"/>
      <c r="F41" s="79"/>
      <c r="G41" s="1068"/>
      <c r="H41" s="702"/>
      <c r="I41" s="178"/>
      <c r="J41" s="236"/>
      <c r="K41" s="702"/>
      <c r="L41" s="833"/>
      <c r="M41" s="288"/>
      <c r="N41" s="782"/>
      <c r="O41" s="130"/>
      <c r="P41" s="130"/>
      <c r="AH41" s="50">
        <v>0</v>
      </c>
    </row>
    <row r="42" s="50" customFormat="1" ht="18.75" hidden="1" customHeight="1">
      <c r="A42" s="144" t="s">
        <v>187</v>
      </c>
      <c r="B42" s="144" t="s">
        <v>188</v>
      </c>
      <c r="C42" s="396"/>
      <c r="D42" s="1069"/>
      <c r="E42" s="345"/>
      <c r="F42" s="79" t="str">
        <f>INDEX(PT_DIFFERENTIATION_VTAR,MATCH(A42,PT_DIFFERENTIATION_VTAR_ID,0))</f>
        <v xml:space="preserve">Плата за услуги по поддержанию резервной тепловой мощности при отсутствии потребления тепловой энергии</v>
      </c>
      <c r="G42" s="984" t="str">
        <f>INDEX(PT_DIFFERENTIATION_NTAR,MATCH(B42,PT_DIFFERENTIATION_NTAR_ID,0))</f>
        <v/>
      </c>
      <c r="H42" s="418"/>
      <c r="I42" s="1059"/>
      <c r="J42" s="1060"/>
      <c r="K42" s="608"/>
      <c r="L42" s="418" t="s">
        <v>300</v>
      </c>
      <c r="M42" s="288"/>
      <c r="N42" s="782"/>
      <c r="O42" s="130"/>
      <c r="P42" s="130"/>
      <c r="AH42" s="50">
        <v>0</v>
      </c>
    </row>
    <row r="43" s="50" customFormat="1" ht="18.75" hidden="1" customHeight="1">
      <c r="A43" s="144"/>
      <c r="B43" s="144"/>
      <c r="C43" s="396" t="s">
        <v>1176</v>
      </c>
      <c r="D43" s="1069"/>
      <c r="E43" s="345"/>
      <c r="F43" s="79"/>
      <c r="G43" s="984"/>
      <c r="H43" s="702"/>
      <c r="I43" s="178" t="s">
        <v>1177</v>
      </c>
      <c r="J43" s="236"/>
      <c r="K43" s="702"/>
      <c r="L43" s="833"/>
      <c r="M43" s="288"/>
      <c r="N43" s="782"/>
      <c r="O43" s="130"/>
      <c r="P43" s="130"/>
      <c r="AH43" s="50">
        <v>0</v>
      </c>
    </row>
    <row r="44" s="50" customFormat="1" ht="0.75" hidden="1" customHeight="1">
      <c r="A44" s="144"/>
      <c r="B44" s="144"/>
      <c r="C44" s="396" t="s">
        <v>1182</v>
      </c>
      <c r="D44" s="1069"/>
      <c r="E44" s="345"/>
      <c r="F44" s="79"/>
      <c r="G44" s="1068"/>
      <c r="H44" s="702"/>
      <c r="I44" s="178"/>
      <c r="J44" s="236"/>
      <c r="K44" s="702"/>
      <c r="L44" s="833"/>
      <c r="M44" s="288"/>
      <c r="N44" s="782"/>
      <c r="O44" s="130"/>
      <c r="P44" s="130"/>
      <c r="AH44" s="50">
        <v>0</v>
      </c>
    </row>
    <row r="45" s="50" customFormat="1" ht="18.75" hidden="1" customHeight="1">
      <c r="A45" s="144" t="s">
        <v>193</v>
      </c>
      <c r="B45" s="144" t="s">
        <v>194</v>
      </c>
      <c r="C45" s="396"/>
      <c r="D45" s="1069"/>
      <c r="E45" s="345"/>
      <c r="F45" s="79" t="str">
        <f>INDEX(PT_DIFFERENTIATION_VTAR,MATCH(A45,PT_DIFFERENTIATION_VTAR_ID,0))</f>
        <v xml:space="preserve">Плата за подключение (технологическое присоединение) к системе теплоснабжения</v>
      </c>
      <c r="G45" s="984" t="str">
        <f>INDEX(PT_DIFFERENTIATION_NTAR,MATCH(B45,PT_DIFFERENTIATION_NTAR_ID,0))</f>
        <v/>
      </c>
      <c r="H45" s="418"/>
      <c r="I45" s="1059"/>
      <c r="J45" s="1060"/>
      <c r="K45" s="608"/>
      <c r="L45" s="418" t="s">
        <v>300</v>
      </c>
      <c r="M45" s="288"/>
      <c r="N45" s="782"/>
      <c r="O45" s="130"/>
      <c r="P45" s="130"/>
      <c r="AH45" s="50">
        <v>0</v>
      </c>
    </row>
    <row r="46" s="50" customFormat="1" ht="18.75" hidden="1" customHeight="1">
      <c r="A46" s="144"/>
      <c r="B46" s="144"/>
      <c r="C46" s="396" t="s">
        <v>1176</v>
      </c>
      <c r="D46" s="1069"/>
      <c r="E46" s="345"/>
      <c r="F46" s="79"/>
      <c r="G46" s="984"/>
      <c r="H46" s="702"/>
      <c r="I46" s="178" t="s">
        <v>1177</v>
      </c>
      <c r="J46" s="236"/>
      <c r="K46" s="702"/>
      <c r="L46" s="833"/>
      <c r="M46" s="288"/>
      <c r="N46" s="782"/>
      <c r="O46" s="130"/>
      <c r="P46" s="130"/>
      <c r="AH46" s="50">
        <v>0</v>
      </c>
    </row>
    <row r="47" s="50" customFormat="1" ht="0.75" hidden="1" customHeight="1">
      <c r="A47" s="144"/>
      <c r="B47" s="144"/>
      <c r="C47" s="396" t="s">
        <v>1182</v>
      </c>
      <c r="D47" s="1069"/>
      <c r="E47" s="345"/>
      <c r="F47" s="79"/>
      <c r="G47" s="1068"/>
      <c r="H47" s="702"/>
      <c r="I47" s="178"/>
      <c r="J47" s="236"/>
      <c r="K47" s="702"/>
      <c r="L47" s="833"/>
      <c r="M47" s="288"/>
      <c r="N47" s="782"/>
      <c r="O47" s="130"/>
      <c r="P47" s="130"/>
      <c r="AH47" s="50">
        <v>0</v>
      </c>
    </row>
    <row r="48" s="50" customFormat="1" ht="18.75" hidden="1" customHeight="1">
      <c r="A48" s="144" t="s">
        <v>199</v>
      </c>
      <c r="B48" s="144" t="s">
        <v>200</v>
      </c>
      <c r="C48" s="396"/>
      <c r="D48" s="1069"/>
      <c r="E48" s="345"/>
      <c r="F48" s="79" t="str">
        <f>INDEX(PT_DIFFERENTIATION_VTAR,MATCH(A48,PT_DIFFERENTIATION_VTAR_ID,0))</f>
        <v xml:space="preserve">Плата за подключение (технологическое присоединение) к системе теплоснабжения (индивидуальная)</v>
      </c>
      <c r="G48" s="984" t="str">
        <f>INDEX(PT_DIFFERENTIATION_NTAR,MATCH(B48,PT_DIFFERENTIATION_NTAR_ID,0))</f>
        <v/>
      </c>
      <c r="H48" s="418"/>
      <c r="I48" s="1059"/>
      <c r="J48" s="1060"/>
      <c r="K48" s="608"/>
      <c r="L48" s="418" t="s">
        <v>300</v>
      </c>
      <c r="M48" s="288"/>
      <c r="N48" s="782"/>
      <c r="O48" s="130"/>
      <c r="P48" s="130"/>
      <c r="AH48" s="50">
        <v>0</v>
      </c>
    </row>
    <row r="49" s="50" customFormat="1" ht="18.75" hidden="1" customHeight="1">
      <c r="A49" s="144"/>
      <c r="B49" s="144"/>
      <c r="C49" s="396" t="s">
        <v>1176</v>
      </c>
      <c r="D49" s="1069"/>
      <c r="E49" s="345"/>
      <c r="F49" s="79"/>
      <c r="G49" s="984"/>
      <c r="H49" s="702"/>
      <c r="I49" s="178" t="s">
        <v>1177</v>
      </c>
      <c r="J49" s="236"/>
      <c r="K49" s="702"/>
      <c r="L49" s="833"/>
      <c r="M49" s="288"/>
      <c r="N49" s="782"/>
      <c r="O49" s="130"/>
      <c r="P49" s="130"/>
      <c r="AH49" s="50">
        <v>0</v>
      </c>
    </row>
    <row r="50" s="50" customFormat="1" ht="0.75" hidden="1" customHeight="1">
      <c r="A50" s="144"/>
      <c r="B50" s="144"/>
      <c r="C50" s="396" t="s">
        <v>1182</v>
      </c>
      <c r="D50" s="1069"/>
      <c r="E50" s="345"/>
      <c r="F50" s="79"/>
      <c r="G50" s="1068"/>
      <c r="H50" s="702"/>
      <c r="I50" s="178"/>
      <c r="J50" s="236"/>
      <c r="K50" s="702"/>
      <c r="L50" s="833"/>
      <c r="M50" s="288"/>
      <c r="N50" s="782"/>
      <c r="O50" s="130"/>
      <c r="P50" s="130"/>
      <c r="AH50" s="50">
        <v>0</v>
      </c>
    </row>
    <row r="51" s="50" customFormat="1" ht="18.75" hidden="1" customHeight="1">
      <c r="A51" s="144" t="s">
        <v>219</v>
      </c>
      <c r="B51" s="144" t="s">
        <v>220</v>
      </c>
      <c r="C51" s="396"/>
      <c r="D51" s="1069"/>
      <c r="E51" s="345"/>
      <c r="F51" s="79" t="str">
        <f>INDEX(PT_DIFFERENTIATION_VTAR,MATCH(A51,PT_DIFFERENTIATION_VTAR_ID,0))</f>
        <v xml:space="preserve">Тариф на питьевую воду (питьевое водоснабжение)</v>
      </c>
      <c r="G51" s="984" t="str">
        <f>INDEX(PT_DIFFERENTIATION_NTAR,MATCH(B51,PT_DIFFERENTIATION_NTAR_ID,0))</f>
        <v/>
      </c>
      <c r="H51" s="418"/>
      <c r="I51" s="1059"/>
      <c r="J51" s="1060"/>
      <c r="K51" s="608"/>
      <c r="L51" s="418" t="s">
        <v>300</v>
      </c>
      <c r="M51" s="288"/>
      <c r="N51" s="782"/>
      <c r="O51" s="130"/>
      <c r="P51" s="130"/>
      <c r="AH51" s="50">
        <v>0</v>
      </c>
    </row>
    <row r="52" s="50" customFormat="1" ht="18.75" hidden="1" customHeight="1">
      <c r="A52" s="144"/>
      <c r="B52" s="144"/>
      <c r="C52" s="396" t="s">
        <v>1176</v>
      </c>
      <c r="D52" s="1069"/>
      <c r="E52" s="345"/>
      <c r="F52" s="79"/>
      <c r="G52" s="984"/>
      <c r="H52" s="702"/>
      <c r="I52" s="178" t="s">
        <v>1177</v>
      </c>
      <c r="J52" s="236"/>
      <c r="K52" s="702"/>
      <c r="L52" s="833"/>
      <c r="M52" s="288"/>
      <c r="N52" s="782"/>
      <c r="O52" s="130"/>
      <c r="P52" s="130"/>
      <c r="AH52" s="50">
        <v>0</v>
      </c>
    </row>
    <row r="53" s="50" customFormat="1" ht="0.75" hidden="1" customHeight="1">
      <c r="A53" s="144"/>
      <c r="B53" s="144"/>
      <c r="C53" s="396" t="s">
        <v>1182</v>
      </c>
      <c r="D53" s="1069"/>
      <c r="E53" s="345"/>
      <c r="F53" s="79"/>
      <c r="G53" s="1068"/>
      <c r="H53" s="702"/>
      <c r="I53" s="178"/>
      <c r="J53" s="236"/>
      <c r="K53" s="702"/>
      <c r="L53" s="833"/>
      <c r="M53" s="288"/>
      <c r="N53" s="782"/>
      <c r="O53" s="130"/>
      <c r="P53" s="130"/>
      <c r="AH53" s="50">
        <v>0</v>
      </c>
    </row>
    <row r="54" s="50" customFormat="1" ht="18.75" hidden="1" customHeight="1">
      <c r="A54" s="144" t="s">
        <v>224</v>
      </c>
      <c r="B54" s="144" t="s">
        <v>225</v>
      </c>
      <c r="C54" s="396"/>
      <c r="D54" s="1069"/>
      <c r="E54" s="345"/>
      <c r="F54" s="79" t="str">
        <f>INDEX(PT_DIFFERENTIATION_VTAR,MATCH(A54,PT_DIFFERENTIATION_VTAR_ID,0))</f>
        <v xml:space="preserve">Тариф на техническую воду</v>
      </c>
      <c r="G54" s="984" t="str">
        <f>INDEX(PT_DIFFERENTIATION_NTAR,MATCH(B54,PT_DIFFERENTIATION_NTAR_ID,0))</f>
        <v/>
      </c>
      <c r="H54" s="418"/>
      <c r="I54" s="1059"/>
      <c r="J54" s="1060"/>
      <c r="K54" s="608"/>
      <c r="L54" s="418" t="s">
        <v>300</v>
      </c>
      <c r="M54" s="288"/>
      <c r="N54" s="782"/>
      <c r="O54" s="130"/>
      <c r="P54" s="130"/>
      <c r="AH54" s="50">
        <v>0</v>
      </c>
    </row>
    <row r="55" s="50" customFormat="1" ht="18.75" hidden="1" customHeight="1">
      <c r="A55" s="144"/>
      <c r="B55" s="144"/>
      <c r="C55" s="396" t="s">
        <v>1176</v>
      </c>
      <c r="D55" s="1069"/>
      <c r="E55" s="345"/>
      <c r="F55" s="79"/>
      <c r="G55" s="984"/>
      <c r="H55" s="702"/>
      <c r="I55" s="178" t="s">
        <v>1177</v>
      </c>
      <c r="J55" s="236"/>
      <c r="K55" s="702"/>
      <c r="L55" s="833"/>
      <c r="M55" s="288"/>
      <c r="N55" s="782"/>
      <c r="O55" s="130"/>
      <c r="P55" s="130"/>
      <c r="AH55" s="50">
        <v>0</v>
      </c>
    </row>
    <row r="56" s="50" customFormat="1" ht="0.75" hidden="1" customHeight="1">
      <c r="A56" s="144"/>
      <c r="B56" s="144"/>
      <c r="C56" s="396" t="s">
        <v>1182</v>
      </c>
      <c r="D56" s="1069"/>
      <c r="E56" s="345"/>
      <c r="F56" s="79"/>
      <c r="G56" s="1068"/>
      <c r="H56" s="702"/>
      <c r="I56" s="178"/>
      <c r="J56" s="236"/>
      <c r="K56" s="702"/>
      <c r="L56" s="833"/>
      <c r="M56" s="288"/>
      <c r="N56" s="782"/>
      <c r="O56" s="130"/>
      <c r="P56" s="130"/>
      <c r="AH56" s="50">
        <v>0</v>
      </c>
    </row>
    <row r="57" s="50" customFormat="1" ht="18.75" hidden="1" customHeight="1">
      <c r="A57" s="144" t="s">
        <v>229</v>
      </c>
      <c r="B57" s="144" t="s">
        <v>230</v>
      </c>
      <c r="C57" s="396"/>
      <c r="D57" s="1069"/>
      <c r="E57" s="345"/>
      <c r="F57" s="79" t="str">
        <f>INDEX(PT_DIFFERENTIATION_VTAR,MATCH(A57,PT_DIFFERENTIATION_VTAR_ID,0))</f>
        <v xml:space="preserve">Тариф на транспортировку воды</v>
      </c>
      <c r="G57" s="984" t="str">
        <f>INDEX(PT_DIFFERENTIATION_NTAR,MATCH(B57,PT_DIFFERENTIATION_NTAR_ID,0))</f>
        <v/>
      </c>
      <c r="H57" s="418"/>
      <c r="I57" s="1059"/>
      <c r="J57" s="1060"/>
      <c r="K57" s="608"/>
      <c r="L57" s="418" t="s">
        <v>300</v>
      </c>
      <c r="M57" s="288"/>
      <c r="N57" s="782"/>
      <c r="O57" s="130"/>
      <c r="P57" s="130"/>
      <c r="AH57" s="50">
        <v>0</v>
      </c>
    </row>
    <row r="58" s="50" customFormat="1" ht="18.75" hidden="1" customHeight="1">
      <c r="A58" s="144"/>
      <c r="B58" s="144"/>
      <c r="C58" s="396" t="s">
        <v>1176</v>
      </c>
      <c r="D58" s="1069"/>
      <c r="E58" s="345"/>
      <c r="F58" s="79"/>
      <c r="G58" s="984"/>
      <c r="H58" s="702"/>
      <c r="I58" s="178" t="s">
        <v>1177</v>
      </c>
      <c r="J58" s="236"/>
      <c r="K58" s="702"/>
      <c r="L58" s="833"/>
      <c r="M58" s="288"/>
      <c r="N58" s="782"/>
      <c r="O58" s="130"/>
      <c r="P58" s="130"/>
      <c r="AH58" s="50">
        <v>0</v>
      </c>
    </row>
    <row r="59" s="50" customFormat="1" ht="0.75" hidden="1" customHeight="1">
      <c r="A59" s="144"/>
      <c r="B59" s="144"/>
      <c r="C59" s="396" t="s">
        <v>1182</v>
      </c>
      <c r="D59" s="1069"/>
      <c r="E59" s="345"/>
      <c r="F59" s="79"/>
      <c r="G59" s="1068"/>
      <c r="H59" s="702"/>
      <c r="I59" s="178"/>
      <c r="J59" s="236"/>
      <c r="K59" s="702"/>
      <c r="L59" s="833"/>
      <c r="M59" s="288"/>
      <c r="N59" s="782"/>
      <c r="O59" s="130"/>
      <c r="P59" s="130"/>
      <c r="AH59" s="50">
        <v>0</v>
      </c>
    </row>
    <row r="60" s="50" customFormat="1" ht="18.75" hidden="1" customHeight="1">
      <c r="A60" s="144" t="s">
        <v>234</v>
      </c>
      <c r="B60" s="144" t="s">
        <v>235</v>
      </c>
      <c r="C60" s="396"/>
      <c r="D60" s="1069"/>
      <c r="E60" s="345"/>
      <c r="F60" s="79" t="str">
        <f>INDEX(PT_DIFFERENTIATION_VTAR,MATCH(A60,PT_DIFFERENTIATION_VTAR_ID,0))</f>
        <v xml:space="preserve">Тариф на подвоз воды</v>
      </c>
      <c r="G60" s="984" t="str">
        <f>INDEX(PT_DIFFERENTIATION_NTAR,MATCH(B60,PT_DIFFERENTIATION_NTAR_ID,0))</f>
        <v/>
      </c>
      <c r="H60" s="418"/>
      <c r="I60" s="1059"/>
      <c r="J60" s="1060"/>
      <c r="K60" s="608"/>
      <c r="L60" s="418" t="s">
        <v>300</v>
      </c>
      <c r="M60" s="288"/>
      <c r="N60" s="782"/>
      <c r="O60" s="130"/>
      <c r="P60" s="130"/>
      <c r="AH60" s="50">
        <v>0</v>
      </c>
    </row>
    <row r="61" s="50" customFormat="1" ht="18.75" hidden="1" customHeight="1">
      <c r="A61" s="144"/>
      <c r="B61" s="144"/>
      <c r="C61" s="396" t="s">
        <v>1176</v>
      </c>
      <c r="D61" s="1069"/>
      <c r="E61" s="345"/>
      <c r="F61" s="79"/>
      <c r="G61" s="984"/>
      <c r="H61" s="702"/>
      <c r="I61" s="178" t="s">
        <v>1177</v>
      </c>
      <c r="J61" s="236"/>
      <c r="K61" s="702"/>
      <c r="L61" s="833"/>
      <c r="M61" s="288"/>
      <c r="N61" s="782"/>
      <c r="O61" s="130"/>
      <c r="P61" s="130"/>
      <c r="AH61" s="50">
        <v>0</v>
      </c>
    </row>
    <row r="62" s="50" customFormat="1" ht="0.75" hidden="1" customHeight="1">
      <c r="A62" s="144"/>
      <c r="B62" s="144"/>
      <c r="C62" s="396" t="s">
        <v>1182</v>
      </c>
      <c r="D62" s="1069"/>
      <c r="E62" s="345"/>
      <c r="F62" s="79"/>
      <c r="G62" s="1068"/>
      <c r="H62" s="702"/>
      <c r="I62" s="178"/>
      <c r="J62" s="236"/>
      <c r="K62" s="702"/>
      <c r="L62" s="833"/>
      <c r="M62" s="288"/>
      <c r="N62" s="782"/>
      <c r="O62" s="130"/>
      <c r="P62" s="130"/>
      <c r="AH62" s="50">
        <v>0</v>
      </c>
    </row>
    <row r="63" s="50" customFormat="1" ht="18.75" hidden="1" customHeight="1">
      <c r="A63" s="144" t="s">
        <v>239</v>
      </c>
      <c r="B63" s="144" t="s">
        <v>240</v>
      </c>
      <c r="C63" s="396"/>
      <c r="D63" s="1069"/>
      <c r="E63" s="345"/>
      <c r="F63" s="79" t="str">
        <f>INDEX(PT_DIFFERENTIATION_VTAR,MATCH(A63,PT_DIFFERENTIATION_VTAR_ID,0))</f>
        <v xml:space="preserve">Тариф на подключение (технологическое присоединение) к централизованной системе холодного водоснабжения</v>
      </c>
      <c r="G63" s="984" t="str">
        <f>INDEX(PT_DIFFERENTIATION_NTAR,MATCH(B63,PT_DIFFERENTIATION_NTAR_ID,0))</f>
        <v/>
      </c>
      <c r="H63" s="418"/>
      <c r="I63" s="1059"/>
      <c r="J63" s="1060"/>
      <c r="K63" s="608"/>
      <c r="L63" s="418" t="s">
        <v>300</v>
      </c>
      <c r="M63" s="288"/>
      <c r="N63" s="782"/>
      <c r="O63" s="130"/>
      <c r="P63" s="130"/>
      <c r="AH63" s="50">
        <v>0</v>
      </c>
    </row>
    <row r="64" s="50" customFormat="1" ht="18.75" hidden="1" customHeight="1">
      <c r="A64" s="144"/>
      <c r="B64" s="144"/>
      <c r="C64" s="396" t="s">
        <v>1176</v>
      </c>
      <c r="D64" s="1069"/>
      <c r="E64" s="345"/>
      <c r="F64" s="79"/>
      <c r="G64" s="984"/>
      <c r="H64" s="702"/>
      <c r="I64" s="178" t="s">
        <v>1177</v>
      </c>
      <c r="J64" s="236"/>
      <c r="K64" s="702"/>
      <c r="L64" s="833"/>
      <c r="M64" s="288"/>
      <c r="N64" s="782"/>
      <c r="O64" s="130"/>
      <c r="P64" s="130"/>
      <c r="AH64" s="50">
        <v>0</v>
      </c>
    </row>
    <row r="65" s="50" customFormat="1" ht="0.75" hidden="1" customHeight="1">
      <c r="A65" s="144"/>
      <c r="B65" s="144"/>
      <c r="C65" s="396" t="s">
        <v>1182</v>
      </c>
      <c r="D65" s="1069"/>
      <c r="E65" s="345"/>
      <c r="F65" s="79"/>
      <c r="G65" s="1068"/>
      <c r="H65" s="702"/>
      <c r="I65" s="178"/>
      <c r="J65" s="236"/>
      <c r="K65" s="702"/>
      <c r="L65" s="833"/>
      <c r="M65" s="288"/>
      <c r="N65" s="782"/>
      <c r="O65" s="130"/>
      <c r="P65" s="130"/>
      <c r="AH65" s="50">
        <v>0</v>
      </c>
    </row>
    <row r="66" s="50" customFormat="1" ht="18.75" hidden="1" customHeight="1">
      <c r="A66" s="144" t="s">
        <v>244</v>
      </c>
      <c r="B66" s="144" t="s">
        <v>245</v>
      </c>
      <c r="C66" s="396"/>
      <c r="D66" s="1069"/>
      <c r="E66" s="345"/>
      <c r="F66" s="79" t="str">
        <f>INDEX(PT_DIFFERENTIATION_VTAR,MATCH(A66,PT_DIFFERENTIATION_VTAR_ID,0))</f>
        <v xml:space="preserve">Тариф на горячую воду (горячее водоснабжение)</v>
      </c>
      <c r="G66" s="984" t="str">
        <f>INDEX(PT_DIFFERENTIATION_NTAR,MATCH(B66,PT_DIFFERENTIATION_NTAR_ID,0))</f>
        <v/>
      </c>
      <c r="H66" s="418"/>
      <c r="I66" s="1059"/>
      <c r="J66" s="1060"/>
      <c r="K66" s="608"/>
      <c r="L66" s="418" t="s">
        <v>300</v>
      </c>
      <c r="M66" s="288"/>
      <c r="N66" s="782"/>
      <c r="O66" s="130"/>
      <c r="P66" s="130"/>
      <c r="AH66" s="50">
        <v>0</v>
      </c>
    </row>
    <row r="67" s="50" customFormat="1" ht="18.75" hidden="1" customHeight="1">
      <c r="A67" s="144"/>
      <c r="B67" s="144"/>
      <c r="C67" s="396" t="s">
        <v>1176</v>
      </c>
      <c r="D67" s="1069"/>
      <c r="E67" s="345"/>
      <c r="F67" s="79"/>
      <c r="G67" s="984"/>
      <c r="H67" s="702"/>
      <c r="I67" s="178" t="s">
        <v>1177</v>
      </c>
      <c r="J67" s="236"/>
      <c r="K67" s="702"/>
      <c r="L67" s="833"/>
      <c r="M67" s="288"/>
      <c r="N67" s="782"/>
      <c r="O67" s="130"/>
      <c r="P67" s="130"/>
      <c r="AH67" s="50">
        <v>0</v>
      </c>
    </row>
    <row r="68" s="50" customFormat="1" ht="0.75" hidden="1" customHeight="1">
      <c r="A68" s="144"/>
      <c r="B68" s="144"/>
      <c r="C68" s="396" t="s">
        <v>1182</v>
      </c>
      <c r="D68" s="1069"/>
      <c r="E68" s="345"/>
      <c r="F68" s="79"/>
      <c r="G68" s="1068"/>
      <c r="H68" s="702"/>
      <c r="I68" s="178"/>
      <c r="J68" s="236"/>
      <c r="K68" s="702"/>
      <c r="L68" s="833"/>
      <c r="M68" s="288"/>
      <c r="N68" s="782"/>
      <c r="O68" s="130"/>
      <c r="P68" s="130"/>
      <c r="AH68" s="50">
        <v>0</v>
      </c>
    </row>
    <row r="69" s="50" customFormat="1" ht="18.75" hidden="1" customHeight="1">
      <c r="A69" s="144" t="s">
        <v>249</v>
      </c>
      <c r="B69" s="144" t="s">
        <v>250</v>
      </c>
      <c r="C69" s="396"/>
      <c r="D69" s="1069"/>
      <c r="E69" s="345"/>
      <c r="F69" s="79" t="str">
        <f>INDEX(PT_DIFFERENTIATION_VTAR,MATCH(A69,PT_DIFFERENTIATION_VTAR_ID,0))</f>
        <v xml:space="preserve">Тариф на транспортировку горячей воды</v>
      </c>
      <c r="G69" s="984" t="str">
        <f>INDEX(PT_DIFFERENTIATION_NTAR,MATCH(B69,PT_DIFFERENTIATION_NTAR_ID,0))</f>
        <v/>
      </c>
      <c r="H69" s="418"/>
      <c r="I69" s="1059"/>
      <c r="J69" s="1060"/>
      <c r="K69" s="608"/>
      <c r="L69" s="418" t="s">
        <v>300</v>
      </c>
      <c r="M69" s="288"/>
      <c r="N69" s="782"/>
      <c r="O69" s="130"/>
      <c r="P69" s="130"/>
      <c r="AH69" s="50">
        <v>0</v>
      </c>
    </row>
    <row r="70" s="50" customFormat="1" ht="18.75" hidden="1" customHeight="1">
      <c r="A70" s="144"/>
      <c r="B70" s="144"/>
      <c r="C70" s="396" t="s">
        <v>1176</v>
      </c>
      <c r="D70" s="1069"/>
      <c r="E70" s="345"/>
      <c r="F70" s="79"/>
      <c r="G70" s="984"/>
      <c r="H70" s="702"/>
      <c r="I70" s="178" t="s">
        <v>1177</v>
      </c>
      <c r="J70" s="236"/>
      <c r="K70" s="702"/>
      <c r="L70" s="833"/>
      <c r="M70" s="288"/>
      <c r="N70" s="782"/>
      <c r="O70" s="130"/>
      <c r="P70" s="130"/>
      <c r="AH70" s="50">
        <v>0</v>
      </c>
    </row>
    <row r="71" s="50" customFormat="1" ht="0.75" hidden="1" customHeight="1">
      <c r="A71" s="144"/>
      <c r="B71" s="144"/>
      <c r="C71" s="396" t="s">
        <v>1182</v>
      </c>
      <c r="D71" s="1069"/>
      <c r="E71" s="345"/>
      <c r="F71" s="79"/>
      <c r="G71" s="1068"/>
      <c r="H71" s="702"/>
      <c r="I71" s="178"/>
      <c r="J71" s="236"/>
      <c r="K71" s="702"/>
      <c r="L71" s="833"/>
      <c r="M71" s="288"/>
      <c r="N71" s="782"/>
      <c r="O71" s="130"/>
      <c r="P71" s="130"/>
      <c r="AH71" s="50">
        <v>0</v>
      </c>
    </row>
    <row r="72" s="50" customFormat="1" ht="18.75" hidden="1" customHeight="1">
      <c r="A72" s="144" t="s">
        <v>254</v>
      </c>
      <c r="B72" s="144" t="s">
        <v>255</v>
      </c>
      <c r="C72" s="396"/>
      <c r="D72" s="1069"/>
      <c r="E72" s="345"/>
      <c r="F72" s="79" t="str">
        <f>INDEX(PT_DIFFERENTIATION_VTAR,MATCH(A72,PT_DIFFERENTIATION_VTAR_ID,0))</f>
        <v xml:space="preserve">Тариф на подключение (технологическое присоединение) к централизованной системе горячего водоснабжения</v>
      </c>
      <c r="G72" s="984" t="str">
        <f>INDEX(PT_DIFFERENTIATION_NTAR,MATCH(B72,PT_DIFFERENTIATION_NTAR_ID,0))</f>
        <v/>
      </c>
      <c r="H72" s="418"/>
      <c r="I72" s="1059"/>
      <c r="J72" s="1060"/>
      <c r="K72" s="608"/>
      <c r="L72" s="418" t="s">
        <v>300</v>
      </c>
      <c r="M72" s="288"/>
      <c r="N72" s="782"/>
      <c r="O72" s="130"/>
      <c r="P72" s="130"/>
      <c r="AH72" s="50">
        <v>0</v>
      </c>
    </row>
    <row r="73" s="50" customFormat="1" ht="18.75" hidden="1" customHeight="1">
      <c r="A73" s="144"/>
      <c r="B73" s="144"/>
      <c r="C73" s="396" t="s">
        <v>1176</v>
      </c>
      <c r="D73" s="1069"/>
      <c r="E73" s="345"/>
      <c r="F73" s="79"/>
      <c r="G73" s="984"/>
      <c r="H73" s="702"/>
      <c r="I73" s="178" t="s">
        <v>1177</v>
      </c>
      <c r="J73" s="236"/>
      <c r="K73" s="702"/>
      <c r="L73" s="833"/>
      <c r="M73" s="288"/>
      <c r="N73" s="782"/>
      <c r="O73" s="130"/>
      <c r="P73" s="130"/>
      <c r="AH73" s="50">
        <v>0</v>
      </c>
    </row>
    <row r="74" s="50" customFormat="1" ht="0.75" hidden="1" customHeight="1">
      <c r="A74" s="144"/>
      <c r="B74" s="144"/>
      <c r="C74" s="396" t="s">
        <v>1182</v>
      </c>
      <c r="D74" s="1069"/>
      <c r="E74" s="345"/>
      <c r="F74" s="79"/>
      <c r="G74" s="1068"/>
      <c r="H74" s="702"/>
      <c r="I74" s="178"/>
      <c r="J74" s="236"/>
      <c r="K74" s="702"/>
      <c r="L74" s="833"/>
      <c r="M74" s="288"/>
      <c r="N74" s="782"/>
      <c r="O74" s="130"/>
      <c r="P74" s="130"/>
      <c r="AH74" s="50">
        <v>0</v>
      </c>
    </row>
    <row r="75" s="50" customFormat="1" ht="18.75" hidden="1" customHeight="1">
      <c r="A75" s="144" t="s">
        <v>259</v>
      </c>
      <c r="B75" s="144" t="s">
        <v>260</v>
      </c>
      <c r="C75" s="396"/>
      <c r="D75" s="1069"/>
      <c r="E75" s="345"/>
      <c r="F75" s="79" t="str">
        <f>INDEX(PT_DIFFERENTIATION_VTAR,MATCH(A75,PT_DIFFERENTIATION_VTAR_ID,0))</f>
        <v xml:space="preserve">Тариф на водоотведение</v>
      </c>
      <c r="G75" s="984" t="str">
        <f>INDEX(PT_DIFFERENTIATION_NTAR,MATCH(B75,PT_DIFFERENTIATION_NTAR_ID,0))</f>
        <v/>
      </c>
      <c r="H75" s="418"/>
      <c r="I75" s="1059"/>
      <c r="J75" s="1060"/>
      <c r="K75" s="608"/>
      <c r="L75" s="418" t="s">
        <v>300</v>
      </c>
      <c r="M75" s="288"/>
      <c r="N75" s="782"/>
      <c r="O75" s="130"/>
      <c r="P75" s="130"/>
      <c r="AH75" s="50">
        <v>0</v>
      </c>
    </row>
    <row r="76" s="50" customFormat="1" ht="18.75" hidden="1" customHeight="1">
      <c r="A76" s="144"/>
      <c r="B76" s="144"/>
      <c r="C76" s="396" t="s">
        <v>1176</v>
      </c>
      <c r="D76" s="1069"/>
      <c r="E76" s="345"/>
      <c r="F76" s="79"/>
      <c r="G76" s="984"/>
      <c r="H76" s="702"/>
      <c r="I76" s="178" t="s">
        <v>1177</v>
      </c>
      <c r="J76" s="236"/>
      <c r="K76" s="702"/>
      <c r="L76" s="833"/>
      <c r="M76" s="288"/>
      <c r="N76" s="782"/>
      <c r="O76" s="130"/>
      <c r="P76" s="130"/>
      <c r="AH76" s="50">
        <v>0</v>
      </c>
    </row>
    <row r="77" s="50" customFormat="1" ht="0.75" hidden="1" customHeight="1">
      <c r="A77" s="144"/>
      <c r="B77" s="144"/>
      <c r="C77" s="396" t="s">
        <v>1182</v>
      </c>
      <c r="D77" s="1069"/>
      <c r="E77" s="345"/>
      <c r="F77" s="79"/>
      <c r="G77" s="1068"/>
      <c r="H77" s="702"/>
      <c r="I77" s="178"/>
      <c r="J77" s="236"/>
      <c r="K77" s="702"/>
      <c r="L77" s="833"/>
      <c r="M77" s="288"/>
      <c r="N77" s="782"/>
      <c r="O77" s="130"/>
      <c r="P77" s="130"/>
      <c r="AH77" s="50">
        <v>0</v>
      </c>
    </row>
    <row r="78" s="50" customFormat="1" ht="18.75" hidden="1" customHeight="1">
      <c r="A78" s="144" t="s">
        <v>264</v>
      </c>
      <c r="B78" s="144" t="s">
        <v>265</v>
      </c>
      <c r="C78" s="396"/>
      <c r="D78" s="1069"/>
      <c r="E78" s="345"/>
      <c r="F78" s="79" t="str">
        <f>INDEX(PT_DIFFERENTIATION_VTAR,MATCH(A78,PT_DIFFERENTIATION_VTAR_ID,0))</f>
        <v xml:space="preserve">Тариф на транспортировку сточных вод</v>
      </c>
      <c r="G78" s="984" t="str">
        <f>INDEX(PT_DIFFERENTIATION_NTAR,MATCH(B78,PT_DIFFERENTIATION_NTAR_ID,0))</f>
        <v/>
      </c>
      <c r="H78" s="418"/>
      <c r="I78" s="1059"/>
      <c r="J78" s="1060"/>
      <c r="K78" s="608"/>
      <c r="L78" s="418" t="s">
        <v>300</v>
      </c>
      <c r="M78" s="288"/>
      <c r="N78" s="782"/>
      <c r="O78" s="130"/>
      <c r="P78" s="130"/>
      <c r="AH78" s="50">
        <v>0</v>
      </c>
    </row>
    <row r="79" s="50" customFormat="1" ht="18.75" hidden="1" customHeight="1">
      <c r="A79" s="144"/>
      <c r="B79" s="144"/>
      <c r="C79" s="396" t="s">
        <v>1176</v>
      </c>
      <c r="D79" s="1069"/>
      <c r="E79" s="345"/>
      <c r="F79" s="79"/>
      <c r="G79" s="984"/>
      <c r="H79" s="702"/>
      <c r="I79" s="178" t="s">
        <v>1177</v>
      </c>
      <c r="J79" s="236"/>
      <c r="K79" s="702"/>
      <c r="L79" s="833"/>
      <c r="M79" s="288"/>
      <c r="N79" s="782"/>
      <c r="O79" s="130"/>
      <c r="P79" s="130"/>
      <c r="AH79" s="50">
        <v>0</v>
      </c>
    </row>
    <row r="80" s="50" customFormat="1" ht="0.75" hidden="1" customHeight="1">
      <c r="A80" s="144"/>
      <c r="B80" s="144"/>
      <c r="C80" s="396" t="s">
        <v>1182</v>
      </c>
      <c r="D80" s="1069"/>
      <c r="E80" s="345"/>
      <c r="F80" s="79"/>
      <c r="G80" s="1068"/>
      <c r="H80" s="702"/>
      <c r="I80" s="178"/>
      <c r="J80" s="236"/>
      <c r="K80" s="702"/>
      <c r="L80" s="833"/>
      <c r="M80" s="288"/>
      <c r="N80" s="782"/>
      <c r="O80" s="130"/>
      <c r="P80" s="130"/>
      <c r="AH80" s="50">
        <v>0</v>
      </c>
    </row>
    <row r="81" s="50" customFormat="1" ht="18.75" hidden="1" customHeight="1">
      <c r="A81" s="144" t="s">
        <v>269</v>
      </c>
      <c r="B81" s="144" t="s">
        <v>270</v>
      </c>
      <c r="C81" s="396"/>
      <c r="D81" s="1069"/>
      <c r="E81" s="345"/>
      <c r="F81" s="79" t="str">
        <f>INDEX(PT_DIFFERENTIATION_VTAR,MATCH(A81,PT_DIFFERENTIATION_VTAR_ID,0))</f>
        <v xml:space="preserve">Тариф на подключение (технологическое присоединение) к централизованной системе водоотведения</v>
      </c>
      <c r="G81" s="984" t="str">
        <f>INDEX(PT_DIFFERENTIATION_NTAR,MATCH(B81,PT_DIFFERENTIATION_NTAR_ID,0))</f>
        <v/>
      </c>
      <c r="H81" s="418"/>
      <c r="I81" s="1059"/>
      <c r="J81" s="1060"/>
      <c r="K81" s="608"/>
      <c r="L81" s="418" t="s">
        <v>300</v>
      </c>
      <c r="M81" s="288"/>
      <c r="N81" s="782"/>
      <c r="O81" s="130"/>
      <c r="P81" s="130"/>
      <c r="AH81" s="50">
        <v>0</v>
      </c>
    </row>
    <row r="82" s="50" customFormat="1" ht="18.75" hidden="1" customHeight="1">
      <c r="A82" s="144"/>
      <c r="B82" s="144"/>
      <c r="C82" s="396" t="s">
        <v>1176</v>
      </c>
      <c r="D82" s="1069"/>
      <c r="E82" s="345"/>
      <c r="F82" s="79"/>
      <c r="G82" s="984"/>
      <c r="H82" s="702"/>
      <c r="I82" s="178" t="s">
        <v>1177</v>
      </c>
      <c r="J82" s="236"/>
      <c r="K82" s="702"/>
      <c r="L82" s="833"/>
      <c r="M82" s="288"/>
      <c r="N82" s="782"/>
      <c r="O82" s="130"/>
      <c r="P82" s="130"/>
      <c r="AH82" s="50">
        <v>0</v>
      </c>
    </row>
    <row r="83" s="50" customFormat="1" ht="1.05" customHeight="1">
      <c r="A83" s="144"/>
      <c r="B83" s="144"/>
      <c r="C83" s="396" t="s">
        <v>1182</v>
      </c>
      <c r="D83" s="1069"/>
      <c r="E83" s="345"/>
      <c r="F83" s="79"/>
      <c r="G83" s="1068"/>
      <c r="H83" s="702"/>
      <c r="I83" s="178"/>
      <c r="J83" s="236"/>
      <c r="K83" s="702"/>
      <c r="L83" s="833"/>
      <c r="M83" s="288"/>
      <c r="N83" s="782"/>
      <c r="O83" s="130"/>
      <c r="P83" s="130"/>
      <c r="AH83" s="50">
        <v>1</v>
      </c>
    </row>
    <row r="84" ht="19.949999999999999" customHeight="1">
      <c r="A84" s="144"/>
      <c r="B84" s="144"/>
      <c r="D84" s="540"/>
      <c r="E84" s="345" t="s">
        <v>106</v>
      </c>
      <c r="F84" s="831" t="str">
        <f>"Долгосрочные параметры регулирования (в случае если их установление предусмотрено выбранным методом регулирования тарифов в сфере "&amp;TEMPLATE_SPHERE_RUS&amp;")"</f>
        <v xml:space="preserve">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831"/>
      <c r="H84" s="831"/>
      <c r="I84" s="831"/>
      <c r="J84" s="831"/>
      <c r="K84" s="831"/>
      <c r="L84" s="831"/>
      <c r="M84" s="823"/>
      <c r="N84" s="782"/>
      <c r="AH84" s="50">
        <v>19</v>
      </c>
    </row>
    <row r="85" ht="35.649999999999999" customHeight="1">
      <c r="A85" s="144"/>
      <c r="B85" s="144"/>
      <c r="D85" s="540"/>
      <c r="E85" s="1072"/>
      <c r="F85" s="247" t="s">
        <v>300</v>
      </c>
      <c r="G85" s="247" t="s">
        <v>300</v>
      </c>
      <c r="H85" s="416" t="s">
        <v>300</v>
      </c>
      <c r="I85" s="418"/>
      <c r="J85" s="247" t="s">
        <v>300</v>
      </c>
      <c r="K85" s="247" t="s">
        <v>300</v>
      </c>
      <c r="L85" s="759"/>
      <c r="M85" s="486" t="s">
        <v>1183</v>
      </c>
      <c r="N85" s="782"/>
      <c r="AH85" s="50">
        <v>34</v>
      </c>
    </row>
    <row r="86" ht="19.949999999999999" customHeight="1">
      <c r="A86" s="144"/>
      <c r="B86" s="144"/>
      <c r="D86" s="540"/>
      <c r="E86" s="345" t="s">
        <v>89</v>
      </c>
      <c r="F86" s="831" t="s">
        <v>1184</v>
      </c>
      <c r="G86" s="831"/>
      <c r="H86" s="831"/>
      <c r="I86" s="831"/>
      <c r="J86" s="831"/>
      <c r="K86" s="831"/>
      <c r="L86" s="831"/>
      <c r="M86" s="823"/>
      <c r="N86" s="782"/>
      <c r="AH86" s="50">
        <v>19</v>
      </c>
    </row>
    <row r="87" s="50" customFormat="1" ht="60.75" hidden="1" customHeight="1">
      <c r="A87" s="144" t="s">
        <v>151</v>
      </c>
      <c r="B87" s="144" t="s">
        <v>152</v>
      </c>
      <c r="C87" s="396"/>
      <c r="D87" s="1069"/>
      <c r="E87" s="345"/>
      <c r="F87" s="79" t="str">
        <f>INDEX(PT_DIFFERENTIATION_VTAR,MATCH(A87,PT_DIFFERENTIATION_VTAR_ID,0))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984" t="str">
        <f>INDEX(PT_DIFFERENTIATION_NTAR,MATCH(B87,PT_DIFFERENTIATION_NTAR_ID,0))</f>
        <v/>
      </c>
      <c r="H87" s="418"/>
      <c r="I87" s="1059"/>
      <c r="J87" s="1060"/>
      <c r="K87" s="434"/>
      <c r="L87" s="418" t="s">
        <v>300</v>
      </c>
      <c r="M87" s="28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 xml:space="preserve">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782"/>
      <c r="O87" s="130"/>
      <c r="P87" s="130"/>
      <c r="AH87" s="50">
        <v>0</v>
      </c>
    </row>
    <row r="88" s="50" customFormat="1" ht="18.75" hidden="1" customHeight="1">
      <c r="A88" s="144"/>
      <c r="B88" s="144"/>
      <c r="C88" s="396" t="s">
        <v>1178</v>
      </c>
      <c r="D88" s="1069"/>
      <c r="E88" s="345"/>
      <c r="F88" s="79"/>
      <c r="G88" s="984"/>
      <c r="H88" s="702"/>
      <c r="I88" s="178" t="s">
        <v>1177</v>
      </c>
      <c r="J88" s="236"/>
      <c r="K88" s="702"/>
      <c r="L88" s="833"/>
      <c r="M88" s="288"/>
      <c r="N88" s="782"/>
      <c r="O88" s="130"/>
      <c r="P88" s="130"/>
      <c r="AH88" s="50">
        <v>0</v>
      </c>
    </row>
    <row r="89" s="50" customFormat="1" ht="0.75" hidden="1" customHeight="1">
      <c r="A89" s="144"/>
      <c r="B89" s="144"/>
      <c r="C89" s="396" t="s">
        <v>1185</v>
      </c>
      <c r="D89" s="1069"/>
      <c r="E89" s="345"/>
      <c r="F89" s="79"/>
      <c r="G89" s="1068"/>
      <c r="H89" s="702"/>
      <c r="I89" s="178"/>
      <c r="J89" s="236"/>
      <c r="K89" s="702"/>
      <c r="L89" s="833"/>
      <c r="M89" s="288"/>
      <c r="N89" s="782"/>
      <c r="O89" s="130"/>
      <c r="P89" s="130"/>
      <c r="AH89" s="50">
        <v>0</v>
      </c>
    </row>
    <row r="90" s="50" customFormat="1" ht="45" hidden="1" customHeight="1">
      <c r="A90" s="144" t="s">
        <v>156</v>
      </c>
      <c r="B90" s="144" t="s">
        <v>157</v>
      </c>
      <c r="C90" s="396"/>
      <c r="D90" s="1069"/>
      <c r="E90" s="345"/>
      <c r="F90" s="79" t="str">
        <f>INDEX(PT_DIFFERENTIATION_VTAR,MATCH(A90,PT_DIFFERENTIATION_VTAR_ID,0))</f>
        <v/>
      </c>
      <c r="G90" s="984" t="str">
        <f>INDEX(PT_DIFFERENTIATION_NTAR,MATCH(B90,PT_DIFFERENTIATION_NTAR_ID,0))</f>
        <v/>
      </c>
      <c r="H90" s="418"/>
      <c r="I90" s="1059"/>
      <c r="J90" s="1060"/>
      <c r="K90" s="434"/>
      <c r="L90" s="418" t="s">
        <v>300</v>
      </c>
      <c r="M90" s="290"/>
      <c r="N90" s="782"/>
      <c r="O90" s="130"/>
      <c r="P90" s="130"/>
      <c r="AH90" s="50">
        <v>0</v>
      </c>
    </row>
    <row r="91" s="50" customFormat="1" ht="18.75" hidden="1" customHeight="1">
      <c r="A91" s="144"/>
      <c r="B91" s="144"/>
      <c r="C91" s="396" t="s">
        <v>1178</v>
      </c>
      <c r="D91" s="1069"/>
      <c r="E91" s="345"/>
      <c r="F91" s="79"/>
      <c r="G91" s="984"/>
      <c r="H91" s="702"/>
      <c r="I91" s="178" t="s">
        <v>1177</v>
      </c>
      <c r="J91" s="236"/>
      <c r="K91" s="702"/>
      <c r="L91" s="833"/>
      <c r="M91" s="288"/>
      <c r="N91" s="782"/>
      <c r="O91" s="130"/>
      <c r="P91" s="130"/>
      <c r="AH91" s="50">
        <v>0</v>
      </c>
    </row>
    <row r="92" s="50" customFormat="1" ht="0.75" hidden="1" customHeight="1">
      <c r="A92" s="144"/>
      <c r="B92" s="144"/>
      <c r="C92" s="396" t="s">
        <v>1185</v>
      </c>
      <c r="D92" s="1069"/>
      <c r="E92" s="345"/>
      <c r="F92" s="79"/>
      <c r="G92" s="1068"/>
      <c r="H92" s="702"/>
      <c r="I92" s="178"/>
      <c r="J92" s="236"/>
      <c r="K92" s="702"/>
      <c r="L92" s="833"/>
      <c r="M92" s="1055"/>
      <c r="N92" s="782"/>
      <c r="O92" s="130"/>
      <c r="P92" s="130"/>
      <c r="AH92" s="50">
        <v>0</v>
      </c>
    </row>
    <row r="93" s="50" customFormat="1" ht="45" hidden="1" customHeight="1">
      <c r="A93" s="144" t="s">
        <v>163</v>
      </c>
      <c r="B93" s="144" t="s">
        <v>164</v>
      </c>
      <c r="C93" s="396"/>
      <c r="D93" s="1069"/>
      <c r="E93" s="345"/>
      <c r="F93" s="79" t="str">
        <f>INDEX(PT_DIFFERENTIATION_VTAR,MATCH(A93,PT_DIFFERENTIATION_VTAR_ID,0))</f>
        <v xml:space="preserve">Тарифы на теплоноситель, поставляемый теплоснабжающими организациями потребителям, другим теплоснабжающим организациям</v>
      </c>
      <c r="G93" s="984" t="str">
        <f>INDEX(PT_DIFFERENTIATION_NTAR,MATCH(B93,PT_DIFFERENTIATION_NTAR_ID,0))</f>
        <v/>
      </c>
      <c r="H93" s="418"/>
      <c r="I93" s="1059"/>
      <c r="J93" s="1060"/>
      <c r="K93" s="434"/>
      <c r="L93" s="418" t="s">
        <v>300</v>
      </c>
      <c r="M93" s="1055"/>
      <c r="N93" s="782"/>
      <c r="O93" s="130"/>
      <c r="P93" s="130"/>
      <c r="AH93" s="50">
        <v>0</v>
      </c>
    </row>
    <row r="94" s="50" customFormat="1" ht="18.75" hidden="1" customHeight="1">
      <c r="A94" s="144"/>
      <c r="B94" s="144"/>
      <c r="C94" s="396" t="s">
        <v>1178</v>
      </c>
      <c r="D94" s="1069"/>
      <c r="E94" s="345"/>
      <c r="F94" s="79"/>
      <c r="G94" s="984"/>
      <c r="H94" s="702"/>
      <c r="I94" s="178" t="s">
        <v>1177</v>
      </c>
      <c r="J94" s="236"/>
      <c r="K94" s="702"/>
      <c r="L94" s="833"/>
      <c r="M94" s="1055"/>
      <c r="N94" s="782"/>
      <c r="O94" s="130"/>
      <c r="P94" s="130"/>
      <c r="AH94" s="50">
        <v>0</v>
      </c>
    </row>
    <row r="95" s="50" customFormat="1" ht="0.75" hidden="1" customHeight="1">
      <c r="A95" s="144"/>
      <c r="B95" s="144"/>
      <c r="C95" s="396" t="s">
        <v>1185</v>
      </c>
      <c r="D95" s="1069"/>
      <c r="E95" s="345"/>
      <c r="F95" s="79"/>
      <c r="G95" s="1068"/>
      <c r="H95" s="702"/>
      <c r="I95" s="178"/>
      <c r="J95" s="236"/>
      <c r="K95" s="702"/>
      <c r="L95" s="833"/>
      <c r="M95" s="1055"/>
      <c r="N95" s="782"/>
      <c r="O95" s="130"/>
      <c r="P95" s="130"/>
      <c r="AH95" s="50">
        <v>0</v>
      </c>
    </row>
    <row r="96" s="50" customFormat="1" ht="45" hidden="1" customHeight="1">
      <c r="A96" s="144" t="s">
        <v>169</v>
      </c>
      <c r="B96" s="144" t="s">
        <v>170</v>
      </c>
      <c r="C96" s="396"/>
      <c r="D96" s="1069"/>
      <c r="E96" s="345"/>
      <c r="F96" s="79" t="str">
        <f>INDEX(PT_DIFFERENTIATION_VTAR,MATCH(A96,PT_DIFFERENTIATION_VTAR_ID,0))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984" t="str">
        <f>INDEX(PT_DIFFERENTIATION_NTAR,MATCH(B96,PT_DIFFERENTIATION_NTAR_ID,0))</f>
        <v/>
      </c>
      <c r="H96" s="418"/>
      <c r="I96" s="1059"/>
      <c r="J96" s="1060"/>
      <c r="K96" s="434"/>
      <c r="L96" s="418" t="s">
        <v>300</v>
      </c>
      <c r="M96" s="1055"/>
      <c r="N96" s="782"/>
      <c r="O96" s="130"/>
      <c r="P96" s="130"/>
      <c r="AH96" s="50">
        <v>0</v>
      </c>
    </row>
    <row r="97" s="50" customFormat="1" ht="18.75" hidden="1" customHeight="1">
      <c r="A97" s="144"/>
      <c r="B97" s="144"/>
      <c r="C97" s="396" t="s">
        <v>1178</v>
      </c>
      <c r="D97" s="1069"/>
      <c r="E97" s="345"/>
      <c r="F97" s="79"/>
      <c r="G97" s="984"/>
      <c r="H97" s="702"/>
      <c r="I97" s="178" t="s">
        <v>1177</v>
      </c>
      <c r="J97" s="236"/>
      <c r="K97" s="702"/>
      <c r="L97" s="833"/>
      <c r="M97" s="1055"/>
      <c r="N97" s="782"/>
      <c r="O97" s="130"/>
      <c r="P97" s="130"/>
      <c r="AH97" s="50">
        <v>0</v>
      </c>
    </row>
    <row r="98" s="50" customFormat="1" ht="0.75" hidden="1" customHeight="1">
      <c r="A98" s="144"/>
      <c r="B98" s="144"/>
      <c r="C98" s="396" t="s">
        <v>1185</v>
      </c>
      <c r="D98" s="1069"/>
      <c r="E98" s="345"/>
      <c r="F98" s="79"/>
      <c r="G98" s="1068"/>
      <c r="H98" s="702"/>
      <c r="I98" s="178"/>
      <c r="J98" s="236"/>
      <c r="K98" s="702"/>
      <c r="L98" s="833"/>
      <c r="M98" s="1055"/>
      <c r="N98" s="782"/>
      <c r="O98" s="130"/>
      <c r="P98" s="130"/>
      <c r="AH98" s="50">
        <v>0</v>
      </c>
    </row>
    <row r="99" s="50" customFormat="1" ht="18.75" hidden="1" customHeight="1">
      <c r="A99" s="144" t="s">
        <v>175</v>
      </c>
      <c r="B99" s="144" t="s">
        <v>176</v>
      </c>
      <c r="C99" s="396"/>
      <c r="D99" s="1069"/>
      <c r="E99" s="345"/>
      <c r="F99" s="79" t="str">
        <f>INDEX(PT_DIFFERENTIATION_VTAR,MATCH(A99,PT_DIFFERENTIATION_VTAR_ID,0))</f>
        <v xml:space="preserve">Тарифы на услуги по передаче тепловой энергии</v>
      </c>
      <c r="G99" s="984" t="str">
        <f>INDEX(PT_DIFFERENTIATION_NTAR,MATCH(B99,PT_DIFFERENTIATION_NTAR_ID,0))</f>
        <v/>
      </c>
      <c r="H99" s="418"/>
      <c r="I99" s="1059"/>
      <c r="J99" s="1060"/>
      <c r="K99" s="434"/>
      <c r="L99" s="418" t="s">
        <v>300</v>
      </c>
      <c r="M99" s="1055"/>
      <c r="N99" s="782"/>
      <c r="O99" s="130"/>
      <c r="P99" s="130"/>
      <c r="AH99" s="50">
        <v>0</v>
      </c>
    </row>
    <row r="100" s="50" customFormat="1" ht="18.75" hidden="1" customHeight="1">
      <c r="A100" s="144"/>
      <c r="B100" s="144"/>
      <c r="C100" s="396" t="s">
        <v>1178</v>
      </c>
      <c r="D100" s="1069"/>
      <c r="E100" s="345"/>
      <c r="F100" s="79"/>
      <c r="G100" s="984"/>
      <c r="H100" s="702"/>
      <c r="I100" s="178" t="s">
        <v>1177</v>
      </c>
      <c r="J100" s="236"/>
      <c r="K100" s="702"/>
      <c r="L100" s="833"/>
      <c r="M100" s="1055"/>
      <c r="N100" s="782"/>
      <c r="O100" s="130"/>
      <c r="P100" s="130"/>
      <c r="AH100" s="50">
        <v>0</v>
      </c>
    </row>
    <row r="101" s="50" customFormat="1" ht="0.75" hidden="1" customHeight="1">
      <c r="A101" s="144"/>
      <c r="B101" s="144"/>
      <c r="C101" s="396" t="s">
        <v>1185</v>
      </c>
      <c r="D101" s="1069"/>
      <c r="E101" s="345"/>
      <c r="F101" s="79"/>
      <c r="G101" s="1068"/>
      <c r="H101" s="702"/>
      <c r="I101" s="178"/>
      <c r="J101" s="236"/>
      <c r="K101" s="702"/>
      <c r="L101" s="833"/>
      <c r="M101" s="1055"/>
      <c r="N101" s="782"/>
      <c r="O101" s="130"/>
      <c r="P101" s="130"/>
      <c r="AH101" s="50">
        <v>0</v>
      </c>
    </row>
    <row r="102" s="50" customFormat="1" ht="18.75" hidden="1" customHeight="1">
      <c r="A102" s="144" t="s">
        <v>181</v>
      </c>
      <c r="B102" s="144" t="s">
        <v>182</v>
      </c>
      <c r="C102" s="396"/>
      <c r="D102" s="1069"/>
      <c r="E102" s="345"/>
      <c r="F102" s="79" t="str">
        <f>INDEX(PT_DIFFERENTIATION_VTAR,MATCH(A102,PT_DIFFERENTIATION_VTAR_ID,0))</f>
        <v xml:space="preserve">Тарифы на услуги по передаче теплоносителя</v>
      </c>
      <c r="G102" s="984" t="str">
        <f>INDEX(PT_DIFFERENTIATION_NTAR,MATCH(B102,PT_DIFFERENTIATION_NTAR_ID,0))</f>
        <v/>
      </c>
      <c r="H102" s="418"/>
      <c r="I102" s="1059"/>
      <c r="J102" s="1060"/>
      <c r="K102" s="434"/>
      <c r="L102" s="418" t="s">
        <v>300</v>
      </c>
      <c r="M102" s="1055"/>
      <c r="N102" s="782"/>
      <c r="O102" s="130"/>
      <c r="P102" s="130"/>
      <c r="AH102" s="50">
        <v>0</v>
      </c>
    </row>
    <row r="103" s="50" customFormat="1" ht="18.75" hidden="1" customHeight="1">
      <c r="A103" s="144"/>
      <c r="B103" s="144"/>
      <c r="C103" s="396" t="s">
        <v>1178</v>
      </c>
      <c r="D103" s="1069"/>
      <c r="E103" s="345"/>
      <c r="F103" s="79"/>
      <c r="G103" s="984"/>
      <c r="H103" s="702"/>
      <c r="I103" s="178" t="s">
        <v>1177</v>
      </c>
      <c r="J103" s="236"/>
      <c r="K103" s="702"/>
      <c r="L103" s="833"/>
      <c r="M103" s="1055"/>
      <c r="N103" s="782"/>
      <c r="O103" s="130"/>
      <c r="P103" s="130"/>
      <c r="AH103" s="50">
        <v>0</v>
      </c>
    </row>
    <row r="104" s="50" customFormat="1" ht="0.75" hidden="1" customHeight="1">
      <c r="A104" s="144"/>
      <c r="B104" s="144"/>
      <c r="C104" s="396" t="s">
        <v>1185</v>
      </c>
      <c r="D104" s="1069"/>
      <c r="E104" s="345"/>
      <c r="F104" s="79"/>
      <c r="G104" s="1068"/>
      <c r="H104" s="702"/>
      <c r="I104" s="178"/>
      <c r="J104" s="236"/>
      <c r="K104" s="702"/>
      <c r="L104" s="833"/>
      <c r="M104" s="1055"/>
      <c r="N104" s="782"/>
      <c r="O104" s="130"/>
      <c r="P104" s="130"/>
      <c r="AH104" s="50">
        <v>0</v>
      </c>
    </row>
    <row r="105" s="50" customFormat="1" ht="18.75" hidden="1" customHeight="1">
      <c r="A105" s="144" t="s">
        <v>187</v>
      </c>
      <c r="B105" s="144" t="s">
        <v>188</v>
      </c>
      <c r="C105" s="396"/>
      <c r="D105" s="1069"/>
      <c r="E105" s="345"/>
      <c r="F105" s="79" t="str">
        <f>INDEX(PT_DIFFERENTIATION_VTAR,MATCH(A105,PT_DIFFERENTIATION_VTAR_ID,0))</f>
        <v xml:space="preserve">Плата за услуги по поддержанию резервной тепловой мощности при отсутствии потребления тепловой энергии</v>
      </c>
      <c r="G105" s="984" t="str">
        <f>INDEX(PT_DIFFERENTIATION_NTAR,MATCH(B105,PT_DIFFERENTIATION_NTAR_ID,0))</f>
        <v/>
      </c>
      <c r="H105" s="418"/>
      <c r="I105" s="1059"/>
      <c r="J105" s="1060"/>
      <c r="K105" s="434"/>
      <c r="L105" s="418" t="s">
        <v>300</v>
      </c>
      <c r="M105" s="1055"/>
      <c r="N105" s="782"/>
      <c r="O105" s="130"/>
      <c r="P105" s="130"/>
      <c r="AH105" s="50">
        <v>0</v>
      </c>
    </row>
    <row r="106" s="50" customFormat="1" ht="18.75" hidden="1" customHeight="1">
      <c r="A106" s="144"/>
      <c r="B106" s="144"/>
      <c r="C106" s="396" t="s">
        <v>1178</v>
      </c>
      <c r="D106" s="1069"/>
      <c r="E106" s="345"/>
      <c r="F106" s="79"/>
      <c r="G106" s="984"/>
      <c r="H106" s="702"/>
      <c r="I106" s="178" t="s">
        <v>1177</v>
      </c>
      <c r="J106" s="236"/>
      <c r="K106" s="702"/>
      <c r="L106" s="833"/>
      <c r="M106" s="1055"/>
      <c r="N106" s="782"/>
      <c r="O106" s="130"/>
      <c r="P106" s="130"/>
      <c r="AH106" s="50">
        <v>0</v>
      </c>
    </row>
    <row r="107" s="50" customFormat="1" ht="0.75" hidden="1" customHeight="1">
      <c r="A107" s="144"/>
      <c r="B107" s="144"/>
      <c r="C107" s="396" t="s">
        <v>1185</v>
      </c>
      <c r="D107" s="1069"/>
      <c r="E107" s="345"/>
      <c r="F107" s="79"/>
      <c r="G107" s="1068"/>
      <c r="H107" s="702"/>
      <c r="I107" s="178"/>
      <c r="J107" s="236"/>
      <c r="K107" s="702"/>
      <c r="L107" s="833"/>
      <c r="M107" s="1055"/>
      <c r="N107" s="782"/>
      <c r="O107" s="130"/>
      <c r="P107" s="130"/>
      <c r="AH107" s="50">
        <v>0</v>
      </c>
    </row>
    <row r="108" s="50" customFormat="1" ht="18.75" hidden="1" customHeight="1">
      <c r="A108" s="144" t="s">
        <v>193</v>
      </c>
      <c r="B108" s="144" t="s">
        <v>194</v>
      </c>
      <c r="C108" s="396"/>
      <c r="D108" s="1069"/>
      <c r="E108" s="345"/>
      <c r="F108" s="79" t="str">
        <f>INDEX(PT_DIFFERENTIATION_VTAR,MATCH(A108,PT_DIFFERENTIATION_VTAR_ID,0))</f>
        <v xml:space="preserve">Плата за подключение (технологическое присоединение) к системе теплоснабжения</v>
      </c>
      <c r="G108" s="984" t="str">
        <f>INDEX(PT_DIFFERENTIATION_NTAR,MATCH(B108,PT_DIFFERENTIATION_NTAR_ID,0))</f>
        <v/>
      </c>
      <c r="H108" s="418"/>
      <c r="I108" s="1059"/>
      <c r="J108" s="1060"/>
      <c r="K108" s="434"/>
      <c r="L108" s="418" t="s">
        <v>300</v>
      </c>
      <c r="M108" s="1055"/>
      <c r="N108" s="782"/>
      <c r="O108" s="130"/>
      <c r="P108" s="130"/>
      <c r="AH108" s="50">
        <v>0</v>
      </c>
    </row>
    <row r="109" s="50" customFormat="1" ht="18.75" hidden="1" customHeight="1">
      <c r="A109" s="144"/>
      <c r="B109" s="144"/>
      <c r="C109" s="396" t="s">
        <v>1178</v>
      </c>
      <c r="D109" s="1069"/>
      <c r="E109" s="345"/>
      <c r="F109" s="79"/>
      <c r="G109" s="984"/>
      <c r="H109" s="702"/>
      <c r="I109" s="178" t="s">
        <v>1177</v>
      </c>
      <c r="J109" s="236"/>
      <c r="K109" s="702"/>
      <c r="L109" s="833"/>
      <c r="M109" s="1055"/>
      <c r="N109" s="782"/>
      <c r="O109" s="130"/>
      <c r="P109" s="130"/>
      <c r="AH109" s="50">
        <v>0</v>
      </c>
    </row>
    <row r="110" s="50" customFormat="1" ht="0.75" hidden="1" customHeight="1">
      <c r="A110" s="144"/>
      <c r="B110" s="144"/>
      <c r="C110" s="396" t="s">
        <v>1185</v>
      </c>
      <c r="D110" s="1069"/>
      <c r="E110" s="345"/>
      <c r="F110" s="79"/>
      <c r="G110" s="1068"/>
      <c r="H110" s="702"/>
      <c r="I110" s="178"/>
      <c r="J110" s="236"/>
      <c r="K110" s="702"/>
      <c r="L110" s="833"/>
      <c r="M110" s="1055"/>
      <c r="N110" s="782"/>
      <c r="O110" s="130"/>
      <c r="P110" s="130"/>
      <c r="AH110" s="50">
        <v>0</v>
      </c>
    </row>
    <row r="111" s="50" customFormat="1" ht="18.75" hidden="1" customHeight="1">
      <c r="A111" s="144" t="s">
        <v>199</v>
      </c>
      <c r="B111" s="144" t="s">
        <v>200</v>
      </c>
      <c r="C111" s="396"/>
      <c r="D111" s="1069"/>
      <c r="E111" s="345"/>
      <c r="F111" s="79" t="str">
        <f>INDEX(PT_DIFFERENTIATION_VTAR,MATCH(A111,PT_DIFFERENTIATION_VTAR_ID,0))</f>
        <v xml:space="preserve">Плата за подключение (технологическое присоединение) к системе теплоснабжения (индивидуальная)</v>
      </c>
      <c r="G111" s="984" t="str">
        <f>INDEX(PT_DIFFERENTIATION_NTAR,MATCH(B111,PT_DIFFERENTIATION_NTAR_ID,0))</f>
        <v/>
      </c>
      <c r="H111" s="418"/>
      <c r="I111" s="1059"/>
      <c r="J111" s="1060"/>
      <c r="K111" s="434"/>
      <c r="L111" s="418" t="s">
        <v>300</v>
      </c>
      <c r="M111" s="1055"/>
      <c r="N111" s="782"/>
      <c r="O111" s="130"/>
      <c r="P111" s="130"/>
      <c r="AH111" s="50">
        <v>0</v>
      </c>
    </row>
    <row r="112" s="50" customFormat="1" ht="18.75" hidden="1" customHeight="1">
      <c r="A112" s="144"/>
      <c r="B112" s="144"/>
      <c r="C112" s="396" t="s">
        <v>1178</v>
      </c>
      <c r="D112" s="1069"/>
      <c r="E112" s="345"/>
      <c r="F112" s="79"/>
      <c r="G112" s="984"/>
      <c r="H112" s="702"/>
      <c r="I112" s="178" t="s">
        <v>1177</v>
      </c>
      <c r="J112" s="236"/>
      <c r="K112" s="702"/>
      <c r="L112" s="833"/>
      <c r="M112" s="1055"/>
      <c r="N112" s="782"/>
      <c r="O112" s="130"/>
      <c r="P112" s="130"/>
      <c r="AH112" s="50">
        <v>0</v>
      </c>
    </row>
    <row r="113" s="50" customFormat="1" ht="0.75" hidden="1" customHeight="1">
      <c r="A113" s="144"/>
      <c r="B113" s="144"/>
      <c r="C113" s="396" t="s">
        <v>1185</v>
      </c>
      <c r="D113" s="1069"/>
      <c r="E113" s="345"/>
      <c r="F113" s="79"/>
      <c r="G113" s="1068"/>
      <c r="H113" s="702"/>
      <c r="I113" s="178"/>
      <c r="J113" s="236"/>
      <c r="K113" s="702"/>
      <c r="L113" s="833"/>
      <c r="M113" s="1055"/>
      <c r="N113" s="782"/>
      <c r="O113" s="130"/>
      <c r="P113" s="130"/>
      <c r="AH113" s="50">
        <v>0</v>
      </c>
    </row>
    <row r="114" s="50" customFormat="1" ht="18.75" hidden="1" customHeight="1">
      <c r="A114" s="144" t="s">
        <v>219</v>
      </c>
      <c r="B114" s="144" t="s">
        <v>220</v>
      </c>
      <c r="C114" s="396"/>
      <c r="D114" s="1069"/>
      <c r="E114" s="345"/>
      <c r="F114" s="79" t="str">
        <f>INDEX(PT_DIFFERENTIATION_VTAR,MATCH(A114,PT_DIFFERENTIATION_VTAR_ID,0))</f>
        <v xml:space="preserve">Тариф на питьевую воду (питьевое водоснабжение)</v>
      </c>
      <c r="G114" s="984" t="str">
        <f>INDEX(PT_DIFFERENTIATION_NTAR,MATCH(B114,PT_DIFFERENTIATION_NTAR_ID,0))</f>
        <v/>
      </c>
      <c r="H114" s="418"/>
      <c r="I114" s="1059"/>
      <c r="J114" s="1060"/>
      <c r="K114" s="434"/>
      <c r="L114" s="418" t="s">
        <v>300</v>
      </c>
      <c r="M114" s="1055"/>
      <c r="N114" s="782"/>
      <c r="O114" s="130"/>
      <c r="P114" s="130"/>
      <c r="AH114" s="50">
        <v>0</v>
      </c>
    </row>
    <row r="115" s="50" customFormat="1" ht="18.75" hidden="1" customHeight="1">
      <c r="A115" s="144"/>
      <c r="B115" s="144"/>
      <c r="C115" s="396" t="s">
        <v>1178</v>
      </c>
      <c r="D115" s="1069"/>
      <c r="E115" s="345"/>
      <c r="F115" s="79"/>
      <c r="G115" s="984"/>
      <c r="H115" s="702"/>
      <c r="I115" s="178" t="s">
        <v>1177</v>
      </c>
      <c r="J115" s="236"/>
      <c r="K115" s="702"/>
      <c r="L115" s="833"/>
      <c r="M115" s="1055"/>
      <c r="N115" s="782"/>
      <c r="O115" s="130"/>
      <c r="P115" s="130"/>
      <c r="AH115" s="50">
        <v>0</v>
      </c>
    </row>
    <row r="116" s="50" customFormat="1" ht="0.75" hidden="1" customHeight="1">
      <c r="A116" s="144"/>
      <c r="B116" s="144"/>
      <c r="C116" s="396" t="s">
        <v>1185</v>
      </c>
      <c r="D116" s="1069"/>
      <c r="E116" s="345"/>
      <c r="F116" s="79"/>
      <c r="G116" s="1068"/>
      <c r="H116" s="702"/>
      <c r="I116" s="178"/>
      <c r="J116" s="236"/>
      <c r="K116" s="702"/>
      <c r="L116" s="833"/>
      <c r="M116" s="1055"/>
      <c r="N116" s="782"/>
      <c r="O116" s="130"/>
      <c r="P116" s="130"/>
      <c r="AH116" s="50">
        <v>0</v>
      </c>
    </row>
    <row r="117" s="50" customFormat="1" ht="18.75" hidden="1" customHeight="1">
      <c r="A117" s="144" t="s">
        <v>224</v>
      </c>
      <c r="B117" s="144" t="s">
        <v>225</v>
      </c>
      <c r="C117" s="396"/>
      <c r="D117" s="1069"/>
      <c r="E117" s="345"/>
      <c r="F117" s="79" t="str">
        <f>INDEX(PT_DIFFERENTIATION_VTAR,MATCH(A117,PT_DIFFERENTIATION_VTAR_ID,0))</f>
        <v xml:space="preserve">Тариф на техническую воду</v>
      </c>
      <c r="G117" s="984" t="str">
        <f>INDEX(PT_DIFFERENTIATION_NTAR,MATCH(B117,PT_DIFFERENTIATION_NTAR_ID,0))</f>
        <v/>
      </c>
      <c r="H117" s="418"/>
      <c r="I117" s="1059"/>
      <c r="J117" s="1060"/>
      <c r="K117" s="434"/>
      <c r="L117" s="418" t="s">
        <v>300</v>
      </c>
      <c r="M117" s="1055"/>
      <c r="N117" s="782"/>
      <c r="O117" s="130"/>
      <c r="P117" s="130"/>
      <c r="AH117" s="50">
        <v>0</v>
      </c>
    </row>
    <row r="118" s="50" customFormat="1" ht="18.75" hidden="1" customHeight="1">
      <c r="A118" s="144"/>
      <c r="B118" s="144"/>
      <c r="C118" s="396" t="s">
        <v>1178</v>
      </c>
      <c r="D118" s="1069"/>
      <c r="E118" s="345"/>
      <c r="F118" s="79"/>
      <c r="G118" s="984"/>
      <c r="H118" s="702"/>
      <c r="I118" s="178" t="s">
        <v>1177</v>
      </c>
      <c r="J118" s="236"/>
      <c r="K118" s="702"/>
      <c r="L118" s="833"/>
      <c r="M118" s="1055"/>
      <c r="N118" s="782"/>
      <c r="O118" s="130"/>
      <c r="P118" s="130"/>
      <c r="AH118" s="50">
        <v>0</v>
      </c>
    </row>
    <row r="119" s="50" customFormat="1" ht="0.75" hidden="1" customHeight="1">
      <c r="A119" s="144"/>
      <c r="B119" s="144"/>
      <c r="C119" s="396" t="s">
        <v>1185</v>
      </c>
      <c r="D119" s="1069"/>
      <c r="E119" s="345"/>
      <c r="F119" s="79"/>
      <c r="G119" s="1068"/>
      <c r="H119" s="702"/>
      <c r="I119" s="178"/>
      <c r="J119" s="236"/>
      <c r="K119" s="702"/>
      <c r="L119" s="833"/>
      <c r="M119" s="1055"/>
      <c r="N119" s="782"/>
      <c r="O119" s="130"/>
      <c r="P119" s="130"/>
      <c r="AH119" s="50">
        <v>0</v>
      </c>
    </row>
    <row r="120" s="50" customFormat="1" ht="18.75" hidden="1" customHeight="1">
      <c r="A120" s="144" t="s">
        <v>229</v>
      </c>
      <c r="B120" s="144" t="s">
        <v>230</v>
      </c>
      <c r="C120" s="396"/>
      <c r="D120" s="1069"/>
      <c r="E120" s="345"/>
      <c r="F120" s="79" t="str">
        <f>INDEX(PT_DIFFERENTIATION_VTAR,MATCH(A120,PT_DIFFERENTIATION_VTAR_ID,0))</f>
        <v xml:space="preserve">Тариф на транспортировку воды</v>
      </c>
      <c r="G120" s="984" t="str">
        <f>INDEX(PT_DIFFERENTIATION_NTAR,MATCH(B120,PT_DIFFERENTIATION_NTAR_ID,0))</f>
        <v/>
      </c>
      <c r="H120" s="418"/>
      <c r="I120" s="1059"/>
      <c r="J120" s="1060"/>
      <c r="K120" s="434"/>
      <c r="L120" s="418" t="s">
        <v>300</v>
      </c>
      <c r="M120" s="1055"/>
      <c r="N120" s="782"/>
      <c r="O120" s="130"/>
      <c r="P120" s="130"/>
      <c r="AH120" s="50">
        <v>0</v>
      </c>
    </row>
    <row r="121" s="50" customFormat="1" ht="18.75" hidden="1" customHeight="1">
      <c r="A121" s="144"/>
      <c r="B121" s="144"/>
      <c r="C121" s="396" t="s">
        <v>1178</v>
      </c>
      <c r="D121" s="1069"/>
      <c r="E121" s="345"/>
      <c r="F121" s="79"/>
      <c r="G121" s="984"/>
      <c r="H121" s="702"/>
      <c r="I121" s="178" t="s">
        <v>1177</v>
      </c>
      <c r="J121" s="236"/>
      <c r="K121" s="702"/>
      <c r="L121" s="833"/>
      <c r="M121" s="1055"/>
      <c r="N121" s="782"/>
      <c r="O121" s="130"/>
      <c r="P121" s="130"/>
      <c r="AH121" s="50">
        <v>0</v>
      </c>
    </row>
    <row r="122" s="50" customFormat="1" ht="0.75" hidden="1" customHeight="1">
      <c r="A122" s="144"/>
      <c r="B122" s="144"/>
      <c r="C122" s="396" t="s">
        <v>1185</v>
      </c>
      <c r="D122" s="1069"/>
      <c r="E122" s="345"/>
      <c r="F122" s="79"/>
      <c r="G122" s="1068"/>
      <c r="H122" s="702"/>
      <c r="I122" s="178"/>
      <c r="J122" s="236"/>
      <c r="K122" s="702"/>
      <c r="L122" s="833"/>
      <c r="M122" s="1055"/>
      <c r="N122" s="782"/>
      <c r="O122" s="130"/>
      <c r="P122" s="130"/>
      <c r="AH122" s="50">
        <v>0</v>
      </c>
    </row>
    <row r="123" s="50" customFormat="1" ht="18.75" hidden="1" customHeight="1">
      <c r="A123" s="144" t="s">
        <v>234</v>
      </c>
      <c r="B123" s="144" t="s">
        <v>235</v>
      </c>
      <c r="C123" s="396"/>
      <c r="D123" s="1069"/>
      <c r="E123" s="345"/>
      <c r="F123" s="79" t="str">
        <f>INDEX(PT_DIFFERENTIATION_VTAR,MATCH(A123,PT_DIFFERENTIATION_VTAR_ID,0))</f>
        <v xml:space="preserve">Тариф на подвоз воды</v>
      </c>
      <c r="G123" s="984" t="str">
        <f>INDEX(PT_DIFFERENTIATION_NTAR,MATCH(B123,PT_DIFFERENTIATION_NTAR_ID,0))</f>
        <v/>
      </c>
      <c r="H123" s="418"/>
      <c r="I123" s="1059"/>
      <c r="J123" s="1060"/>
      <c r="K123" s="434"/>
      <c r="L123" s="418" t="s">
        <v>300</v>
      </c>
      <c r="M123" s="1055"/>
      <c r="N123" s="782"/>
      <c r="O123" s="130"/>
      <c r="P123" s="130"/>
      <c r="AH123" s="50">
        <v>0</v>
      </c>
    </row>
    <row r="124" s="50" customFormat="1" ht="18.75" hidden="1" customHeight="1">
      <c r="A124" s="144"/>
      <c r="B124" s="144"/>
      <c r="C124" s="396" t="s">
        <v>1178</v>
      </c>
      <c r="D124" s="1069"/>
      <c r="E124" s="345"/>
      <c r="F124" s="79"/>
      <c r="G124" s="984"/>
      <c r="H124" s="702"/>
      <c r="I124" s="178" t="s">
        <v>1177</v>
      </c>
      <c r="J124" s="236"/>
      <c r="K124" s="702"/>
      <c r="L124" s="833"/>
      <c r="M124" s="1055"/>
      <c r="N124" s="782"/>
      <c r="O124" s="130"/>
      <c r="P124" s="130"/>
      <c r="AH124" s="50">
        <v>0</v>
      </c>
    </row>
    <row r="125" s="50" customFormat="1" ht="0.75" hidden="1" customHeight="1">
      <c r="A125" s="144"/>
      <c r="B125" s="144"/>
      <c r="C125" s="396" t="s">
        <v>1185</v>
      </c>
      <c r="D125" s="1069"/>
      <c r="E125" s="345"/>
      <c r="F125" s="79"/>
      <c r="G125" s="1068"/>
      <c r="H125" s="702"/>
      <c r="I125" s="178"/>
      <c r="J125" s="236"/>
      <c r="K125" s="702"/>
      <c r="L125" s="833"/>
      <c r="M125" s="1055"/>
      <c r="N125" s="782"/>
      <c r="O125" s="130"/>
      <c r="P125" s="130"/>
      <c r="AH125" s="50">
        <v>0</v>
      </c>
    </row>
    <row r="126" s="50" customFormat="1" ht="18.75" hidden="1" customHeight="1">
      <c r="A126" s="144" t="s">
        <v>239</v>
      </c>
      <c r="B126" s="144" t="s">
        <v>240</v>
      </c>
      <c r="C126" s="396"/>
      <c r="D126" s="1069"/>
      <c r="E126" s="345"/>
      <c r="F126" s="79" t="str">
        <f>INDEX(PT_DIFFERENTIATION_VTAR,MATCH(A126,PT_DIFFERENTIATION_VTAR_ID,0))</f>
        <v xml:space="preserve">Тариф на подключение (технологическое присоединение) к централизованной системе холодного водоснабжения</v>
      </c>
      <c r="G126" s="984" t="str">
        <f>INDEX(PT_DIFFERENTIATION_NTAR,MATCH(B126,PT_DIFFERENTIATION_NTAR_ID,0))</f>
        <v/>
      </c>
      <c r="H126" s="418"/>
      <c r="I126" s="1059"/>
      <c r="J126" s="1060"/>
      <c r="K126" s="434"/>
      <c r="L126" s="418" t="s">
        <v>300</v>
      </c>
      <c r="M126" s="1055"/>
      <c r="N126" s="782"/>
      <c r="O126" s="130"/>
      <c r="P126" s="130"/>
      <c r="AH126" s="50">
        <v>0</v>
      </c>
    </row>
    <row r="127" s="50" customFormat="1" ht="18.75" hidden="1" customHeight="1">
      <c r="A127" s="144"/>
      <c r="B127" s="144"/>
      <c r="C127" s="396" t="s">
        <v>1178</v>
      </c>
      <c r="D127" s="1069"/>
      <c r="E127" s="345"/>
      <c r="F127" s="79"/>
      <c r="G127" s="984"/>
      <c r="H127" s="702"/>
      <c r="I127" s="178" t="s">
        <v>1177</v>
      </c>
      <c r="J127" s="236"/>
      <c r="K127" s="702"/>
      <c r="L127" s="833"/>
      <c r="M127" s="1055"/>
      <c r="N127" s="782"/>
      <c r="O127" s="130"/>
      <c r="P127" s="130"/>
      <c r="AH127" s="50">
        <v>0</v>
      </c>
    </row>
    <row r="128" s="50" customFormat="1" ht="0.75" hidden="1" customHeight="1">
      <c r="A128" s="144"/>
      <c r="B128" s="144"/>
      <c r="C128" s="396" t="s">
        <v>1185</v>
      </c>
      <c r="D128" s="1069"/>
      <c r="E128" s="345"/>
      <c r="F128" s="79"/>
      <c r="G128" s="1068"/>
      <c r="H128" s="702"/>
      <c r="I128" s="178"/>
      <c r="J128" s="236"/>
      <c r="K128" s="702"/>
      <c r="L128" s="833"/>
      <c r="M128" s="1055"/>
      <c r="N128" s="782"/>
      <c r="O128" s="130"/>
      <c r="P128" s="130"/>
      <c r="AH128" s="50">
        <v>0</v>
      </c>
    </row>
    <row r="129" s="50" customFormat="1" ht="18.75" hidden="1" customHeight="1">
      <c r="A129" s="144" t="s">
        <v>244</v>
      </c>
      <c r="B129" s="144" t="s">
        <v>245</v>
      </c>
      <c r="C129" s="396"/>
      <c r="D129" s="1069"/>
      <c r="E129" s="345"/>
      <c r="F129" s="79" t="str">
        <f>INDEX(PT_DIFFERENTIATION_VTAR,MATCH(A129,PT_DIFFERENTIATION_VTAR_ID,0))</f>
        <v xml:space="preserve">Тариф на горячую воду (горячее водоснабжение)</v>
      </c>
      <c r="G129" s="984" t="str">
        <f>INDEX(PT_DIFFERENTIATION_NTAR,MATCH(B129,PT_DIFFERENTIATION_NTAR_ID,0))</f>
        <v/>
      </c>
      <c r="H129" s="418"/>
      <c r="I129" s="1059"/>
      <c r="J129" s="1060"/>
      <c r="K129" s="434"/>
      <c r="L129" s="418" t="s">
        <v>300</v>
      </c>
      <c r="M129" s="1055"/>
      <c r="N129" s="782"/>
      <c r="O129" s="130"/>
      <c r="P129" s="130"/>
      <c r="AH129" s="50">
        <v>0</v>
      </c>
    </row>
    <row r="130" s="50" customFormat="1" ht="18.75" hidden="1" customHeight="1">
      <c r="A130" s="144"/>
      <c r="B130" s="144"/>
      <c r="C130" s="396" t="s">
        <v>1178</v>
      </c>
      <c r="D130" s="1069"/>
      <c r="E130" s="345"/>
      <c r="F130" s="79"/>
      <c r="G130" s="984"/>
      <c r="H130" s="702"/>
      <c r="I130" s="178" t="s">
        <v>1177</v>
      </c>
      <c r="J130" s="236"/>
      <c r="K130" s="702"/>
      <c r="L130" s="833"/>
      <c r="M130" s="1055"/>
      <c r="N130" s="782"/>
      <c r="O130" s="130"/>
      <c r="P130" s="130"/>
      <c r="AH130" s="50">
        <v>0</v>
      </c>
    </row>
    <row r="131" s="50" customFormat="1" ht="0.75" hidden="1" customHeight="1">
      <c r="A131" s="144"/>
      <c r="B131" s="144"/>
      <c r="C131" s="396" t="s">
        <v>1185</v>
      </c>
      <c r="D131" s="1069"/>
      <c r="E131" s="345"/>
      <c r="F131" s="79"/>
      <c r="G131" s="1068"/>
      <c r="H131" s="702"/>
      <c r="I131" s="178"/>
      <c r="J131" s="236"/>
      <c r="K131" s="702"/>
      <c r="L131" s="833"/>
      <c r="M131" s="1055"/>
      <c r="N131" s="782"/>
      <c r="O131" s="130"/>
      <c r="P131" s="130"/>
      <c r="AH131" s="50">
        <v>0</v>
      </c>
    </row>
    <row r="132" s="50" customFormat="1" ht="18.75" hidden="1" customHeight="1">
      <c r="A132" s="144" t="s">
        <v>249</v>
      </c>
      <c r="B132" s="144" t="s">
        <v>250</v>
      </c>
      <c r="C132" s="396"/>
      <c r="D132" s="1069"/>
      <c r="E132" s="345"/>
      <c r="F132" s="79" t="str">
        <f>INDEX(PT_DIFFERENTIATION_VTAR,MATCH(A132,PT_DIFFERENTIATION_VTAR_ID,0))</f>
        <v xml:space="preserve">Тариф на транспортировку горячей воды</v>
      </c>
      <c r="G132" s="984" t="str">
        <f>INDEX(PT_DIFFERENTIATION_NTAR,MATCH(B132,PT_DIFFERENTIATION_NTAR_ID,0))</f>
        <v/>
      </c>
      <c r="H132" s="418"/>
      <c r="I132" s="1059"/>
      <c r="J132" s="1060"/>
      <c r="K132" s="434"/>
      <c r="L132" s="418" t="s">
        <v>300</v>
      </c>
      <c r="M132" s="1055"/>
      <c r="N132" s="782"/>
      <c r="O132" s="130"/>
      <c r="P132" s="130"/>
      <c r="AH132" s="50">
        <v>0</v>
      </c>
    </row>
    <row r="133" s="50" customFormat="1" ht="18.75" hidden="1" customHeight="1">
      <c r="A133" s="144"/>
      <c r="B133" s="144"/>
      <c r="C133" s="396" t="s">
        <v>1178</v>
      </c>
      <c r="D133" s="1069"/>
      <c r="E133" s="345"/>
      <c r="F133" s="79"/>
      <c r="G133" s="984"/>
      <c r="H133" s="702"/>
      <c r="I133" s="178" t="s">
        <v>1177</v>
      </c>
      <c r="J133" s="236"/>
      <c r="K133" s="702"/>
      <c r="L133" s="833"/>
      <c r="M133" s="1055"/>
      <c r="N133" s="782"/>
      <c r="O133" s="130"/>
      <c r="P133" s="130"/>
      <c r="AH133" s="50">
        <v>0</v>
      </c>
    </row>
    <row r="134" s="50" customFormat="1" ht="0.75" hidden="1" customHeight="1">
      <c r="A134" s="144"/>
      <c r="B134" s="144"/>
      <c r="C134" s="396" t="s">
        <v>1185</v>
      </c>
      <c r="D134" s="1069"/>
      <c r="E134" s="345"/>
      <c r="F134" s="79"/>
      <c r="G134" s="1068"/>
      <c r="H134" s="702"/>
      <c r="I134" s="178"/>
      <c r="J134" s="236"/>
      <c r="K134" s="702"/>
      <c r="L134" s="833"/>
      <c r="M134" s="1055"/>
      <c r="N134" s="782"/>
      <c r="O134" s="130"/>
      <c r="P134" s="130"/>
      <c r="AH134" s="50">
        <v>0</v>
      </c>
    </row>
    <row r="135" s="50" customFormat="1" ht="18.75" hidden="1" customHeight="1">
      <c r="A135" s="144" t="s">
        <v>254</v>
      </c>
      <c r="B135" s="144" t="s">
        <v>255</v>
      </c>
      <c r="C135" s="396"/>
      <c r="D135" s="1069"/>
      <c r="E135" s="345"/>
      <c r="F135" s="79" t="str">
        <f>INDEX(PT_DIFFERENTIATION_VTAR,MATCH(A135,PT_DIFFERENTIATION_VTAR_ID,0))</f>
        <v xml:space="preserve">Тариф на подключение (технологическое присоединение) к централизованной системе горячего водоснабжения</v>
      </c>
      <c r="G135" s="984" t="str">
        <f>INDEX(PT_DIFFERENTIATION_NTAR,MATCH(B135,PT_DIFFERENTIATION_NTAR_ID,0))</f>
        <v/>
      </c>
      <c r="H135" s="418"/>
      <c r="I135" s="1059"/>
      <c r="J135" s="1060"/>
      <c r="K135" s="434"/>
      <c r="L135" s="418" t="s">
        <v>300</v>
      </c>
      <c r="M135" s="1055"/>
      <c r="N135" s="782"/>
      <c r="O135" s="130"/>
      <c r="P135" s="130"/>
      <c r="AH135" s="50">
        <v>0</v>
      </c>
    </row>
    <row r="136" s="50" customFormat="1" ht="18.75" hidden="1" customHeight="1">
      <c r="A136" s="144"/>
      <c r="B136" s="144"/>
      <c r="C136" s="396" t="s">
        <v>1178</v>
      </c>
      <c r="D136" s="1069"/>
      <c r="E136" s="345"/>
      <c r="F136" s="79"/>
      <c r="G136" s="984"/>
      <c r="H136" s="702"/>
      <c r="I136" s="178" t="s">
        <v>1177</v>
      </c>
      <c r="J136" s="236"/>
      <c r="K136" s="702"/>
      <c r="L136" s="833"/>
      <c r="M136" s="1055"/>
      <c r="N136" s="782"/>
      <c r="O136" s="130"/>
      <c r="P136" s="130"/>
      <c r="AH136" s="50">
        <v>0</v>
      </c>
    </row>
    <row r="137" s="50" customFormat="1" ht="0.75" hidden="1" customHeight="1">
      <c r="A137" s="144"/>
      <c r="B137" s="144"/>
      <c r="C137" s="396" t="s">
        <v>1185</v>
      </c>
      <c r="D137" s="1069"/>
      <c r="E137" s="345"/>
      <c r="F137" s="79"/>
      <c r="G137" s="1068"/>
      <c r="H137" s="702"/>
      <c r="I137" s="178"/>
      <c r="J137" s="236"/>
      <c r="K137" s="702"/>
      <c r="L137" s="833"/>
      <c r="M137" s="1055"/>
      <c r="N137" s="782"/>
      <c r="O137" s="130"/>
      <c r="P137" s="130"/>
      <c r="AH137" s="50">
        <v>0</v>
      </c>
    </row>
    <row r="138" s="50" customFormat="1" ht="18.75" hidden="1" customHeight="1">
      <c r="A138" s="144" t="s">
        <v>259</v>
      </c>
      <c r="B138" s="144" t="s">
        <v>260</v>
      </c>
      <c r="C138" s="396"/>
      <c r="D138" s="1069"/>
      <c r="E138" s="345"/>
      <c r="F138" s="79" t="str">
        <f>INDEX(PT_DIFFERENTIATION_VTAR,MATCH(A138,PT_DIFFERENTIATION_VTAR_ID,0))</f>
        <v xml:space="preserve">Тариф на водоотведение</v>
      </c>
      <c r="G138" s="984" t="str">
        <f>INDEX(PT_DIFFERENTIATION_NTAR,MATCH(B138,PT_DIFFERENTIATION_NTAR_ID,0))</f>
        <v/>
      </c>
      <c r="H138" s="418"/>
      <c r="I138" s="1059"/>
      <c r="J138" s="1060"/>
      <c r="K138" s="434"/>
      <c r="L138" s="418" t="s">
        <v>300</v>
      </c>
      <c r="M138" s="1055"/>
      <c r="N138" s="782"/>
      <c r="O138" s="130"/>
      <c r="P138" s="130"/>
      <c r="AH138" s="50">
        <v>0</v>
      </c>
    </row>
    <row r="139" s="50" customFormat="1" ht="18.75" hidden="1" customHeight="1">
      <c r="A139" s="144"/>
      <c r="B139" s="144"/>
      <c r="C139" s="396" t="s">
        <v>1178</v>
      </c>
      <c r="D139" s="1069"/>
      <c r="E139" s="345"/>
      <c r="F139" s="79"/>
      <c r="G139" s="984"/>
      <c r="H139" s="702"/>
      <c r="I139" s="178" t="s">
        <v>1177</v>
      </c>
      <c r="J139" s="236"/>
      <c r="K139" s="702"/>
      <c r="L139" s="833"/>
      <c r="M139" s="1055"/>
      <c r="N139" s="782"/>
      <c r="O139" s="130"/>
      <c r="P139" s="130"/>
      <c r="AH139" s="50">
        <v>0</v>
      </c>
    </row>
    <row r="140" s="50" customFormat="1" ht="0.75" hidden="1" customHeight="1">
      <c r="A140" s="144"/>
      <c r="B140" s="144"/>
      <c r="C140" s="396" t="s">
        <v>1185</v>
      </c>
      <c r="D140" s="1069"/>
      <c r="E140" s="345"/>
      <c r="F140" s="79"/>
      <c r="G140" s="1068"/>
      <c r="H140" s="702"/>
      <c r="I140" s="178"/>
      <c r="J140" s="236"/>
      <c r="K140" s="702"/>
      <c r="L140" s="833"/>
      <c r="M140" s="1055"/>
      <c r="N140" s="782"/>
      <c r="O140" s="130"/>
      <c r="P140" s="130"/>
      <c r="AH140" s="50">
        <v>0</v>
      </c>
    </row>
    <row r="141" s="50" customFormat="1" ht="18.75" hidden="1" customHeight="1">
      <c r="A141" s="144" t="s">
        <v>264</v>
      </c>
      <c r="B141" s="144" t="s">
        <v>265</v>
      </c>
      <c r="C141" s="396"/>
      <c r="D141" s="1069"/>
      <c r="E141" s="345"/>
      <c r="F141" s="79" t="str">
        <f>INDEX(PT_DIFFERENTIATION_VTAR,MATCH(A141,PT_DIFFERENTIATION_VTAR_ID,0))</f>
        <v xml:space="preserve">Тариф на транспортировку сточных вод</v>
      </c>
      <c r="G141" s="984" t="str">
        <f>INDEX(PT_DIFFERENTIATION_NTAR,MATCH(B141,PT_DIFFERENTIATION_NTAR_ID,0))</f>
        <v/>
      </c>
      <c r="H141" s="418"/>
      <c r="I141" s="1059"/>
      <c r="J141" s="1060"/>
      <c r="K141" s="434"/>
      <c r="L141" s="418" t="s">
        <v>300</v>
      </c>
      <c r="M141" s="1055"/>
      <c r="N141" s="782"/>
      <c r="O141" s="130"/>
      <c r="P141" s="130"/>
      <c r="AH141" s="50">
        <v>0</v>
      </c>
    </row>
    <row r="142" s="50" customFormat="1" ht="18.75" hidden="1" customHeight="1">
      <c r="A142" s="144"/>
      <c r="B142" s="144"/>
      <c r="C142" s="396" t="s">
        <v>1178</v>
      </c>
      <c r="D142" s="1069"/>
      <c r="E142" s="345"/>
      <c r="F142" s="79"/>
      <c r="G142" s="984"/>
      <c r="H142" s="702"/>
      <c r="I142" s="178" t="s">
        <v>1177</v>
      </c>
      <c r="J142" s="236"/>
      <c r="K142" s="702"/>
      <c r="L142" s="833"/>
      <c r="M142" s="1055"/>
      <c r="N142" s="782"/>
      <c r="O142" s="130"/>
      <c r="P142" s="130"/>
      <c r="AH142" s="50">
        <v>0</v>
      </c>
    </row>
    <row r="143" s="50" customFormat="1" ht="0.75" hidden="1" customHeight="1">
      <c r="A143" s="144"/>
      <c r="B143" s="144"/>
      <c r="C143" s="396" t="s">
        <v>1185</v>
      </c>
      <c r="D143" s="1069"/>
      <c r="E143" s="345"/>
      <c r="F143" s="79"/>
      <c r="G143" s="1068"/>
      <c r="H143" s="702"/>
      <c r="I143" s="178"/>
      <c r="J143" s="236"/>
      <c r="K143" s="702"/>
      <c r="L143" s="833"/>
      <c r="M143" s="1055"/>
      <c r="N143" s="782"/>
      <c r="O143" s="130"/>
      <c r="P143" s="130"/>
      <c r="AH143" s="50">
        <v>0</v>
      </c>
    </row>
    <row r="144" s="50" customFormat="1" ht="18.75" hidden="1" customHeight="1">
      <c r="A144" s="144" t="s">
        <v>269</v>
      </c>
      <c r="B144" s="144" t="s">
        <v>270</v>
      </c>
      <c r="C144" s="396"/>
      <c r="D144" s="1069"/>
      <c r="E144" s="345"/>
      <c r="F144" s="79" t="str">
        <f>INDEX(PT_DIFFERENTIATION_VTAR,MATCH(A144,PT_DIFFERENTIATION_VTAR_ID,0))</f>
        <v xml:space="preserve">Тариф на подключение (технологическое присоединение) к централизованной системе водоотведения</v>
      </c>
      <c r="G144" s="984" t="str">
        <f>INDEX(PT_DIFFERENTIATION_NTAR,MATCH(B144,PT_DIFFERENTIATION_NTAR_ID,0))</f>
        <v/>
      </c>
      <c r="H144" s="418"/>
      <c r="I144" s="1059"/>
      <c r="J144" s="1060"/>
      <c r="K144" s="434"/>
      <c r="L144" s="418" t="s">
        <v>300</v>
      </c>
      <c r="M144" s="1055"/>
      <c r="N144" s="782"/>
      <c r="O144" s="130"/>
      <c r="P144" s="130"/>
      <c r="AH144" s="50">
        <v>0</v>
      </c>
    </row>
    <row r="145" s="50" customFormat="1" ht="18.75" hidden="1" customHeight="1">
      <c r="A145" s="144"/>
      <c r="B145" s="144"/>
      <c r="C145" s="396" t="s">
        <v>1178</v>
      </c>
      <c r="D145" s="1069"/>
      <c r="E145" s="345"/>
      <c r="F145" s="79"/>
      <c r="G145" s="984"/>
      <c r="H145" s="702"/>
      <c r="I145" s="178" t="s">
        <v>1177</v>
      </c>
      <c r="J145" s="236"/>
      <c r="K145" s="702"/>
      <c r="L145" s="833"/>
      <c r="M145" s="1055"/>
      <c r="N145" s="782"/>
      <c r="O145" s="130"/>
      <c r="P145" s="130"/>
      <c r="AH145" s="50">
        <v>0</v>
      </c>
    </row>
    <row r="146" s="50" customFormat="1" ht="1.05" customHeight="1">
      <c r="A146" s="144"/>
      <c r="B146" s="144"/>
      <c r="C146" s="396" t="s">
        <v>1185</v>
      </c>
      <c r="D146" s="1069"/>
      <c r="E146" s="345"/>
      <c r="F146" s="79"/>
      <c r="G146" s="1068"/>
      <c r="H146" s="702"/>
      <c r="I146" s="178"/>
      <c r="J146" s="236"/>
      <c r="K146" s="702"/>
      <c r="L146" s="833"/>
      <c r="M146" s="1055"/>
      <c r="N146" s="782"/>
      <c r="O146" s="130"/>
      <c r="P146" s="130"/>
      <c r="AH146" s="50">
        <v>1</v>
      </c>
    </row>
    <row r="147" ht="19.949999999999999" customHeight="1">
      <c r="A147" s="144"/>
      <c r="B147" s="144"/>
      <c r="D147" s="540"/>
      <c r="E147" s="345" t="s">
        <v>90</v>
      </c>
      <c r="F147" s="83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 xml:space="preserve">Годовой объем отпущенной в сеть горячей воды</v>
      </c>
      <c r="G147" s="831"/>
      <c r="H147" s="831"/>
      <c r="I147" s="831"/>
      <c r="J147" s="831"/>
      <c r="K147" s="831"/>
      <c r="L147" s="831"/>
      <c r="M147" s="823"/>
      <c r="N147" s="782"/>
      <c r="AH147" s="50">
        <v>19</v>
      </c>
    </row>
    <row r="148" s="50" customFormat="1" ht="60.75" hidden="1" customHeight="1">
      <c r="A148" s="144" t="s">
        <v>151</v>
      </c>
      <c r="B148" s="144" t="s">
        <v>152</v>
      </c>
      <c r="C148" s="396"/>
      <c r="D148" s="1069"/>
      <c r="E148" s="345"/>
      <c r="F148" s="79" t="str">
        <f>INDEX(PT_DIFFERENTIATION_VTAR,MATCH(A148,PT_DIFFERENTIATION_VTAR_ID,0))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984" t="str">
        <f>INDEX(PT_DIFFERENTIATION_NTAR,MATCH(B148,PT_DIFFERENTIATION_NTAR_ID,0))</f>
        <v/>
      </c>
      <c r="H148" s="418"/>
      <c r="I148" s="1059"/>
      <c r="J148" s="1060"/>
      <c r="K148" s="434"/>
      <c r="L148" s="418" t="s">
        <v>300</v>
      </c>
      <c r="M148" s="28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 xml:space="preserve">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782"/>
      <c r="O148" s="130"/>
      <c r="P148" s="130"/>
      <c r="AH148" s="50">
        <v>0</v>
      </c>
    </row>
    <row r="149" s="50" customFormat="1" ht="18.75" hidden="1" customHeight="1">
      <c r="A149" s="144"/>
      <c r="B149" s="144"/>
      <c r="C149" s="396" t="s">
        <v>1178</v>
      </c>
      <c r="D149" s="1069"/>
      <c r="E149" s="345"/>
      <c r="F149" s="79"/>
      <c r="G149" s="984"/>
      <c r="H149" s="702"/>
      <c r="I149" s="178" t="s">
        <v>1177</v>
      </c>
      <c r="J149" s="236"/>
      <c r="K149" s="702"/>
      <c r="L149" s="833"/>
      <c r="M149" s="288"/>
      <c r="N149" s="782"/>
      <c r="O149" s="130"/>
      <c r="P149" s="130"/>
      <c r="AH149" s="50">
        <v>0</v>
      </c>
    </row>
    <row r="150" s="50" customFormat="1" ht="0.75" hidden="1" customHeight="1">
      <c r="A150" s="144"/>
      <c r="B150" s="144"/>
      <c r="C150" s="396" t="s">
        <v>1185</v>
      </c>
      <c r="D150" s="1069"/>
      <c r="E150" s="345"/>
      <c r="F150" s="79"/>
      <c r="G150" s="1068"/>
      <c r="H150" s="702"/>
      <c r="I150" s="178"/>
      <c r="J150" s="236"/>
      <c r="K150" s="702"/>
      <c r="L150" s="833"/>
      <c r="M150" s="288"/>
      <c r="N150" s="782"/>
      <c r="O150" s="130"/>
      <c r="P150" s="130"/>
      <c r="AH150" s="50">
        <v>0</v>
      </c>
    </row>
    <row r="151" s="50" customFormat="1" ht="45" hidden="1" customHeight="1">
      <c r="A151" s="144" t="s">
        <v>156</v>
      </c>
      <c r="B151" s="144" t="s">
        <v>157</v>
      </c>
      <c r="C151" s="396"/>
      <c r="D151" s="1069"/>
      <c r="E151" s="345"/>
      <c r="F151" s="79" t="str">
        <f>INDEX(PT_DIFFERENTIATION_VTAR,MATCH(A151,PT_DIFFERENTIATION_VTAR_ID,0))</f>
        <v/>
      </c>
      <c r="G151" s="984" t="str">
        <f>INDEX(PT_DIFFERENTIATION_NTAR,MATCH(B151,PT_DIFFERENTIATION_NTAR_ID,0))</f>
        <v/>
      </c>
      <c r="H151" s="418"/>
      <c r="I151" s="1059"/>
      <c r="J151" s="1060"/>
      <c r="K151" s="434"/>
      <c r="L151" s="418" t="s">
        <v>300</v>
      </c>
      <c r="M151" s="290"/>
      <c r="N151" s="782"/>
      <c r="O151" s="130"/>
      <c r="P151" s="130"/>
      <c r="AH151" s="50">
        <v>0</v>
      </c>
    </row>
    <row r="152" s="50" customFormat="1" ht="18.75" hidden="1" customHeight="1">
      <c r="A152" s="144"/>
      <c r="B152" s="144"/>
      <c r="C152" s="396" t="s">
        <v>1178</v>
      </c>
      <c r="D152" s="1069"/>
      <c r="E152" s="345"/>
      <c r="F152" s="79"/>
      <c r="G152" s="984"/>
      <c r="H152" s="702"/>
      <c r="I152" s="178" t="s">
        <v>1177</v>
      </c>
      <c r="J152" s="236"/>
      <c r="K152" s="702"/>
      <c r="L152" s="833"/>
      <c r="M152" s="288"/>
      <c r="N152" s="782"/>
      <c r="O152" s="130"/>
      <c r="P152" s="130"/>
      <c r="AH152" s="50">
        <v>0</v>
      </c>
    </row>
    <row r="153" s="50" customFormat="1" ht="0.75" hidden="1" customHeight="1">
      <c r="A153" s="144"/>
      <c r="B153" s="144"/>
      <c r="C153" s="396" t="s">
        <v>1185</v>
      </c>
      <c r="D153" s="1069"/>
      <c r="E153" s="345"/>
      <c r="F153" s="79"/>
      <c r="G153" s="1068"/>
      <c r="H153" s="702"/>
      <c r="I153" s="178"/>
      <c r="J153" s="236"/>
      <c r="K153" s="702"/>
      <c r="L153" s="833"/>
      <c r="M153" s="1055"/>
      <c r="N153" s="782"/>
      <c r="O153" s="130"/>
      <c r="P153" s="130"/>
      <c r="AH153" s="50">
        <v>0</v>
      </c>
    </row>
    <row r="154" s="50" customFormat="1" ht="45" hidden="1" customHeight="1">
      <c r="A154" s="144" t="s">
        <v>163</v>
      </c>
      <c r="B154" s="144" t="s">
        <v>164</v>
      </c>
      <c r="C154" s="396"/>
      <c r="D154" s="1069"/>
      <c r="E154" s="345"/>
      <c r="F154" s="79" t="str">
        <f>INDEX(PT_DIFFERENTIATION_VTAR,MATCH(A154,PT_DIFFERENTIATION_VTAR_ID,0))</f>
        <v xml:space="preserve">Тарифы на теплоноситель, поставляемый теплоснабжающими организациями потребителям, другим теплоснабжающим организациям</v>
      </c>
      <c r="G154" s="984" t="str">
        <f>INDEX(PT_DIFFERENTIATION_NTAR,MATCH(B154,PT_DIFFERENTIATION_NTAR_ID,0))</f>
        <v/>
      </c>
      <c r="H154" s="418"/>
      <c r="I154" s="1059"/>
      <c r="J154" s="1060"/>
      <c r="K154" s="434"/>
      <c r="L154" s="418" t="s">
        <v>300</v>
      </c>
      <c r="M154" s="1055"/>
      <c r="N154" s="782"/>
      <c r="O154" s="130"/>
      <c r="P154" s="130"/>
      <c r="AH154" s="50">
        <v>0</v>
      </c>
    </row>
    <row r="155" s="50" customFormat="1" ht="18.75" hidden="1" customHeight="1">
      <c r="A155" s="144"/>
      <c r="B155" s="144"/>
      <c r="C155" s="396" t="s">
        <v>1178</v>
      </c>
      <c r="D155" s="1069"/>
      <c r="E155" s="345"/>
      <c r="F155" s="79"/>
      <c r="G155" s="984"/>
      <c r="H155" s="702"/>
      <c r="I155" s="178" t="s">
        <v>1177</v>
      </c>
      <c r="J155" s="236"/>
      <c r="K155" s="702"/>
      <c r="L155" s="833"/>
      <c r="M155" s="1055"/>
      <c r="N155" s="782"/>
      <c r="O155" s="130"/>
      <c r="P155" s="130"/>
      <c r="AH155" s="50">
        <v>0</v>
      </c>
    </row>
    <row r="156" s="50" customFormat="1" ht="0.75" hidden="1" customHeight="1">
      <c r="A156" s="144"/>
      <c r="B156" s="144"/>
      <c r="C156" s="396" t="s">
        <v>1185</v>
      </c>
      <c r="D156" s="1069"/>
      <c r="E156" s="345"/>
      <c r="F156" s="79"/>
      <c r="G156" s="1068"/>
      <c r="H156" s="702"/>
      <c r="I156" s="178"/>
      <c r="J156" s="236"/>
      <c r="K156" s="702"/>
      <c r="L156" s="833"/>
      <c r="M156" s="1055"/>
      <c r="N156" s="782"/>
      <c r="O156" s="130"/>
      <c r="P156" s="130"/>
      <c r="AH156" s="50">
        <v>0</v>
      </c>
    </row>
    <row r="157" s="50" customFormat="1" ht="45" hidden="1" customHeight="1">
      <c r="A157" s="144" t="s">
        <v>169</v>
      </c>
      <c r="B157" s="144" t="s">
        <v>170</v>
      </c>
      <c r="C157" s="396"/>
      <c r="D157" s="1069"/>
      <c r="E157" s="345"/>
      <c r="F157" s="79" t="str">
        <f>INDEX(PT_DIFFERENTIATION_VTAR,MATCH(A157,PT_DIFFERENTIATION_VTAR_ID,0))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984" t="str">
        <f>INDEX(PT_DIFFERENTIATION_NTAR,MATCH(B157,PT_DIFFERENTIATION_NTAR_ID,0))</f>
        <v/>
      </c>
      <c r="H157" s="418"/>
      <c r="I157" s="1059"/>
      <c r="J157" s="1060"/>
      <c r="K157" s="434"/>
      <c r="L157" s="418" t="s">
        <v>300</v>
      </c>
      <c r="M157" s="1055"/>
      <c r="N157" s="782"/>
      <c r="O157" s="130"/>
      <c r="P157" s="130"/>
      <c r="AH157" s="50">
        <v>0</v>
      </c>
    </row>
    <row r="158" s="50" customFormat="1" ht="18.75" hidden="1" customHeight="1">
      <c r="A158" s="144"/>
      <c r="B158" s="144"/>
      <c r="C158" s="396" t="s">
        <v>1178</v>
      </c>
      <c r="D158" s="1069"/>
      <c r="E158" s="345"/>
      <c r="F158" s="79"/>
      <c r="G158" s="984"/>
      <c r="H158" s="702"/>
      <c r="I158" s="178" t="s">
        <v>1177</v>
      </c>
      <c r="J158" s="236"/>
      <c r="K158" s="702"/>
      <c r="L158" s="833"/>
      <c r="M158" s="1055"/>
      <c r="N158" s="782"/>
      <c r="O158" s="130"/>
      <c r="P158" s="130"/>
      <c r="AH158" s="50">
        <v>0</v>
      </c>
    </row>
    <row r="159" s="50" customFormat="1" ht="0.75" hidden="1" customHeight="1">
      <c r="A159" s="144"/>
      <c r="B159" s="144"/>
      <c r="C159" s="396" t="s">
        <v>1185</v>
      </c>
      <c r="D159" s="1069"/>
      <c r="E159" s="345"/>
      <c r="F159" s="79"/>
      <c r="G159" s="1068"/>
      <c r="H159" s="702"/>
      <c r="I159" s="178"/>
      <c r="J159" s="236"/>
      <c r="K159" s="702"/>
      <c r="L159" s="833"/>
      <c r="M159" s="1055"/>
      <c r="N159" s="782"/>
      <c r="O159" s="130"/>
      <c r="P159" s="130"/>
      <c r="AH159" s="50">
        <v>0</v>
      </c>
    </row>
    <row r="160" s="50" customFormat="1" ht="18.75" hidden="1" customHeight="1">
      <c r="A160" s="144" t="s">
        <v>175</v>
      </c>
      <c r="B160" s="144" t="s">
        <v>176</v>
      </c>
      <c r="C160" s="396"/>
      <c r="D160" s="1069"/>
      <c r="E160" s="345"/>
      <c r="F160" s="79" t="str">
        <f>INDEX(PT_DIFFERENTIATION_VTAR,MATCH(A160,PT_DIFFERENTIATION_VTAR_ID,0))</f>
        <v xml:space="preserve">Тарифы на услуги по передаче тепловой энергии</v>
      </c>
      <c r="G160" s="984" t="str">
        <f>INDEX(PT_DIFFERENTIATION_NTAR,MATCH(B160,PT_DIFFERENTIATION_NTAR_ID,0))</f>
        <v/>
      </c>
      <c r="H160" s="418"/>
      <c r="I160" s="1059"/>
      <c r="J160" s="1060"/>
      <c r="K160" s="434"/>
      <c r="L160" s="418" t="s">
        <v>300</v>
      </c>
      <c r="M160" s="1055"/>
      <c r="N160" s="782"/>
      <c r="O160" s="130"/>
      <c r="P160" s="130"/>
      <c r="AH160" s="50">
        <v>0</v>
      </c>
    </row>
    <row r="161" s="50" customFormat="1" ht="18.75" hidden="1" customHeight="1">
      <c r="A161" s="144"/>
      <c r="B161" s="144"/>
      <c r="C161" s="396" t="s">
        <v>1178</v>
      </c>
      <c r="D161" s="1069"/>
      <c r="E161" s="345"/>
      <c r="F161" s="79"/>
      <c r="G161" s="984"/>
      <c r="H161" s="702"/>
      <c r="I161" s="178" t="s">
        <v>1177</v>
      </c>
      <c r="J161" s="236"/>
      <c r="K161" s="702"/>
      <c r="L161" s="833"/>
      <c r="M161" s="1055"/>
      <c r="N161" s="782"/>
      <c r="O161" s="130"/>
      <c r="P161" s="130"/>
      <c r="AH161" s="50">
        <v>0</v>
      </c>
    </row>
    <row r="162" s="50" customFormat="1" ht="0.75" hidden="1" customHeight="1">
      <c r="A162" s="144"/>
      <c r="B162" s="144"/>
      <c r="C162" s="396" t="s">
        <v>1185</v>
      </c>
      <c r="D162" s="1069"/>
      <c r="E162" s="345"/>
      <c r="F162" s="79"/>
      <c r="G162" s="1068"/>
      <c r="H162" s="702"/>
      <c r="I162" s="178"/>
      <c r="J162" s="236"/>
      <c r="K162" s="702"/>
      <c r="L162" s="833"/>
      <c r="M162" s="1055"/>
      <c r="N162" s="782"/>
      <c r="O162" s="130"/>
      <c r="P162" s="130"/>
      <c r="AH162" s="50">
        <v>0</v>
      </c>
    </row>
    <row r="163" s="50" customFormat="1" ht="18.75" hidden="1" customHeight="1">
      <c r="A163" s="144" t="s">
        <v>181</v>
      </c>
      <c r="B163" s="144" t="s">
        <v>182</v>
      </c>
      <c r="C163" s="396"/>
      <c r="D163" s="1069"/>
      <c r="E163" s="345"/>
      <c r="F163" s="79" t="str">
        <f>INDEX(PT_DIFFERENTIATION_VTAR,MATCH(A163,PT_DIFFERENTIATION_VTAR_ID,0))</f>
        <v xml:space="preserve">Тарифы на услуги по передаче теплоносителя</v>
      </c>
      <c r="G163" s="984" t="str">
        <f>INDEX(PT_DIFFERENTIATION_NTAR,MATCH(B163,PT_DIFFERENTIATION_NTAR_ID,0))</f>
        <v/>
      </c>
      <c r="H163" s="418"/>
      <c r="I163" s="1059"/>
      <c r="J163" s="1060"/>
      <c r="K163" s="434"/>
      <c r="L163" s="418" t="s">
        <v>300</v>
      </c>
      <c r="M163" s="1055"/>
      <c r="N163" s="782"/>
      <c r="O163" s="130"/>
      <c r="P163" s="130"/>
      <c r="AH163" s="50">
        <v>0</v>
      </c>
    </row>
    <row r="164" s="50" customFormat="1" ht="18.75" hidden="1" customHeight="1">
      <c r="A164" s="144"/>
      <c r="B164" s="144"/>
      <c r="C164" s="396" t="s">
        <v>1178</v>
      </c>
      <c r="D164" s="1069"/>
      <c r="E164" s="345"/>
      <c r="F164" s="79"/>
      <c r="G164" s="984"/>
      <c r="H164" s="702"/>
      <c r="I164" s="178" t="s">
        <v>1177</v>
      </c>
      <c r="J164" s="236"/>
      <c r="K164" s="702"/>
      <c r="L164" s="833"/>
      <c r="M164" s="1055"/>
      <c r="N164" s="782"/>
      <c r="O164" s="130"/>
      <c r="P164" s="130"/>
      <c r="AH164" s="50">
        <v>0</v>
      </c>
    </row>
    <row r="165" s="50" customFormat="1" ht="0.75" hidden="1" customHeight="1">
      <c r="A165" s="144"/>
      <c r="B165" s="144"/>
      <c r="C165" s="396" t="s">
        <v>1185</v>
      </c>
      <c r="D165" s="1069"/>
      <c r="E165" s="345"/>
      <c r="F165" s="79"/>
      <c r="G165" s="1068"/>
      <c r="H165" s="702"/>
      <c r="I165" s="178"/>
      <c r="J165" s="236"/>
      <c r="K165" s="702"/>
      <c r="L165" s="833"/>
      <c r="M165" s="1055"/>
      <c r="N165" s="782"/>
      <c r="O165" s="130"/>
      <c r="P165" s="130"/>
      <c r="AH165" s="50">
        <v>0</v>
      </c>
    </row>
    <row r="166" s="50" customFormat="1" ht="18.75" hidden="1" customHeight="1">
      <c r="A166" s="144" t="s">
        <v>187</v>
      </c>
      <c r="B166" s="144" t="s">
        <v>188</v>
      </c>
      <c r="C166" s="396"/>
      <c r="D166" s="1069"/>
      <c r="E166" s="345"/>
      <c r="F166" s="79" t="str">
        <f>INDEX(PT_DIFFERENTIATION_VTAR,MATCH(A166,PT_DIFFERENTIATION_VTAR_ID,0))</f>
        <v xml:space="preserve">Плата за услуги по поддержанию резервной тепловой мощности при отсутствии потребления тепловой энергии</v>
      </c>
      <c r="G166" s="984" t="str">
        <f>INDEX(PT_DIFFERENTIATION_NTAR,MATCH(B166,PT_DIFFERENTIATION_NTAR_ID,0))</f>
        <v/>
      </c>
      <c r="H166" s="418"/>
      <c r="I166" s="1059"/>
      <c r="J166" s="1060"/>
      <c r="K166" s="434"/>
      <c r="L166" s="418" t="s">
        <v>300</v>
      </c>
      <c r="M166" s="1055"/>
      <c r="N166" s="782"/>
      <c r="O166" s="130"/>
      <c r="P166" s="130"/>
      <c r="AH166" s="50">
        <v>0</v>
      </c>
    </row>
    <row r="167" s="50" customFormat="1" ht="18.75" hidden="1" customHeight="1">
      <c r="A167" s="144"/>
      <c r="B167" s="144"/>
      <c r="C167" s="396" t="s">
        <v>1178</v>
      </c>
      <c r="D167" s="1069"/>
      <c r="E167" s="345"/>
      <c r="F167" s="79"/>
      <c r="G167" s="984"/>
      <c r="H167" s="702"/>
      <c r="I167" s="178" t="s">
        <v>1177</v>
      </c>
      <c r="J167" s="236"/>
      <c r="K167" s="702"/>
      <c r="L167" s="833"/>
      <c r="M167" s="1055"/>
      <c r="N167" s="782"/>
      <c r="O167" s="130"/>
      <c r="P167" s="130"/>
      <c r="AH167" s="50">
        <v>0</v>
      </c>
    </row>
    <row r="168" s="50" customFormat="1" ht="0.75" hidden="1" customHeight="1">
      <c r="A168" s="144"/>
      <c r="B168" s="144"/>
      <c r="C168" s="396" t="s">
        <v>1185</v>
      </c>
      <c r="D168" s="1069"/>
      <c r="E168" s="345"/>
      <c r="F168" s="79"/>
      <c r="G168" s="1068"/>
      <c r="H168" s="702"/>
      <c r="I168" s="178"/>
      <c r="J168" s="236"/>
      <c r="K168" s="702"/>
      <c r="L168" s="833"/>
      <c r="M168" s="1055"/>
      <c r="N168" s="782"/>
      <c r="O168" s="130"/>
      <c r="P168" s="130"/>
      <c r="AH168" s="50">
        <v>0</v>
      </c>
    </row>
    <row r="169" s="50" customFormat="1" ht="18.75" hidden="1" customHeight="1">
      <c r="A169" s="144" t="s">
        <v>193</v>
      </c>
      <c r="B169" s="144" t="s">
        <v>194</v>
      </c>
      <c r="C169" s="396"/>
      <c r="D169" s="1069"/>
      <c r="E169" s="345"/>
      <c r="F169" s="79" t="str">
        <f>INDEX(PT_DIFFERENTIATION_VTAR,MATCH(A169,PT_DIFFERENTIATION_VTAR_ID,0))</f>
        <v xml:space="preserve">Плата за подключение (технологическое присоединение) к системе теплоснабжения</v>
      </c>
      <c r="G169" s="984" t="str">
        <f>INDEX(PT_DIFFERENTIATION_NTAR,MATCH(B169,PT_DIFFERENTIATION_NTAR_ID,0))</f>
        <v/>
      </c>
      <c r="H169" s="418"/>
      <c r="I169" s="1059"/>
      <c r="J169" s="1060"/>
      <c r="K169" s="434"/>
      <c r="L169" s="418" t="s">
        <v>300</v>
      </c>
      <c r="M169" s="1055"/>
      <c r="N169" s="782"/>
      <c r="O169" s="130"/>
      <c r="P169" s="130"/>
      <c r="AH169" s="50">
        <v>0</v>
      </c>
    </row>
    <row r="170" s="50" customFormat="1" ht="18.75" hidden="1" customHeight="1">
      <c r="A170" s="144"/>
      <c r="B170" s="144"/>
      <c r="C170" s="396" t="s">
        <v>1178</v>
      </c>
      <c r="D170" s="1069"/>
      <c r="E170" s="345"/>
      <c r="F170" s="79"/>
      <c r="G170" s="984"/>
      <c r="H170" s="702"/>
      <c r="I170" s="178" t="s">
        <v>1177</v>
      </c>
      <c r="J170" s="236"/>
      <c r="K170" s="702"/>
      <c r="L170" s="833"/>
      <c r="M170" s="1055"/>
      <c r="N170" s="782"/>
      <c r="O170" s="130"/>
      <c r="P170" s="130"/>
      <c r="AH170" s="50">
        <v>0</v>
      </c>
    </row>
    <row r="171" s="50" customFormat="1" ht="0.75" hidden="1" customHeight="1">
      <c r="A171" s="144"/>
      <c r="B171" s="144"/>
      <c r="C171" s="396" t="s">
        <v>1185</v>
      </c>
      <c r="D171" s="1069"/>
      <c r="E171" s="345"/>
      <c r="F171" s="79"/>
      <c r="G171" s="1068"/>
      <c r="H171" s="702"/>
      <c r="I171" s="178"/>
      <c r="J171" s="236"/>
      <c r="K171" s="702"/>
      <c r="L171" s="833"/>
      <c r="M171" s="1055"/>
      <c r="N171" s="782"/>
      <c r="O171" s="130"/>
      <c r="P171" s="130"/>
      <c r="AH171" s="50">
        <v>0</v>
      </c>
    </row>
    <row r="172" s="50" customFormat="1" ht="18.75" hidden="1" customHeight="1">
      <c r="A172" s="144" t="s">
        <v>199</v>
      </c>
      <c r="B172" s="144" t="s">
        <v>200</v>
      </c>
      <c r="C172" s="396"/>
      <c r="D172" s="1069"/>
      <c r="E172" s="345"/>
      <c r="F172" s="79" t="str">
        <f>INDEX(PT_DIFFERENTIATION_VTAR,MATCH(A172,PT_DIFFERENTIATION_VTAR_ID,0))</f>
        <v xml:space="preserve">Плата за подключение (технологическое присоединение) к системе теплоснабжения (индивидуальная)</v>
      </c>
      <c r="G172" s="984" t="str">
        <f>INDEX(PT_DIFFERENTIATION_NTAR,MATCH(B172,PT_DIFFERENTIATION_NTAR_ID,0))</f>
        <v/>
      </c>
      <c r="H172" s="418"/>
      <c r="I172" s="1059"/>
      <c r="J172" s="1060"/>
      <c r="K172" s="434"/>
      <c r="L172" s="418" t="s">
        <v>300</v>
      </c>
      <c r="M172" s="1055"/>
      <c r="N172" s="782"/>
      <c r="O172" s="130"/>
      <c r="P172" s="130"/>
      <c r="AH172" s="50">
        <v>0</v>
      </c>
    </row>
    <row r="173" s="50" customFormat="1" ht="18.75" hidden="1" customHeight="1">
      <c r="A173" s="144"/>
      <c r="B173" s="144"/>
      <c r="C173" s="396" t="s">
        <v>1178</v>
      </c>
      <c r="D173" s="1069"/>
      <c r="E173" s="345"/>
      <c r="F173" s="79"/>
      <c r="G173" s="984"/>
      <c r="H173" s="702"/>
      <c r="I173" s="178" t="s">
        <v>1177</v>
      </c>
      <c r="J173" s="236"/>
      <c r="K173" s="702"/>
      <c r="L173" s="833"/>
      <c r="M173" s="1055"/>
      <c r="N173" s="782"/>
      <c r="O173" s="130"/>
      <c r="P173" s="130"/>
      <c r="AH173" s="50">
        <v>0</v>
      </c>
    </row>
    <row r="174" s="50" customFormat="1" ht="0.75" hidden="1" customHeight="1">
      <c r="A174" s="144"/>
      <c r="B174" s="144"/>
      <c r="C174" s="396" t="s">
        <v>1185</v>
      </c>
      <c r="D174" s="1069"/>
      <c r="E174" s="345"/>
      <c r="F174" s="79"/>
      <c r="G174" s="1068"/>
      <c r="H174" s="702"/>
      <c r="I174" s="178"/>
      <c r="J174" s="236"/>
      <c r="K174" s="702"/>
      <c r="L174" s="833"/>
      <c r="M174" s="1055"/>
      <c r="N174" s="782"/>
      <c r="O174" s="130"/>
      <c r="P174" s="130"/>
      <c r="AH174" s="50">
        <v>0</v>
      </c>
    </row>
    <row r="175" s="50" customFormat="1" ht="18.75" hidden="1" customHeight="1">
      <c r="A175" s="144" t="s">
        <v>219</v>
      </c>
      <c r="B175" s="144" t="s">
        <v>220</v>
      </c>
      <c r="C175" s="396"/>
      <c r="D175" s="1069"/>
      <c r="E175" s="345"/>
      <c r="F175" s="79" t="str">
        <f>INDEX(PT_DIFFERENTIATION_VTAR,MATCH(A175,PT_DIFFERENTIATION_VTAR_ID,0))</f>
        <v xml:space="preserve">Тариф на питьевую воду (питьевое водоснабжение)</v>
      </c>
      <c r="G175" s="984" t="str">
        <f>INDEX(PT_DIFFERENTIATION_NTAR,MATCH(B175,PT_DIFFERENTIATION_NTAR_ID,0))</f>
        <v/>
      </c>
      <c r="H175" s="418"/>
      <c r="I175" s="1059"/>
      <c r="J175" s="1060"/>
      <c r="K175" s="434"/>
      <c r="L175" s="418" t="s">
        <v>300</v>
      </c>
      <c r="M175" s="1055"/>
      <c r="N175" s="782"/>
      <c r="O175" s="130"/>
      <c r="P175" s="130"/>
      <c r="AH175" s="50">
        <v>0</v>
      </c>
    </row>
    <row r="176" s="50" customFormat="1" ht="18.75" hidden="1" customHeight="1">
      <c r="A176" s="144"/>
      <c r="B176" s="144"/>
      <c r="C176" s="396" t="s">
        <v>1178</v>
      </c>
      <c r="D176" s="1069"/>
      <c r="E176" s="345"/>
      <c r="F176" s="79"/>
      <c r="G176" s="984"/>
      <c r="H176" s="702"/>
      <c r="I176" s="178" t="s">
        <v>1177</v>
      </c>
      <c r="J176" s="236"/>
      <c r="K176" s="702"/>
      <c r="L176" s="833"/>
      <c r="M176" s="1055"/>
      <c r="N176" s="782"/>
      <c r="O176" s="130"/>
      <c r="P176" s="130"/>
      <c r="AH176" s="50">
        <v>0</v>
      </c>
    </row>
    <row r="177" s="50" customFormat="1" ht="0.75" hidden="1" customHeight="1">
      <c r="A177" s="144"/>
      <c r="B177" s="144"/>
      <c r="C177" s="396" t="s">
        <v>1185</v>
      </c>
      <c r="D177" s="1069"/>
      <c r="E177" s="345"/>
      <c r="F177" s="79"/>
      <c r="G177" s="1068"/>
      <c r="H177" s="702"/>
      <c r="I177" s="178"/>
      <c r="J177" s="236"/>
      <c r="K177" s="702"/>
      <c r="L177" s="833"/>
      <c r="M177" s="1055"/>
      <c r="N177" s="782"/>
      <c r="O177" s="130"/>
      <c r="P177" s="130"/>
      <c r="AH177" s="50">
        <v>0</v>
      </c>
    </row>
    <row r="178" s="50" customFormat="1" ht="18.75" hidden="1" customHeight="1">
      <c r="A178" s="144" t="s">
        <v>224</v>
      </c>
      <c r="B178" s="144" t="s">
        <v>225</v>
      </c>
      <c r="C178" s="396"/>
      <c r="D178" s="1069"/>
      <c r="E178" s="345"/>
      <c r="F178" s="79" t="str">
        <f>INDEX(PT_DIFFERENTIATION_VTAR,MATCH(A178,PT_DIFFERENTIATION_VTAR_ID,0))</f>
        <v xml:space="preserve">Тариф на техническую воду</v>
      </c>
      <c r="G178" s="984" t="str">
        <f>INDEX(PT_DIFFERENTIATION_NTAR,MATCH(B178,PT_DIFFERENTIATION_NTAR_ID,0))</f>
        <v/>
      </c>
      <c r="H178" s="418"/>
      <c r="I178" s="1059"/>
      <c r="J178" s="1060"/>
      <c r="K178" s="434"/>
      <c r="L178" s="418" t="s">
        <v>300</v>
      </c>
      <c r="M178" s="1055"/>
      <c r="N178" s="782"/>
      <c r="O178" s="130"/>
      <c r="P178" s="130"/>
      <c r="AH178" s="50">
        <v>0</v>
      </c>
    </row>
    <row r="179" s="50" customFormat="1" ht="18.75" hidden="1" customHeight="1">
      <c r="A179" s="144"/>
      <c r="B179" s="144"/>
      <c r="C179" s="396" t="s">
        <v>1178</v>
      </c>
      <c r="D179" s="1069"/>
      <c r="E179" s="345"/>
      <c r="F179" s="79"/>
      <c r="G179" s="984"/>
      <c r="H179" s="702"/>
      <c r="I179" s="178" t="s">
        <v>1177</v>
      </c>
      <c r="J179" s="236"/>
      <c r="K179" s="702"/>
      <c r="L179" s="833"/>
      <c r="M179" s="1055"/>
      <c r="N179" s="782"/>
      <c r="O179" s="130"/>
      <c r="P179" s="130"/>
      <c r="AH179" s="50">
        <v>0</v>
      </c>
    </row>
    <row r="180" s="50" customFormat="1" ht="0.75" hidden="1" customHeight="1">
      <c r="A180" s="144"/>
      <c r="B180" s="144"/>
      <c r="C180" s="396" t="s">
        <v>1185</v>
      </c>
      <c r="D180" s="1069"/>
      <c r="E180" s="345"/>
      <c r="F180" s="79"/>
      <c r="G180" s="1068"/>
      <c r="H180" s="702"/>
      <c r="I180" s="178"/>
      <c r="J180" s="236"/>
      <c r="K180" s="702"/>
      <c r="L180" s="833"/>
      <c r="M180" s="1055"/>
      <c r="N180" s="782"/>
      <c r="O180" s="130"/>
      <c r="P180" s="130"/>
      <c r="AH180" s="50">
        <v>0</v>
      </c>
    </row>
    <row r="181" s="50" customFormat="1" ht="18.75" hidden="1" customHeight="1">
      <c r="A181" s="144" t="s">
        <v>229</v>
      </c>
      <c r="B181" s="144" t="s">
        <v>230</v>
      </c>
      <c r="C181" s="396"/>
      <c r="D181" s="1069"/>
      <c r="E181" s="345"/>
      <c r="F181" s="79" t="str">
        <f>INDEX(PT_DIFFERENTIATION_VTAR,MATCH(A181,PT_DIFFERENTIATION_VTAR_ID,0))</f>
        <v xml:space="preserve">Тариф на транспортировку воды</v>
      </c>
      <c r="G181" s="984" t="str">
        <f>INDEX(PT_DIFFERENTIATION_NTAR,MATCH(B181,PT_DIFFERENTIATION_NTAR_ID,0))</f>
        <v/>
      </c>
      <c r="H181" s="418"/>
      <c r="I181" s="1059"/>
      <c r="J181" s="1060"/>
      <c r="K181" s="434"/>
      <c r="L181" s="418" t="s">
        <v>300</v>
      </c>
      <c r="M181" s="1055"/>
      <c r="N181" s="782"/>
      <c r="O181" s="130"/>
      <c r="P181" s="130"/>
      <c r="AH181" s="50">
        <v>0</v>
      </c>
    </row>
    <row r="182" s="50" customFormat="1" ht="18.75" hidden="1" customHeight="1">
      <c r="A182" s="144"/>
      <c r="B182" s="144"/>
      <c r="C182" s="396" t="s">
        <v>1178</v>
      </c>
      <c r="D182" s="1069"/>
      <c r="E182" s="345"/>
      <c r="F182" s="79"/>
      <c r="G182" s="984"/>
      <c r="H182" s="702"/>
      <c r="I182" s="178" t="s">
        <v>1177</v>
      </c>
      <c r="J182" s="236"/>
      <c r="K182" s="702"/>
      <c r="L182" s="833"/>
      <c r="M182" s="1055"/>
      <c r="N182" s="782"/>
      <c r="O182" s="130"/>
      <c r="P182" s="130"/>
      <c r="AH182" s="50">
        <v>0</v>
      </c>
    </row>
    <row r="183" s="50" customFormat="1" ht="0.75" hidden="1" customHeight="1">
      <c r="A183" s="144"/>
      <c r="B183" s="144"/>
      <c r="C183" s="396" t="s">
        <v>1185</v>
      </c>
      <c r="D183" s="1069"/>
      <c r="E183" s="345"/>
      <c r="F183" s="79"/>
      <c r="G183" s="1068"/>
      <c r="H183" s="702"/>
      <c r="I183" s="178"/>
      <c r="J183" s="236"/>
      <c r="K183" s="702"/>
      <c r="L183" s="833"/>
      <c r="M183" s="1055"/>
      <c r="N183" s="782"/>
      <c r="O183" s="130"/>
      <c r="P183" s="130"/>
      <c r="AH183" s="50">
        <v>0</v>
      </c>
    </row>
    <row r="184" s="50" customFormat="1" ht="18.75" hidden="1" customHeight="1">
      <c r="A184" s="144" t="s">
        <v>234</v>
      </c>
      <c r="B184" s="144" t="s">
        <v>235</v>
      </c>
      <c r="C184" s="396"/>
      <c r="D184" s="1069"/>
      <c r="E184" s="345"/>
      <c r="F184" s="79" t="str">
        <f>INDEX(PT_DIFFERENTIATION_VTAR,MATCH(A184,PT_DIFFERENTIATION_VTAR_ID,0))</f>
        <v xml:space="preserve">Тариф на подвоз воды</v>
      </c>
      <c r="G184" s="984" t="str">
        <f>INDEX(PT_DIFFERENTIATION_NTAR,MATCH(B184,PT_DIFFERENTIATION_NTAR_ID,0))</f>
        <v/>
      </c>
      <c r="H184" s="418"/>
      <c r="I184" s="1059"/>
      <c r="J184" s="1060"/>
      <c r="K184" s="434"/>
      <c r="L184" s="418" t="s">
        <v>300</v>
      </c>
      <c r="M184" s="1055"/>
      <c r="N184" s="782"/>
      <c r="O184" s="130"/>
      <c r="P184" s="130"/>
      <c r="AH184" s="50">
        <v>0</v>
      </c>
    </row>
    <row r="185" s="50" customFormat="1" ht="18.75" hidden="1" customHeight="1">
      <c r="A185" s="144"/>
      <c r="B185" s="144"/>
      <c r="C185" s="396" t="s">
        <v>1178</v>
      </c>
      <c r="D185" s="1069"/>
      <c r="E185" s="345"/>
      <c r="F185" s="79"/>
      <c r="G185" s="984"/>
      <c r="H185" s="702"/>
      <c r="I185" s="178" t="s">
        <v>1177</v>
      </c>
      <c r="J185" s="236"/>
      <c r="K185" s="702"/>
      <c r="L185" s="833"/>
      <c r="M185" s="1055"/>
      <c r="N185" s="782"/>
      <c r="O185" s="130"/>
      <c r="P185" s="130"/>
      <c r="AH185" s="50">
        <v>0</v>
      </c>
    </row>
    <row r="186" s="50" customFormat="1" ht="0.75" hidden="1" customHeight="1">
      <c r="A186" s="144"/>
      <c r="B186" s="144"/>
      <c r="C186" s="396" t="s">
        <v>1185</v>
      </c>
      <c r="D186" s="1069"/>
      <c r="E186" s="345"/>
      <c r="F186" s="79"/>
      <c r="G186" s="1068"/>
      <c r="H186" s="702"/>
      <c r="I186" s="178"/>
      <c r="J186" s="236"/>
      <c r="K186" s="702"/>
      <c r="L186" s="833"/>
      <c r="M186" s="1055"/>
      <c r="N186" s="782"/>
      <c r="O186" s="130"/>
      <c r="P186" s="130"/>
      <c r="AH186" s="50">
        <v>0</v>
      </c>
    </row>
    <row r="187" s="50" customFormat="1" ht="18.75" hidden="1" customHeight="1">
      <c r="A187" s="144" t="s">
        <v>239</v>
      </c>
      <c r="B187" s="144" t="s">
        <v>240</v>
      </c>
      <c r="C187" s="396"/>
      <c r="D187" s="1069"/>
      <c r="E187" s="345"/>
      <c r="F187" s="79" t="str">
        <f>INDEX(PT_DIFFERENTIATION_VTAR,MATCH(A187,PT_DIFFERENTIATION_VTAR_ID,0))</f>
        <v xml:space="preserve">Тариф на подключение (технологическое присоединение) к централизованной системе холодного водоснабжения</v>
      </c>
      <c r="G187" s="984" t="str">
        <f>INDEX(PT_DIFFERENTIATION_NTAR,MATCH(B187,PT_DIFFERENTIATION_NTAR_ID,0))</f>
        <v/>
      </c>
      <c r="H187" s="418"/>
      <c r="I187" s="1059"/>
      <c r="J187" s="1060"/>
      <c r="K187" s="434"/>
      <c r="L187" s="418" t="s">
        <v>300</v>
      </c>
      <c r="M187" s="1055"/>
      <c r="N187" s="782"/>
      <c r="O187" s="130"/>
      <c r="P187" s="130"/>
      <c r="AH187" s="50">
        <v>0</v>
      </c>
    </row>
    <row r="188" s="50" customFormat="1" ht="18.75" hidden="1" customHeight="1">
      <c r="A188" s="144"/>
      <c r="B188" s="144"/>
      <c r="C188" s="396" t="s">
        <v>1178</v>
      </c>
      <c r="D188" s="1069"/>
      <c r="E188" s="345"/>
      <c r="F188" s="79"/>
      <c r="G188" s="984"/>
      <c r="H188" s="702"/>
      <c r="I188" s="178" t="s">
        <v>1177</v>
      </c>
      <c r="J188" s="236"/>
      <c r="K188" s="702"/>
      <c r="L188" s="833"/>
      <c r="M188" s="1055"/>
      <c r="N188" s="782"/>
      <c r="O188" s="130"/>
      <c r="P188" s="130"/>
      <c r="AH188" s="50">
        <v>0</v>
      </c>
    </row>
    <row r="189" s="50" customFormat="1" ht="0.75" hidden="1" customHeight="1">
      <c r="A189" s="144"/>
      <c r="B189" s="144"/>
      <c r="C189" s="396" t="s">
        <v>1185</v>
      </c>
      <c r="D189" s="1069"/>
      <c r="E189" s="345"/>
      <c r="F189" s="79"/>
      <c r="G189" s="1068"/>
      <c r="H189" s="702"/>
      <c r="I189" s="178"/>
      <c r="J189" s="236"/>
      <c r="K189" s="702"/>
      <c r="L189" s="833"/>
      <c r="M189" s="1055"/>
      <c r="N189" s="782"/>
      <c r="O189" s="130"/>
      <c r="P189" s="130"/>
      <c r="AH189" s="50">
        <v>0</v>
      </c>
    </row>
    <row r="190" s="50" customFormat="1" ht="18.75" hidden="1" customHeight="1">
      <c r="A190" s="144" t="s">
        <v>244</v>
      </c>
      <c r="B190" s="144" t="s">
        <v>245</v>
      </c>
      <c r="C190" s="396"/>
      <c r="D190" s="1069"/>
      <c r="E190" s="345"/>
      <c r="F190" s="79" t="str">
        <f>INDEX(PT_DIFFERENTIATION_VTAR,MATCH(A190,PT_DIFFERENTIATION_VTAR_ID,0))</f>
        <v xml:space="preserve">Тариф на горячую воду (горячее водоснабжение)</v>
      </c>
      <c r="G190" s="984" t="str">
        <f>INDEX(PT_DIFFERENTIATION_NTAR,MATCH(B190,PT_DIFFERENTIATION_NTAR_ID,0))</f>
        <v/>
      </c>
      <c r="H190" s="418"/>
      <c r="I190" s="1059"/>
      <c r="J190" s="1060"/>
      <c r="K190" s="434"/>
      <c r="L190" s="418" t="s">
        <v>300</v>
      </c>
      <c r="M190" s="1055"/>
      <c r="N190" s="782"/>
      <c r="O190" s="130"/>
      <c r="P190" s="130"/>
      <c r="AH190" s="50">
        <v>0</v>
      </c>
    </row>
    <row r="191" s="50" customFormat="1" ht="18.75" hidden="1" customHeight="1">
      <c r="A191" s="144"/>
      <c r="B191" s="144"/>
      <c r="C191" s="396" t="s">
        <v>1178</v>
      </c>
      <c r="D191" s="1069"/>
      <c r="E191" s="345"/>
      <c r="F191" s="79"/>
      <c r="G191" s="984"/>
      <c r="H191" s="702"/>
      <c r="I191" s="178" t="s">
        <v>1177</v>
      </c>
      <c r="J191" s="236"/>
      <c r="K191" s="702"/>
      <c r="L191" s="833"/>
      <c r="M191" s="1055"/>
      <c r="N191" s="782"/>
      <c r="O191" s="130"/>
      <c r="P191" s="130"/>
      <c r="AH191" s="50">
        <v>0</v>
      </c>
    </row>
    <row r="192" s="50" customFormat="1" ht="0.75" hidden="1" customHeight="1">
      <c r="A192" s="144"/>
      <c r="B192" s="144"/>
      <c r="C192" s="396" t="s">
        <v>1185</v>
      </c>
      <c r="D192" s="1069"/>
      <c r="E192" s="345"/>
      <c r="F192" s="79"/>
      <c r="G192" s="1068"/>
      <c r="H192" s="702"/>
      <c r="I192" s="178"/>
      <c r="J192" s="236"/>
      <c r="K192" s="702"/>
      <c r="L192" s="833"/>
      <c r="M192" s="1055"/>
      <c r="N192" s="782"/>
      <c r="O192" s="130"/>
      <c r="P192" s="130"/>
      <c r="AH192" s="50">
        <v>0</v>
      </c>
    </row>
    <row r="193" s="50" customFormat="1" ht="18.75" hidden="1" customHeight="1">
      <c r="A193" s="144" t="s">
        <v>249</v>
      </c>
      <c r="B193" s="144" t="s">
        <v>250</v>
      </c>
      <c r="C193" s="396"/>
      <c r="D193" s="1069"/>
      <c r="E193" s="345"/>
      <c r="F193" s="79" t="str">
        <f>INDEX(PT_DIFFERENTIATION_VTAR,MATCH(A193,PT_DIFFERENTIATION_VTAR_ID,0))</f>
        <v xml:space="preserve">Тариф на транспортировку горячей воды</v>
      </c>
      <c r="G193" s="984" t="str">
        <f>INDEX(PT_DIFFERENTIATION_NTAR,MATCH(B193,PT_DIFFERENTIATION_NTAR_ID,0))</f>
        <v/>
      </c>
      <c r="H193" s="418"/>
      <c r="I193" s="1059"/>
      <c r="J193" s="1060"/>
      <c r="K193" s="434"/>
      <c r="L193" s="418" t="s">
        <v>300</v>
      </c>
      <c r="M193" s="1055"/>
      <c r="N193" s="782"/>
      <c r="O193" s="130"/>
      <c r="P193" s="130"/>
      <c r="AH193" s="50">
        <v>0</v>
      </c>
    </row>
    <row r="194" s="50" customFormat="1" ht="18.75" hidden="1" customHeight="1">
      <c r="A194" s="144"/>
      <c r="B194" s="144"/>
      <c r="C194" s="396" t="s">
        <v>1178</v>
      </c>
      <c r="D194" s="1069"/>
      <c r="E194" s="345"/>
      <c r="F194" s="79"/>
      <c r="G194" s="984"/>
      <c r="H194" s="702"/>
      <c r="I194" s="178" t="s">
        <v>1177</v>
      </c>
      <c r="J194" s="236"/>
      <c r="K194" s="702"/>
      <c r="L194" s="833"/>
      <c r="M194" s="1055"/>
      <c r="N194" s="782"/>
      <c r="O194" s="130"/>
      <c r="P194" s="130"/>
      <c r="AH194" s="50">
        <v>0</v>
      </c>
    </row>
    <row r="195" s="50" customFormat="1" ht="0.75" hidden="1" customHeight="1">
      <c r="A195" s="144"/>
      <c r="B195" s="144"/>
      <c r="C195" s="396" t="s">
        <v>1185</v>
      </c>
      <c r="D195" s="1069"/>
      <c r="E195" s="345"/>
      <c r="F195" s="79"/>
      <c r="G195" s="1068"/>
      <c r="H195" s="702"/>
      <c r="I195" s="178"/>
      <c r="J195" s="236"/>
      <c r="K195" s="702"/>
      <c r="L195" s="833"/>
      <c r="M195" s="1055"/>
      <c r="N195" s="782"/>
      <c r="O195" s="130"/>
      <c r="P195" s="130"/>
      <c r="AH195" s="50">
        <v>0</v>
      </c>
    </row>
    <row r="196" s="50" customFormat="1" ht="18.75" hidden="1" customHeight="1">
      <c r="A196" s="144" t="s">
        <v>254</v>
      </c>
      <c r="B196" s="144" t="s">
        <v>255</v>
      </c>
      <c r="C196" s="396"/>
      <c r="D196" s="1069"/>
      <c r="E196" s="345"/>
      <c r="F196" s="79" t="str">
        <f>INDEX(PT_DIFFERENTIATION_VTAR,MATCH(A196,PT_DIFFERENTIATION_VTAR_ID,0))</f>
        <v xml:space="preserve">Тариф на подключение (технологическое присоединение) к централизованной системе горячего водоснабжения</v>
      </c>
      <c r="G196" s="984" t="str">
        <f>INDEX(PT_DIFFERENTIATION_NTAR,MATCH(B196,PT_DIFFERENTIATION_NTAR_ID,0))</f>
        <v/>
      </c>
      <c r="H196" s="418"/>
      <c r="I196" s="1059"/>
      <c r="J196" s="1060"/>
      <c r="K196" s="434"/>
      <c r="L196" s="418" t="s">
        <v>300</v>
      </c>
      <c r="M196" s="1055"/>
      <c r="N196" s="782"/>
      <c r="O196" s="130"/>
      <c r="P196" s="130"/>
      <c r="AH196" s="50">
        <v>0</v>
      </c>
    </row>
    <row r="197" s="50" customFormat="1" ht="18.75" hidden="1" customHeight="1">
      <c r="A197" s="144"/>
      <c r="B197" s="144"/>
      <c r="C197" s="396" t="s">
        <v>1178</v>
      </c>
      <c r="D197" s="1069"/>
      <c r="E197" s="345"/>
      <c r="F197" s="79"/>
      <c r="G197" s="984"/>
      <c r="H197" s="702"/>
      <c r="I197" s="178" t="s">
        <v>1177</v>
      </c>
      <c r="J197" s="236"/>
      <c r="K197" s="702"/>
      <c r="L197" s="833"/>
      <c r="M197" s="1055"/>
      <c r="N197" s="782"/>
      <c r="O197" s="130"/>
      <c r="P197" s="130"/>
      <c r="AH197" s="50">
        <v>0</v>
      </c>
    </row>
    <row r="198" s="50" customFormat="1" ht="0.75" hidden="1" customHeight="1">
      <c r="A198" s="144"/>
      <c r="B198" s="144"/>
      <c r="C198" s="396" t="s">
        <v>1185</v>
      </c>
      <c r="D198" s="1069"/>
      <c r="E198" s="345"/>
      <c r="F198" s="79"/>
      <c r="G198" s="1068"/>
      <c r="H198" s="702"/>
      <c r="I198" s="178"/>
      <c r="J198" s="236"/>
      <c r="K198" s="702"/>
      <c r="L198" s="833"/>
      <c r="M198" s="1055"/>
      <c r="N198" s="782"/>
      <c r="O198" s="130"/>
      <c r="P198" s="130"/>
      <c r="AH198" s="50">
        <v>0</v>
      </c>
    </row>
    <row r="199" s="50" customFormat="1" ht="18.75" hidden="1" customHeight="1">
      <c r="A199" s="144" t="s">
        <v>259</v>
      </c>
      <c r="B199" s="144" t="s">
        <v>260</v>
      </c>
      <c r="C199" s="396"/>
      <c r="D199" s="1069"/>
      <c r="E199" s="345"/>
      <c r="F199" s="79" t="str">
        <f>INDEX(PT_DIFFERENTIATION_VTAR,MATCH(A199,PT_DIFFERENTIATION_VTAR_ID,0))</f>
        <v xml:space="preserve">Тариф на водоотведение</v>
      </c>
      <c r="G199" s="984" t="str">
        <f>INDEX(PT_DIFFERENTIATION_NTAR,MATCH(B199,PT_DIFFERENTIATION_NTAR_ID,0))</f>
        <v/>
      </c>
      <c r="H199" s="418"/>
      <c r="I199" s="1059"/>
      <c r="J199" s="1060"/>
      <c r="K199" s="434"/>
      <c r="L199" s="418" t="s">
        <v>300</v>
      </c>
      <c r="M199" s="1055"/>
      <c r="N199" s="782"/>
      <c r="O199" s="130"/>
      <c r="P199" s="130"/>
      <c r="AH199" s="50">
        <v>0</v>
      </c>
    </row>
    <row r="200" s="50" customFormat="1" ht="18.75" hidden="1" customHeight="1">
      <c r="A200" s="144"/>
      <c r="B200" s="144"/>
      <c r="C200" s="396" t="s">
        <v>1178</v>
      </c>
      <c r="D200" s="1069"/>
      <c r="E200" s="345"/>
      <c r="F200" s="79"/>
      <c r="G200" s="984"/>
      <c r="H200" s="702"/>
      <c r="I200" s="178" t="s">
        <v>1177</v>
      </c>
      <c r="J200" s="236"/>
      <c r="K200" s="702"/>
      <c r="L200" s="833"/>
      <c r="M200" s="1055"/>
      <c r="N200" s="782"/>
      <c r="O200" s="130"/>
      <c r="P200" s="130"/>
      <c r="AH200" s="50">
        <v>0</v>
      </c>
    </row>
    <row r="201" s="50" customFormat="1" ht="0.75" hidden="1" customHeight="1">
      <c r="A201" s="144"/>
      <c r="B201" s="144"/>
      <c r="C201" s="396" t="s">
        <v>1185</v>
      </c>
      <c r="D201" s="1069"/>
      <c r="E201" s="345"/>
      <c r="F201" s="79"/>
      <c r="G201" s="1068"/>
      <c r="H201" s="702"/>
      <c r="I201" s="178"/>
      <c r="J201" s="236"/>
      <c r="K201" s="702"/>
      <c r="L201" s="833"/>
      <c r="M201" s="1055"/>
      <c r="N201" s="782"/>
      <c r="O201" s="130"/>
      <c r="P201" s="130"/>
      <c r="AH201" s="50">
        <v>0</v>
      </c>
    </row>
    <row r="202" s="50" customFormat="1" ht="18.75" hidden="1" customHeight="1">
      <c r="A202" s="144" t="s">
        <v>264</v>
      </c>
      <c r="B202" s="144" t="s">
        <v>265</v>
      </c>
      <c r="C202" s="396"/>
      <c r="D202" s="1069"/>
      <c r="E202" s="345"/>
      <c r="F202" s="79" t="str">
        <f>INDEX(PT_DIFFERENTIATION_VTAR,MATCH(A202,PT_DIFFERENTIATION_VTAR_ID,0))</f>
        <v xml:space="preserve">Тариф на транспортировку сточных вод</v>
      </c>
      <c r="G202" s="984" t="str">
        <f>INDEX(PT_DIFFERENTIATION_NTAR,MATCH(B202,PT_DIFFERENTIATION_NTAR_ID,0))</f>
        <v/>
      </c>
      <c r="H202" s="418"/>
      <c r="I202" s="1059"/>
      <c r="J202" s="1060"/>
      <c r="K202" s="434"/>
      <c r="L202" s="418" t="s">
        <v>300</v>
      </c>
      <c r="M202" s="1055"/>
      <c r="N202" s="782"/>
      <c r="O202" s="130"/>
      <c r="P202" s="130"/>
      <c r="AH202" s="50">
        <v>0</v>
      </c>
    </row>
    <row r="203" s="50" customFormat="1" ht="18.75" hidden="1" customHeight="1">
      <c r="A203" s="144"/>
      <c r="B203" s="144"/>
      <c r="C203" s="396" t="s">
        <v>1178</v>
      </c>
      <c r="D203" s="1069"/>
      <c r="E203" s="345"/>
      <c r="F203" s="79"/>
      <c r="G203" s="984"/>
      <c r="H203" s="702"/>
      <c r="I203" s="178" t="s">
        <v>1177</v>
      </c>
      <c r="J203" s="236"/>
      <c r="K203" s="702"/>
      <c r="L203" s="833"/>
      <c r="M203" s="1055"/>
      <c r="N203" s="782"/>
      <c r="O203" s="130"/>
      <c r="P203" s="130"/>
      <c r="AH203" s="50">
        <v>0</v>
      </c>
    </row>
    <row r="204" s="50" customFormat="1" ht="0.75" hidden="1" customHeight="1">
      <c r="A204" s="144"/>
      <c r="B204" s="144"/>
      <c r="C204" s="396" t="s">
        <v>1185</v>
      </c>
      <c r="D204" s="1069"/>
      <c r="E204" s="345"/>
      <c r="F204" s="79"/>
      <c r="G204" s="1068"/>
      <c r="H204" s="702"/>
      <c r="I204" s="178"/>
      <c r="J204" s="236"/>
      <c r="K204" s="702"/>
      <c r="L204" s="833"/>
      <c r="M204" s="1055"/>
      <c r="N204" s="782"/>
      <c r="O204" s="130"/>
      <c r="P204" s="130"/>
      <c r="AH204" s="50">
        <v>0</v>
      </c>
    </row>
    <row r="205" s="50" customFormat="1" ht="18.75" hidden="1" customHeight="1">
      <c r="A205" s="144" t="s">
        <v>269</v>
      </c>
      <c r="B205" s="144" t="s">
        <v>270</v>
      </c>
      <c r="C205" s="396"/>
      <c r="D205" s="1069"/>
      <c r="E205" s="345"/>
      <c r="F205" s="79" t="str">
        <f>INDEX(PT_DIFFERENTIATION_VTAR,MATCH(A205,PT_DIFFERENTIATION_VTAR_ID,0))</f>
        <v xml:space="preserve">Тариф на подключение (технологическое присоединение) к централизованной системе водоотведения</v>
      </c>
      <c r="G205" s="984" t="str">
        <f>INDEX(PT_DIFFERENTIATION_NTAR,MATCH(B205,PT_DIFFERENTIATION_NTAR_ID,0))</f>
        <v/>
      </c>
      <c r="H205" s="418"/>
      <c r="I205" s="1059"/>
      <c r="J205" s="1060"/>
      <c r="K205" s="434"/>
      <c r="L205" s="418" t="s">
        <v>300</v>
      </c>
      <c r="M205" s="1055"/>
      <c r="N205" s="782"/>
      <c r="O205" s="130"/>
      <c r="P205" s="130"/>
      <c r="AH205" s="50">
        <v>0</v>
      </c>
    </row>
    <row r="206" s="50" customFormat="1" ht="18.75" hidden="1" customHeight="1">
      <c r="A206" s="144"/>
      <c r="B206" s="144"/>
      <c r="C206" s="396" t="s">
        <v>1178</v>
      </c>
      <c r="D206" s="1069"/>
      <c r="E206" s="345"/>
      <c r="F206" s="79"/>
      <c r="G206" s="984"/>
      <c r="H206" s="702"/>
      <c r="I206" s="178" t="s">
        <v>1177</v>
      </c>
      <c r="J206" s="236"/>
      <c r="K206" s="702"/>
      <c r="L206" s="833"/>
      <c r="M206" s="1055"/>
      <c r="N206" s="782"/>
      <c r="O206" s="130"/>
      <c r="P206" s="130"/>
      <c r="AH206" s="50">
        <v>0</v>
      </c>
    </row>
    <row r="207" s="50" customFormat="1" ht="1.05" customHeight="1">
      <c r="A207" s="144"/>
      <c r="B207" s="144"/>
      <c r="C207" s="396" t="s">
        <v>1185</v>
      </c>
      <c r="D207" s="1069"/>
      <c r="E207" s="345"/>
      <c r="F207" s="79"/>
      <c r="G207" s="1068"/>
      <c r="H207" s="702"/>
      <c r="I207" s="178"/>
      <c r="J207" s="236"/>
      <c r="K207" s="702"/>
      <c r="L207" s="833"/>
      <c r="M207" s="1055"/>
      <c r="N207" s="782"/>
      <c r="O207" s="130"/>
      <c r="P207" s="130"/>
      <c r="AH207" s="50">
        <v>1</v>
      </c>
    </row>
    <row r="208" ht="27.300000000000001" customHeight="1">
      <c r="A208" s="144"/>
      <c r="B208" s="144"/>
      <c r="D208" s="540"/>
      <c r="E208" s="345" t="s">
        <v>107</v>
      </c>
      <c r="F208" s="83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 xml:space="preserve">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831"/>
      <c r="H208" s="831"/>
      <c r="I208" s="831"/>
      <c r="J208" s="831"/>
      <c r="K208" s="831"/>
      <c r="L208" s="831"/>
      <c r="M208" s="823"/>
      <c r="N208" s="782"/>
      <c r="AH208" s="50">
        <v>26</v>
      </c>
    </row>
    <row r="209" s="50" customFormat="1" ht="60.75" hidden="1" customHeight="1">
      <c r="A209" s="144" t="s">
        <v>151</v>
      </c>
      <c r="B209" s="144" t="s">
        <v>152</v>
      </c>
      <c r="C209" s="396"/>
      <c r="D209" s="1069"/>
      <c r="E209" s="345"/>
      <c r="F209" s="79" t="str">
        <f>INDEX(PT_DIFFERENTIATION_VTAR,MATCH(A209,PT_DIFFERENTIATION_VTAR_ID,0))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984" t="str">
        <f>INDEX(PT_DIFFERENTIATION_NTAR,MATCH(B209,PT_DIFFERENTIATION_NTAR_ID,0))</f>
        <v/>
      </c>
      <c r="H209" s="418"/>
      <c r="I209" s="1059"/>
      <c r="J209" s="1060"/>
      <c r="K209" s="434"/>
      <c r="L209" s="418" t="s">
        <v>300</v>
      </c>
      <c r="M209" s="28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 xml:space="preserve">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782"/>
      <c r="O209" s="130"/>
      <c r="P209" s="130"/>
      <c r="AH209" s="50">
        <v>0</v>
      </c>
    </row>
    <row r="210" s="50" customFormat="1" ht="18.75" hidden="1" customHeight="1">
      <c r="A210" s="144"/>
      <c r="B210" s="144"/>
      <c r="C210" s="396" t="s">
        <v>1178</v>
      </c>
      <c r="D210" s="1069"/>
      <c r="E210" s="345"/>
      <c r="F210" s="79"/>
      <c r="G210" s="984"/>
      <c r="H210" s="702"/>
      <c r="I210" s="178" t="s">
        <v>1177</v>
      </c>
      <c r="J210" s="236"/>
      <c r="K210" s="702"/>
      <c r="L210" s="833"/>
      <c r="M210" s="288"/>
      <c r="N210" s="782"/>
      <c r="O210" s="130"/>
      <c r="P210" s="130"/>
      <c r="AH210" s="50">
        <v>0</v>
      </c>
    </row>
    <row r="211" s="50" customFormat="1" ht="0.75" hidden="1" customHeight="1">
      <c r="A211" s="144"/>
      <c r="B211" s="144"/>
      <c r="C211" s="396" t="s">
        <v>1185</v>
      </c>
      <c r="D211" s="1069"/>
      <c r="E211" s="345"/>
      <c r="F211" s="79"/>
      <c r="G211" s="1068"/>
      <c r="H211" s="702"/>
      <c r="I211" s="178"/>
      <c r="J211" s="236"/>
      <c r="K211" s="702"/>
      <c r="L211" s="833"/>
      <c r="M211" s="288"/>
      <c r="N211" s="782"/>
      <c r="O211" s="130"/>
      <c r="P211" s="130"/>
      <c r="AH211" s="50">
        <v>0</v>
      </c>
    </row>
    <row r="212" s="50" customFormat="1" ht="45" hidden="1" customHeight="1">
      <c r="A212" s="144" t="s">
        <v>156</v>
      </c>
      <c r="B212" s="144" t="s">
        <v>157</v>
      </c>
      <c r="C212" s="396"/>
      <c r="D212" s="1069"/>
      <c r="E212" s="345"/>
      <c r="F212" s="79" t="str">
        <f>INDEX(PT_DIFFERENTIATION_VTAR,MATCH(A212,PT_DIFFERENTIATION_VTAR_ID,0))</f>
        <v/>
      </c>
      <c r="G212" s="984" t="str">
        <f>INDEX(PT_DIFFERENTIATION_NTAR,MATCH(B212,PT_DIFFERENTIATION_NTAR_ID,0))</f>
        <v/>
      </c>
      <c r="H212" s="418"/>
      <c r="I212" s="1059"/>
      <c r="J212" s="1060"/>
      <c r="K212" s="434"/>
      <c r="L212" s="418" t="s">
        <v>300</v>
      </c>
      <c r="M212" s="290"/>
      <c r="N212" s="782"/>
      <c r="O212" s="130"/>
      <c r="P212" s="130"/>
      <c r="AH212" s="50">
        <v>0</v>
      </c>
    </row>
    <row r="213" s="50" customFormat="1" ht="18.75" hidden="1" customHeight="1">
      <c r="A213" s="144"/>
      <c r="B213" s="144"/>
      <c r="C213" s="396" t="s">
        <v>1178</v>
      </c>
      <c r="D213" s="1069"/>
      <c r="E213" s="345"/>
      <c r="F213" s="79"/>
      <c r="G213" s="984"/>
      <c r="H213" s="702"/>
      <c r="I213" s="178" t="s">
        <v>1177</v>
      </c>
      <c r="J213" s="236"/>
      <c r="K213" s="702"/>
      <c r="L213" s="833"/>
      <c r="M213" s="288"/>
      <c r="N213" s="782"/>
      <c r="O213" s="130"/>
      <c r="P213" s="130"/>
      <c r="AH213" s="50">
        <v>0</v>
      </c>
    </row>
    <row r="214" s="50" customFormat="1" ht="0.75" hidden="1" customHeight="1">
      <c r="A214" s="144"/>
      <c r="B214" s="144"/>
      <c r="C214" s="396" t="s">
        <v>1185</v>
      </c>
      <c r="D214" s="1069"/>
      <c r="E214" s="345"/>
      <c r="F214" s="79"/>
      <c r="G214" s="1068"/>
      <c r="H214" s="702"/>
      <c r="I214" s="178"/>
      <c r="J214" s="236"/>
      <c r="K214" s="702"/>
      <c r="L214" s="833"/>
      <c r="M214" s="1055"/>
      <c r="N214" s="782"/>
      <c r="O214" s="130"/>
      <c r="P214" s="130"/>
      <c r="AH214" s="50">
        <v>0</v>
      </c>
    </row>
    <row r="215" s="50" customFormat="1" ht="45" hidden="1" customHeight="1">
      <c r="A215" s="144" t="s">
        <v>163</v>
      </c>
      <c r="B215" s="144" t="s">
        <v>164</v>
      </c>
      <c r="C215" s="396"/>
      <c r="D215" s="1069"/>
      <c r="E215" s="345"/>
      <c r="F215" s="79" t="str">
        <f>INDEX(PT_DIFFERENTIATION_VTAR,MATCH(A215,PT_DIFFERENTIATION_VTAR_ID,0))</f>
        <v xml:space="preserve">Тарифы на теплоноситель, поставляемый теплоснабжающими организациями потребителям, другим теплоснабжающим организациям</v>
      </c>
      <c r="G215" s="984" t="str">
        <f>INDEX(PT_DIFFERENTIATION_NTAR,MATCH(B215,PT_DIFFERENTIATION_NTAR_ID,0))</f>
        <v/>
      </c>
      <c r="H215" s="418"/>
      <c r="I215" s="1059"/>
      <c r="J215" s="1060"/>
      <c r="K215" s="434"/>
      <c r="L215" s="418" t="s">
        <v>300</v>
      </c>
      <c r="M215" s="1055"/>
      <c r="N215" s="782"/>
      <c r="O215" s="130"/>
      <c r="P215" s="130"/>
      <c r="AH215" s="50">
        <v>0</v>
      </c>
    </row>
    <row r="216" s="50" customFormat="1" ht="18.75" hidden="1" customHeight="1">
      <c r="A216" s="144"/>
      <c r="B216" s="144"/>
      <c r="C216" s="396" t="s">
        <v>1178</v>
      </c>
      <c r="D216" s="1069"/>
      <c r="E216" s="345"/>
      <c r="F216" s="79"/>
      <c r="G216" s="984"/>
      <c r="H216" s="702"/>
      <c r="I216" s="178" t="s">
        <v>1177</v>
      </c>
      <c r="J216" s="236"/>
      <c r="K216" s="702"/>
      <c r="L216" s="833"/>
      <c r="M216" s="1055"/>
      <c r="N216" s="782"/>
      <c r="O216" s="130"/>
      <c r="P216" s="130"/>
      <c r="AH216" s="50">
        <v>0</v>
      </c>
    </row>
    <row r="217" s="50" customFormat="1" ht="0.75" hidden="1" customHeight="1">
      <c r="A217" s="144"/>
      <c r="B217" s="144"/>
      <c r="C217" s="396" t="s">
        <v>1185</v>
      </c>
      <c r="D217" s="1069"/>
      <c r="E217" s="345"/>
      <c r="F217" s="79"/>
      <c r="G217" s="1068"/>
      <c r="H217" s="702"/>
      <c r="I217" s="178"/>
      <c r="J217" s="236"/>
      <c r="K217" s="702"/>
      <c r="L217" s="833"/>
      <c r="M217" s="1055"/>
      <c r="N217" s="782"/>
      <c r="O217" s="130"/>
      <c r="P217" s="130"/>
      <c r="AH217" s="50">
        <v>0</v>
      </c>
    </row>
    <row r="218" s="50" customFormat="1" ht="45" hidden="1" customHeight="1">
      <c r="A218" s="144" t="s">
        <v>169</v>
      </c>
      <c r="B218" s="144" t="s">
        <v>170</v>
      </c>
      <c r="C218" s="396"/>
      <c r="D218" s="1069"/>
      <c r="E218" s="345"/>
      <c r="F218" s="79" t="str">
        <f>INDEX(PT_DIFFERENTIATION_VTAR,MATCH(A218,PT_DIFFERENTIATION_VTAR_ID,0))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984" t="str">
        <f>INDEX(PT_DIFFERENTIATION_NTAR,MATCH(B218,PT_DIFFERENTIATION_NTAR_ID,0))</f>
        <v/>
      </c>
      <c r="H218" s="418"/>
      <c r="I218" s="1059"/>
      <c r="J218" s="1060"/>
      <c r="K218" s="434"/>
      <c r="L218" s="418" t="s">
        <v>300</v>
      </c>
      <c r="M218" s="1055"/>
      <c r="N218" s="782"/>
      <c r="O218" s="130"/>
      <c r="P218" s="130"/>
      <c r="AH218" s="50">
        <v>0</v>
      </c>
    </row>
    <row r="219" s="50" customFormat="1" ht="18.75" hidden="1" customHeight="1">
      <c r="A219" s="144"/>
      <c r="B219" s="144"/>
      <c r="C219" s="396" t="s">
        <v>1178</v>
      </c>
      <c r="D219" s="1069"/>
      <c r="E219" s="345"/>
      <c r="F219" s="79"/>
      <c r="G219" s="984"/>
      <c r="H219" s="702"/>
      <c r="I219" s="178" t="s">
        <v>1177</v>
      </c>
      <c r="J219" s="236"/>
      <c r="K219" s="702"/>
      <c r="L219" s="833"/>
      <c r="M219" s="1055"/>
      <c r="N219" s="782"/>
      <c r="O219" s="130"/>
      <c r="P219" s="130"/>
      <c r="AH219" s="50">
        <v>0</v>
      </c>
    </row>
    <row r="220" s="50" customFormat="1" ht="0.75" hidden="1" customHeight="1">
      <c r="A220" s="144"/>
      <c r="B220" s="144"/>
      <c r="C220" s="396" t="s">
        <v>1185</v>
      </c>
      <c r="D220" s="1069"/>
      <c r="E220" s="345"/>
      <c r="F220" s="79"/>
      <c r="G220" s="1068"/>
      <c r="H220" s="702"/>
      <c r="I220" s="178"/>
      <c r="J220" s="236"/>
      <c r="K220" s="702"/>
      <c r="L220" s="833"/>
      <c r="M220" s="1055"/>
      <c r="N220" s="782"/>
      <c r="O220" s="130"/>
      <c r="P220" s="130"/>
      <c r="AH220" s="50">
        <v>0</v>
      </c>
    </row>
    <row r="221" s="50" customFormat="1" ht="18.75" hidden="1" customHeight="1">
      <c r="A221" s="144" t="s">
        <v>175</v>
      </c>
      <c r="B221" s="144" t="s">
        <v>176</v>
      </c>
      <c r="C221" s="396"/>
      <c r="D221" s="1069"/>
      <c r="E221" s="345"/>
      <c r="F221" s="79" t="str">
        <f>INDEX(PT_DIFFERENTIATION_VTAR,MATCH(A221,PT_DIFFERENTIATION_VTAR_ID,0))</f>
        <v xml:space="preserve">Тарифы на услуги по передаче тепловой энергии</v>
      </c>
      <c r="G221" s="984" t="str">
        <f>INDEX(PT_DIFFERENTIATION_NTAR,MATCH(B221,PT_DIFFERENTIATION_NTAR_ID,0))</f>
        <v/>
      </c>
      <c r="H221" s="418"/>
      <c r="I221" s="1059"/>
      <c r="J221" s="1060"/>
      <c r="K221" s="434"/>
      <c r="L221" s="418" t="s">
        <v>300</v>
      </c>
      <c r="M221" s="1055"/>
      <c r="N221" s="782"/>
      <c r="O221" s="130"/>
      <c r="P221" s="130"/>
      <c r="AH221" s="50">
        <v>0</v>
      </c>
    </row>
    <row r="222" s="50" customFormat="1" ht="18.75" hidden="1" customHeight="1">
      <c r="A222" s="144"/>
      <c r="B222" s="144"/>
      <c r="C222" s="396" t="s">
        <v>1178</v>
      </c>
      <c r="D222" s="1069"/>
      <c r="E222" s="345"/>
      <c r="F222" s="79"/>
      <c r="G222" s="984"/>
      <c r="H222" s="702"/>
      <c r="I222" s="178" t="s">
        <v>1177</v>
      </c>
      <c r="J222" s="236"/>
      <c r="K222" s="702"/>
      <c r="L222" s="833"/>
      <c r="M222" s="1055"/>
      <c r="N222" s="782"/>
      <c r="O222" s="130"/>
      <c r="P222" s="130"/>
      <c r="AH222" s="50">
        <v>0</v>
      </c>
    </row>
    <row r="223" s="50" customFormat="1" ht="0.75" hidden="1" customHeight="1">
      <c r="A223" s="144"/>
      <c r="B223" s="144"/>
      <c r="C223" s="396" t="s">
        <v>1185</v>
      </c>
      <c r="D223" s="1069"/>
      <c r="E223" s="345"/>
      <c r="F223" s="79"/>
      <c r="G223" s="1068"/>
      <c r="H223" s="702"/>
      <c r="I223" s="178"/>
      <c r="J223" s="236"/>
      <c r="K223" s="702"/>
      <c r="L223" s="833"/>
      <c r="M223" s="1055"/>
      <c r="N223" s="782"/>
      <c r="O223" s="130"/>
      <c r="P223" s="130"/>
      <c r="AH223" s="50">
        <v>0</v>
      </c>
    </row>
    <row r="224" s="50" customFormat="1" ht="18.75" hidden="1" customHeight="1">
      <c r="A224" s="144" t="s">
        <v>181</v>
      </c>
      <c r="B224" s="144" t="s">
        <v>182</v>
      </c>
      <c r="C224" s="396"/>
      <c r="D224" s="1069"/>
      <c r="E224" s="345"/>
      <c r="F224" s="79" t="str">
        <f>INDEX(PT_DIFFERENTIATION_VTAR,MATCH(A224,PT_DIFFERENTIATION_VTAR_ID,0))</f>
        <v xml:space="preserve">Тарифы на услуги по передаче теплоносителя</v>
      </c>
      <c r="G224" s="984" t="str">
        <f>INDEX(PT_DIFFERENTIATION_NTAR,MATCH(B224,PT_DIFFERENTIATION_NTAR_ID,0))</f>
        <v/>
      </c>
      <c r="H224" s="418"/>
      <c r="I224" s="1059"/>
      <c r="J224" s="1060"/>
      <c r="K224" s="434"/>
      <c r="L224" s="418" t="s">
        <v>300</v>
      </c>
      <c r="M224" s="1055"/>
      <c r="N224" s="782"/>
      <c r="O224" s="130"/>
      <c r="P224" s="130"/>
      <c r="AH224" s="50">
        <v>0</v>
      </c>
    </row>
    <row r="225" s="50" customFormat="1" ht="18.75" hidden="1" customHeight="1">
      <c r="A225" s="144"/>
      <c r="B225" s="144"/>
      <c r="C225" s="396" t="s">
        <v>1178</v>
      </c>
      <c r="D225" s="1069"/>
      <c r="E225" s="345"/>
      <c r="F225" s="79"/>
      <c r="G225" s="984"/>
      <c r="H225" s="702"/>
      <c r="I225" s="178" t="s">
        <v>1177</v>
      </c>
      <c r="J225" s="236"/>
      <c r="K225" s="702"/>
      <c r="L225" s="833"/>
      <c r="M225" s="1055"/>
      <c r="N225" s="782"/>
      <c r="O225" s="130"/>
      <c r="P225" s="130"/>
      <c r="AH225" s="50">
        <v>0</v>
      </c>
    </row>
    <row r="226" s="50" customFormat="1" ht="0.75" hidden="1" customHeight="1">
      <c r="A226" s="144"/>
      <c r="B226" s="144"/>
      <c r="C226" s="396" t="s">
        <v>1185</v>
      </c>
      <c r="D226" s="1069"/>
      <c r="E226" s="345"/>
      <c r="F226" s="79"/>
      <c r="G226" s="1068"/>
      <c r="H226" s="702"/>
      <c r="I226" s="178"/>
      <c r="J226" s="236"/>
      <c r="K226" s="702"/>
      <c r="L226" s="833"/>
      <c r="M226" s="1055"/>
      <c r="N226" s="782"/>
      <c r="O226" s="130"/>
      <c r="P226" s="130"/>
      <c r="AH226" s="50">
        <v>0</v>
      </c>
    </row>
    <row r="227" s="50" customFormat="1" ht="18.75" hidden="1" customHeight="1">
      <c r="A227" s="144" t="s">
        <v>187</v>
      </c>
      <c r="B227" s="144" t="s">
        <v>188</v>
      </c>
      <c r="C227" s="396"/>
      <c r="D227" s="1069"/>
      <c r="E227" s="345"/>
      <c r="F227" s="79" t="str">
        <f>INDEX(PT_DIFFERENTIATION_VTAR,MATCH(A227,PT_DIFFERENTIATION_VTAR_ID,0))</f>
        <v xml:space="preserve">Плата за услуги по поддержанию резервной тепловой мощности при отсутствии потребления тепловой энергии</v>
      </c>
      <c r="G227" s="984" t="str">
        <f>INDEX(PT_DIFFERENTIATION_NTAR,MATCH(B227,PT_DIFFERENTIATION_NTAR_ID,0))</f>
        <v/>
      </c>
      <c r="H227" s="418"/>
      <c r="I227" s="1059"/>
      <c r="J227" s="1060"/>
      <c r="K227" s="434"/>
      <c r="L227" s="418" t="s">
        <v>300</v>
      </c>
      <c r="M227" s="1055"/>
      <c r="N227" s="782"/>
      <c r="O227" s="130"/>
      <c r="P227" s="130"/>
      <c r="AH227" s="50">
        <v>0</v>
      </c>
    </row>
    <row r="228" s="50" customFormat="1" ht="18.75" hidden="1" customHeight="1">
      <c r="A228" s="144"/>
      <c r="B228" s="144"/>
      <c r="C228" s="396" t="s">
        <v>1178</v>
      </c>
      <c r="D228" s="1069"/>
      <c r="E228" s="345"/>
      <c r="F228" s="79"/>
      <c r="G228" s="984"/>
      <c r="H228" s="702"/>
      <c r="I228" s="178" t="s">
        <v>1177</v>
      </c>
      <c r="J228" s="236"/>
      <c r="K228" s="702"/>
      <c r="L228" s="833"/>
      <c r="M228" s="1055"/>
      <c r="N228" s="782"/>
      <c r="O228" s="130"/>
      <c r="P228" s="130"/>
      <c r="AH228" s="50">
        <v>0</v>
      </c>
    </row>
    <row r="229" s="50" customFormat="1" ht="0.75" hidden="1" customHeight="1">
      <c r="A229" s="144"/>
      <c r="B229" s="144"/>
      <c r="C229" s="396" t="s">
        <v>1185</v>
      </c>
      <c r="D229" s="1069"/>
      <c r="E229" s="345"/>
      <c r="F229" s="79"/>
      <c r="G229" s="1068"/>
      <c r="H229" s="702"/>
      <c r="I229" s="178"/>
      <c r="J229" s="236"/>
      <c r="K229" s="702"/>
      <c r="L229" s="833"/>
      <c r="M229" s="1055"/>
      <c r="N229" s="782"/>
      <c r="O229" s="130"/>
      <c r="P229" s="130"/>
      <c r="AH229" s="50">
        <v>0</v>
      </c>
    </row>
    <row r="230" s="50" customFormat="1" ht="18.75" hidden="1" customHeight="1">
      <c r="A230" s="144" t="s">
        <v>193</v>
      </c>
      <c r="B230" s="144" t="s">
        <v>194</v>
      </c>
      <c r="C230" s="396"/>
      <c r="D230" s="1069"/>
      <c r="E230" s="345"/>
      <c r="F230" s="79" t="str">
        <f>INDEX(PT_DIFFERENTIATION_VTAR,MATCH(A230,PT_DIFFERENTIATION_VTAR_ID,0))</f>
        <v xml:space="preserve">Плата за подключение (технологическое присоединение) к системе теплоснабжения</v>
      </c>
      <c r="G230" s="984" t="str">
        <f>INDEX(PT_DIFFERENTIATION_NTAR,MATCH(B230,PT_DIFFERENTIATION_NTAR_ID,0))</f>
        <v/>
      </c>
      <c r="H230" s="418"/>
      <c r="I230" s="1059"/>
      <c r="J230" s="1060"/>
      <c r="K230" s="434"/>
      <c r="L230" s="418" t="s">
        <v>300</v>
      </c>
      <c r="M230" s="1055"/>
      <c r="N230" s="782"/>
      <c r="O230" s="130"/>
      <c r="P230" s="130"/>
      <c r="AH230" s="50">
        <v>0</v>
      </c>
    </row>
    <row r="231" s="50" customFormat="1" ht="18.75" hidden="1" customHeight="1">
      <c r="A231" s="144"/>
      <c r="B231" s="144"/>
      <c r="C231" s="396" t="s">
        <v>1178</v>
      </c>
      <c r="D231" s="1069"/>
      <c r="E231" s="345"/>
      <c r="F231" s="79"/>
      <c r="G231" s="984"/>
      <c r="H231" s="702"/>
      <c r="I231" s="178" t="s">
        <v>1177</v>
      </c>
      <c r="J231" s="236"/>
      <c r="K231" s="702"/>
      <c r="L231" s="833"/>
      <c r="M231" s="1055"/>
      <c r="N231" s="782"/>
      <c r="O231" s="130"/>
      <c r="P231" s="130"/>
      <c r="AH231" s="50">
        <v>0</v>
      </c>
    </row>
    <row r="232" s="50" customFormat="1" ht="0.75" hidden="1" customHeight="1">
      <c r="A232" s="144"/>
      <c r="B232" s="144"/>
      <c r="C232" s="396" t="s">
        <v>1185</v>
      </c>
      <c r="D232" s="1069"/>
      <c r="E232" s="345"/>
      <c r="F232" s="79"/>
      <c r="G232" s="1068"/>
      <c r="H232" s="702"/>
      <c r="I232" s="178"/>
      <c r="J232" s="236"/>
      <c r="K232" s="702"/>
      <c r="L232" s="833"/>
      <c r="M232" s="1055"/>
      <c r="N232" s="782"/>
      <c r="O232" s="130"/>
      <c r="P232" s="130"/>
      <c r="AH232" s="50">
        <v>0</v>
      </c>
    </row>
    <row r="233" s="50" customFormat="1" ht="18.75" hidden="1" customHeight="1">
      <c r="A233" s="144" t="s">
        <v>199</v>
      </c>
      <c r="B233" s="144" t="s">
        <v>200</v>
      </c>
      <c r="C233" s="396"/>
      <c r="D233" s="1069"/>
      <c r="E233" s="345"/>
      <c r="F233" s="79" t="str">
        <f>INDEX(PT_DIFFERENTIATION_VTAR,MATCH(A233,PT_DIFFERENTIATION_VTAR_ID,0))</f>
        <v xml:space="preserve">Плата за подключение (технологическое присоединение) к системе теплоснабжения (индивидуальная)</v>
      </c>
      <c r="G233" s="984" t="str">
        <f>INDEX(PT_DIFFERENTIATION_NTAR,MATCH(B233,PT_DIFFERENTIATION_NTAR_ID,0))</f>
        <v/>
      </c>
      <c r="H233" s="418"/>
      <c r="I233" s="1059"/>
      <c r="J233" s="1060"/>
      <c r="K233" s="434"/>
      <c r="L233" s="418" t="s">
        <v>300</v>
      </c>
      <c r="M233" s="1055"/>
      <c r="N233" s="782"/>
      <c r="O233" s="130"/>
      <c r="P233" s="130"/>
      <c r="AH233" s="50">
        <v>0</v>
      </c>
    </row>
    <row r="234" s="50" customFormat="1" ht="18.75" hidden="1" customHeight="1">
      <c r="A234" s="144"/>
      <c r="B234" s="144"/>
      <c r="C234" s="396" t="s">
        <v>1178</v>
      </c>
      <c r="D234" s="1069"/>
      <c r="E234" s="345"/>
      <c r="F234" s="79"/>
      <c r="G234" s="984"/>
      <c r="H234" s="702"/>
      <c r="I234" s="178" t="s">
        <v>1177</v>
      </c>
      <c r="J234" s="236"/>
      <c r="K234" s="702"/>
      <c r="L234" s="833"/>
      <c r="M234" s="1055"/>
      <c r="N234" s="782"/>
      <c r="O234" s="130"/>
      <c r="P234" s="130"/>
      <c r="AH234" s="50">
        <v>0</v>
      </c>
    </row>
    <row r="235" s="50" customFormat="1" ht="0.75" hidden="1" customHeight="1">
      <c r="A235" s="144"/>
      <c r="B235" s="144"/>
      <c r="C235" s="396" t="s">
        <v>1185</v>
      </c>
      <c r="D235" s="1069"/>
      <c r="E235" s="345"/>
      <c r="F235" s="79"/>
      <c r="G235" s="1068"/>
      <c r="H235" s="702"/>
      <c r="I235" s="178"/>
      <c r="J235" s="236"/>
      <c r="K235" s="702"/>
      <c r="L235" s="833"/>
      <c r="M235" s="1055"/>
      <c r="N235" s="782"/>
      <c r="O235" s="130"/>
      <c r="P235" s="130"/>
      <c r="AH235" s="50">
        <v>0</v>
      </c>
    </row>
    <row r="236" s="50" customFormat="1" ht="18.75" hidden="1" customHeight="1">
      <c r="A236" s="144" t="s">
        <v>219</v>
      </c>
      <c r="B236" s="144" t="s">
        <v>220</v>
      </c>
      <c r="C236" s="396"/>
      <c r="D236" s="1069"/>
      <c r="E236" s="345"/>
      <c r="F236" s="79" t="str">
        <f>INDEX(PT_DIFFERENTIATION_VTAR,MATCH(A236,PT_DIFFERENTIATION_VTAR_ID,0))</f>
        <v xml:space="preserve">Тариф на питьевую воду (питьевое водоснабжение)</v>
      </c>
      <c r="G236" s="984" t="str">
        <f>INDEX(PT_DIFFERENTIATION_NTAR,MATCH(B236,PT_DIFFERENTIATION_NTAR_ID,0))</f>
        <v/>
      </c>
      <c r="H236" s="418"/>
      <c r="I236" s="1059"/>
      <c r="J236" s="1060"/>
      <c r="K236" s="434"/>
      <c r="L236" s="418" t="s">
        <v>300</v>
      </c>
      <c r="M236" s="1055"/>
      <c r="N236" s="782"/>
      <c r="O236" s="130"/>
      <c r="P236" s="130"/>
      <c r="AH236" s="50">
        <v>0</v>
      </c>
    </row>
    <row r="237" s="50" customFormat="1" ht="18.75" hidden="1" customHeight="1">
      <c r="A237" s="144"/>
      <c r="B237" s="144"/>
      <c r="C237" s="396" t="s">
        <v>1178</v>
      </c>
      <c r="D237" s="1069"/>
      <c r="E237" s="345"/>
      <c r="F237" s="79"/>
      <c r="G237" s="984"/>
      <c r="H237" s="702"/>
      <c r="I237" s="178" t="s">
        <v>1177</v>
      </c>
      <c r="J237" s="236"/>
      <c r="K237" s="702"/>
      <c r="L237" s="833"/>
      <c r="M237" s="1055"/>
      <c r="N237" s="782"/>
      <c r="O237" s="130"/>
      <c r="P237" s="130"/>
      <c r="AH237" s="50">
        <v>0</v>
      </c>
    </row>
    <row r="238" s="50" customFormat="1" ht="0.75" hidden="1" customHeight="1">
      <c r="A238" s="144"/>
      <c r="B238" s="144"/>
      <c r="C238" s="396" t="s">
        <v>1185</v>
      </c>
      <c r="D238" s="1069"/>
      <c r="E238" s="345"/>
      <c r="F238" s="79"/>
      <c r="G238" s="1068"/>
      <c r="H238" s="702"/>
      <c r="I238" s="178"/>
      <c r="J238" s="236"/>
      <c r="K238" s="702"/>
      <c r="L238" s="833"/>
      <c r="M238" s="1055"/>
      <c r="N238" s="782"/>
      <c r="O238" s="130"/>
      <c r="P238" s="130"/>
      <c r="AH238" s="50">
        <v>0</v>
      </c>
    </row>
    <row r="239" s="50" customFormat="1" ht="18.75" hidden="1" customHeight="1">
      <c r="A239" s="144" t="s">
        <v>224</v>
      </c>
      <c r="B239" s="144" t="s">
        <v>225</v>
      </c>
      <c r="C239" s="396"/>
      <c r="D239" s="1069"/>
      <c r="E239" s="345"/>
      <c r="F239" s="79" t="str">
        <f>INDEX(PT_DIFFERENTIATION_VTAR,MATCH(A239,PT_DIFFERENTIATION_VTAR_ID,0))</f>
        <v xml:space="preserve">Тариф на техническую воду</v>
      </c>
      <c r="G239" s="984" t="str">
        <f>INDEX(PT_DIFFERENTIATION_NTAR,MATCH(B239,PT_DIFFERENTIATION_NTAR_ID,0))</f>
        <v/>
      </c>
      <c r="H239" s="418"/>
      <c r="I239" s="1059"/>
      <c r="J239" s="1060"/>
      <c r="K239" s="434"/>
      <c r="L239" s="418" t="s">
        <v>300</v>
      </c>
      <c r="M239" s="1055"/>
      <c r="N239" s="782"/>
      <c r="O239" s="130"/>
      <c r="P239" s="130"/>
      <c r="AH239" s="50">
        <v>0</v>
      </c>
    </row>
    <row r="240" s="50" customFormat="1" ht="18.75" hidden="1" customHeight="1">
      <c r="A240" s="144"/>
      <c r="B240" s="144"/>
      <c r="C240" s="396" t="s">
        <v>1178</v>
      </c>
      <c r="D240" s="1069"/>
      <c r="E240" s="345"/>
      <c r="F240" s="79"/>
      <c r="G240" s="984"/>
      <c r="H240" s="702"/>
      <c r="I240" s="178" t="s">
        <v>1177</v>
      </c>
      <c r="J240" s="236"/>
      <c r="K240" s="702"/>
      <c r="L240" s="833"/>
      <c r="M240" s="1055"/>
      <c r="N240" s="782"/>
      <c r="O240" s="130"/>
      <c r="P240" s="130"/>
      <c r="AH240" s="50">
        <v>0</v>
      </c>
    </row>
    <row r="241" s="50" customFormat="1" ht="0.75" hidden="1" customHeight="1">
      <c r="A241" s="144"/>
      <c r="B241" s="144"/>
      <c r="C241" s="396" t="s">
        <v>1185</v>
      </c>
      <c r="D241" s="1069"/>
      <c r="E241" s="345"/>
      <c r="F241" s="79"/>
      <c r="G241" s="1068"/>
      <c r="H241" s="702"/>
      <c r="I241" s="178"/>
      <c r="J241" s="236"/>
      <c r="K241" s="702"/>
      <c r="L241" s="833"/>
      <c r="M241" s="1055"/>
      <c r="N241" s="782"/>
      <c r="O241" s="130"/>
      <c r="P241" s="130"/>
      <c r="AH241" s="50">
        <v>0</v>
      </c>
    </row>
    <row r="242" s="50" customFormat="1" ht="18.75" hidden="1" customHeight="1">
      <c r="A242" s="144" t="s">
        <v>229</v>
      </c>
      <c r="B242" s="144" t="s">
        <v>230</v>
      </c>
      <c r="C242" s="396"/>
      <c r="D242" s="1069"/>
      <c r="E242" s="345"/>
      <c r="F242" s="79" t="str">
        <f>INDEX(PT_DIFFERENTIATION_VTAR,MATCH(A242,PT_DIFFERENTIATION_VTAR_ID,0))</f>
        <v xml:space="preserve">Тариф на транспортировку воды</v>
      </c>
      <c r="G242" s="984" t="str">
        <f>INDEX(PT_DIFFERENTIATION_NTAR,MATCH(B242,PT_DIFFERENTIATION_NTAR_ID,0))</f>
        <v/>
      </c>
      <c r="H242" s="418"/>
      <c r="I242" s="1059"/>
      <c r="J242" s="1060"/>
      <c r="K242" s="434"/>
      <c r="L242" s="418" t="s">
        <v>300</v>
      </c>
      <c r="M242" s="1055"/>
      <c r="N242" s="782"/>
      <c r="O242" s="130"/>
      <c r="P242" s="130"/>
      <c r="AH242" s="50">
        <v>0</v>
      </c>
    </row>
    <row r="243" s="50" customFormat="1" ht="18.75" hidden="1" customHeight="1">
      <c r="A243" s="144"/>
      <c r="B243" s="144"/>
      <c r="C243" s="396" t="s">
        <v>1178</v>
      </c>
      <c r="D243" s="1069"/>
      <c r="E243" s="345"/>
      <c r="F243" s="79"/>
      <c r="G243" s="984"/>
      <c r="H243" s="702"/>
      <c r="I243" s="178" t="s">
        <v>1177</v>
      </c>
      <c r="J243" s="236"/>
      <c r="K243" s="702"/>
      <c r="L243" s="833"/>
      <c r="M243" s="1055"/>
      <c r="N243" s="782"/>
      <c r="O243" s="130"/>
      <c r="P243" s="130"/>
      <c r="AH243" s="50">
        <v>0</v>
      </c>
    </row>
    <row r="244" s="50" customFormat="1" ht="0.75" hidden="1" customHeight="1">
      <c r="A244" s="144"/>
      <c r="B244" s="144"/>
      <c r="C244" s="396" t="s">
        <v>1185</v>
      </c>
      <c r="D244" s="1069"/>
      <c r="E244" s="345"/>
      <c r="F244" s="79"/>
      <c r="G244" s="1068"/>
      <c r="H244" s="702"/>
      <c r="I244" s="178"/>
      <c r="J244" s="236"/>
      <c r="K244" s="702"/>
      <c r="L244" s="833"/>
      <c r="M244" s="1055"/>
      <c r="N244" s="782"/>
      <c r="O244" s="130"/>
      <c r="P244" s="130"/>
      <c r="AH244" s="50">
        <v>0</v>
      </c>
    </row>
    <row r="245" s="50" customFormat="1" ht="18.75" hidden="1" customHeight="1">
      <c r="A245" s="144" t="s">
        <v>234</v>
      </c>
      <c r="B245" s="144" t="s">
        <v>235</v>
      </c>
      <c r="C245" s="396"/>
      <c r="D245" s="1069"/>
      <c r="E245" s="345"/>
      <c r="F245" s="79" t="str">
        <f>INDEX(PT_DIFFERENTIATION_VTAR,MATCH(A245,PT_DIFFERENTIATION_VTAR_ID,0))</f>
        <v xml:space="preserve">Тариф на подвоз воды</v>
      </c>
      <c r="G245" s="984" t="str">
        <f>INDEX(PT_DIFFERENTIATION_NTAR,MATCH(B245,PT_DIFFERENTIATION_NTAR_ID,0))</f>
        <v/>
      </c>
      <c r="H245" s="418"/>
      <c r="I245" s="1059"/>
      <c r="J245" s="1060"/>
      <c r="K245" s="434"/>
      <c r="L245" s="418" t="s">
        <v>300</v>
      </c>
      <c r="M245" s="1055"/>
      <c r="N245" s="782"/>
      <c r="O245" s="130"/>
      <c r="P245" s="130"/>
      <c r="AH245" s="50">
        <v>0</v>
      </c>
    </row>
    <row r="246" s="50" customFormat="1" ht="18.75" hidden="1" customHeight="1">
      <c r="A246" s="144"/>
      <c r="B246" s="144"/>
      <c r="C246" s="396" t="s">
        <v>1178</v>
      </c>
      <c r="D246" s="1069"/>
      <c r="E246" s="345"/>
      <c r="F246" s="79"/>
      <c r="G246" s="984"/>
      <c r="H246" s="702"/>
      <c r="I246" s="178" t="s">
        <v>1177</v>
      </c>
      <c r="J246" s="236"/>
      <c r="K246" s="702"/>
      <c r="L246" s="833"/>
      <c r="M246" s="1055"/>
      <c r="N246" s="782"/>
      <c r="O246" s="130"/>
      <c r="P246" s="130"/>
      <c r="AH246" s="50">
        <v>0</v>
      </c>
    </row>
    <row r="247" s="50" customFormat="1" ht="0.75" hidden="1" customHeight="1">
      <c r="A247" s="144"/>
      <c r="B247" s="144"/>
      <c r="C247" s="396" t="s">
        <v>1185</v>
      </c>
      <c r="D247" s="1069"/>
      <c r="E247" s="345"/>
      <c r="F247" s="79"/>
      <c r="G247" s="1068"/>
      <c r="H247" s="702"/>
      <c r="I247" s="178"/>
      <c r="J247" s="236"/>
      <c r="K247" s="702"/>
      <c r="L247" s="833"/>
      <c r="M247" s="1055"/>
      <c r="N247" s="782"/>
      <c r="O247" s="130"/>
      <c r="P247" s="130"/>
      <c r="AH247" s="50">
        <v>0</v>
      </c>
    </row>
    <row r="248" s="50" customFormat="1" ht="18.75" hidden="1" customHeight="1">
      <c r="A248" s="144" t="s">
        <v>239</v>
      </c>
      <c r="B248" s="144" t="s">
        <v>240</v>
      </c>
      <c r="C248" s="396"/>
      <c r="D248" s="1069"/>
      <c r="E248" s="345"/>
      <c r="F248" s="79" t="str">
        <f>INDEX(PT_DIFFERENTIATION_VTAR,MATCH(A248,PT_DIFFERENTIATION_VTAR_ID,0))</f>
        <v xml:space="preserve">Тариф на подключение (технологическое присоединение) к централизованной системе холодного водоснабжения</v>
      </c>
      <c r="G248" s="984" t="str">
        <f>INDEX(PT_DIFFERENTIATION_NTAR,MATCH(B248,PT_DIFFERENTIATION_NTAR_ID,0))</f>
        <v/>
      </c>
      <c r="H248" s="418"/>
      <c r="I248" s="1059"/>
      <c r="J248" s="1060"/>
      <c r="K248" s="434"/>
      <c r="L248" s="418" t="s">
        <v>300</v>
      </c>
      <c r="M248" s="1055"/>
      <c r="N248" s="782"/>
      <c r="O248" s="130"/>
      <c r="P248" s="130"/>
      <c r="AH248" s="50">
        <v>0</v>
      </c>
    </row>
    <row r="249" s="50" customFormat="1" ht="18.75" hidden="1" customHeight="1">
      <c r="A249" s="144"/>
      <c r="B249" s="144"/>
      <c r="C249" s="396" t="s">
        <v>1178</v>
      </c>
      <c r="D249" s="1069"/>
      <c r="E249" s="345"/>
      <c r="F249" s="79"/>
      <c r="G249" s="984"/>
      <c r="H249" s="702"/>
      <c r="I249" s="178" t="s">
        <v>1177</v>
      </c>
      <c r="J249" s="236"/>
      <c r="K249" s="702"/>
      <c r="L249" s="833"/>
      <c r="M249" s="1055"/>
      <c r="N249" s="782"/>
      <c r="O249" s="130"/>
      <c r="P249" s="130"/>
      <c r="AH249" s="50">
        <v>0</v>
      </c>
    </row>
    <row r="250" s="50" customFormat="1" ht="0.75" hidden="1" customHeight="1">
      <c r="A250" s="144"/>
      <c r="B250" s="144"/>
      <c r="C250" s="396" t="s">
        <v>1185</v>
      </c>
      <c r="D250" s="1069"/>
      <c r="E250" s="345"/>
      <c r="F250" s="79"/>
      <c r="G250" s="1068"/>
      <c r="H250" s="702"/>
      <c r="I250" s="178"/>
      <c r="J250" s="236"/>
      <c r="K250" s="702"/>
      <c r="L250" s="833"/>
      <c r="M250" s="1055"/>
      <c r="N250" s="782"/>
      <c r="O250" s="130"/>
      <c r="P250" s="130"/>
      <c r="AH250" s="50">
        <v>0</v>
      </c>
    </row>
    <row r="251" s="50" customFormat="1" ht="18.75" hidden="1" customHeight="1">
      <c r="A251" s="144" t="s">
        <v>244</v>
      </c>
      <c r="B251" s="144" t="s">
        <v>245</v>
      </c>
      <c r="C251" s="396"/>
      <c r="D251" s="1069"/>
      <c r="E251" s="345"/>
      <c r="F251" s="79" t="str">
        <f>INDEX(PT_DIFFERENTIATION_VTAR,MATCH(A251,PT_DIFFERENTIATION_VTAR_ID,0))</f>
        <v xml:space="preserve">Тариф на горячую воду (горячее водоснабжение)</v>
      </c>
      <c r="G251" s="984" t="str">
        <f>INDEX(PT_DIFFERENTIATION_NTAR,MATCH(B251,PT_DIFFERENTIATION_NTAR_ID,0))</f>
        <v/>
      </c>
      <c r="H251" s="418"/>
      <c r="I251" s="1059"/>
      <c r="J251" s="1060"/>
      <c r="K251" s="434"/>
      <c r="L251" s="418" t="s">
        <v>300</v>
      </c>
      <c r="M251" s="1055"/>
      <c r="N251" s="782"/>
      <c r="O251" s="130"/>
      <c r="P251" s="130"/>
      <c r="AH251" s="50">
        <v>0</v>
      </c>
    </row>
    <row r="252" s="50" customFormat="1" ht="18.75" hidden="1" customHeight="1">
      <c r="A252" s="144"/>
      <c r="B252" s="144"/>
      <c r="C252" s="396" t="s">
        <v>1178</v>
      </c>
      <c r="D252" s="1069"/>
      <c r="E252" s="345"/>
      <c r="F252" s="79"/>
      <c r="G252" s="984"/>
      <c r="H252" s="702"/>
      <c r="I252" s="178" t="s">
        <v>1177</v>
      </c>
      <c r="J252" s="236"/>
      <c r="K252" s="702"/>
      <c r="L252" s="833"/>
      <c r="M252" s="1055"/>
      <c r="N252" s="782"/>
      <c r="O252" s="130"/>
      <c r="P252" s="130"/>
      <c r="AH252" s="50">
        <v>0</v>
      </c>
    </row>
    <row r="253" s="50" customFormat="1" ht="0.75" hidden="1" customHeight="1">
      <c r="A253" s="144"/>
      <c r="B253" s="144"/>
      <c r="C253" s="396" t="s">
        <v>1185</v>
      </c>
      <c r="D253" s="1069"/>
      <c r="E253" s="345"/>
      <c r="F253" s="79"/>
      <c r="G253" s="1068"/>
      <c r="H253" s="702"/>
      <c r="I253" s="178"/>
      <c r="J253" s="236"/>
      <c r="K253" s="702"/>
      <c r="L253" s="833"/>
      <c r="M253" s="1055"/>
      <c r="N253" s="782"/>
      <c r="O253" s="130"/>
      <c r="P253" s="130"/>
      <c r="AH253" s="50">
        <v>0</v>
      </c>
    </row>
    <row r="254" s="50" customFormat="1" ht="18.75" hidden="1" customHeight="1">
      <c r="A254" s="144" t="s">
        <v>249</v>
      </c>
      <c r="B254" s="144" t="s">
        <v>250</v>
      </c>
      <c r="C254" s="396"/>
      <c r="D254" s="1069"/>
      <c r="E254" s="345"/>
      <c r="F254" s="79" t="str">
        <f>INDEX(PT_DIFFERENTIATION_VTAR,MATCH(A254,PT_DIFFERENTIATION_VTAR_ID,0))</f>
        <v xml:space="preserve">Тариф на транспортировку горячей воды</v>
      </c>
      <c r="G254" s="984" t="str">
        <f>INDEX(PT_DIFFERENTIATION_NTAR,MATCH(B254,PT_DIFFERENTIATION_NTAR_ID,0))</f>
        <v/>
      </c>
      <c r="H254" s="418"/>
      <c r="I254" s="1059"/>
      <c r="J254" s="1060"/>
      <c r="K254" s="434"/>
      <c r="L254" s="418" t="s">
        <v>300</v>
      </c>
      <c r="M254" s="1055"/>
      <c r="N254" s="782"/>
      <c r="O254" s="130"/>
      <c r="P254" s="130"/>
      <c r="AH254" s="50">
        <v>0</v>
      </c>
    </row>
    <row r="255" s="50" customFormat="1" ht="18.75" hidden="1" customHeight="1">
      <c r="A255" s="144"/>
      <c r="B255" s="144"/>
      <c r="C255" s="396" t="s">
        <v>1178</v>
      </c>
      <c r="D255" s="1069"/>
      <c r="E255" s="345"/>
      <c r="F255" s="79"/>
      <c r="G255" s="984"/>
      <c r="H255" s="702"/>
      <c r="I255" s="178" t="s">
        <v>1177</v>
      </c>
      <c r="J255" s="236"/>
      <c r="K255" s="702"/>
      <c r="L255" s="833"/>
      <c r="M255" s="1055"/>
      <c r="N255" s="782"/>
      <c r="O255" s="130"/>
      <c r="P255" s="130"/>
      <c r="AH255" s="50">
        <v>0</v>
      </c>
    </row>
    <row r="256" s="50" customFormat="1" ht="0.75" hidden="1" customHeight="1">
      <c r="A256" s="144"/>
      <c r="B256" s="144"/>
      <c r="C256" s="396" t="s">
        <v>1185</v>
      </c>
      <c r="D256" s="1069"/>
      <c r="E256" s="345"/>
      <c r="F256" s="79"/>
      <c r="G256" s="1068"/>
      <c r="H256" s="702"/>
      <c r="I256" s="178"/>
      <c r="J256" s="236"/>
      <c r="K256" s="702"/>
      <c r="L256" s="833"/>
      <c r="M256" s="1055"/>
      <c r="N256" s="782"/>
      <c r="O256" s="130"/>
      <c r="P256" s="130"/>
      <c r="AH256" s="50">
        <v>0</v>
      </c>
    </row>
    <row r="257" s="50" customFormat="1" ht="18.75" hidden="1" customHeight="1">
      <c r="A257" s="144" t="s">
        <v>254</v>
      </c>
      <c r="B257" s="144" t="s">
        <v>255</v>
      </c>
      <c r="C257" s="396"/>
      <c r="D257" s="1069"/>
      <c r="E257" s="345"/>
      <c r="F257" s="79" t="str">
        <f>INDEX(PT_DIFFERENTIATION_VTAR,MATCH(A257,PT_DIFFERENTIATION_VTAR_ID,0))</f>
        <v xml:space="preserve">Тариф на подключение (технологическое присоединение) к централизованной системе горячего водоснабжения</v>
      </c>
      <c r="G257" s="984" t="str">
        <f>INDEX(PT_DIFFERENTIATION_NTAR,MATCH(B257,PT_DIFFERENTIATION_NTAR_ID,0))</f>
        <v/>
      </c>
      <c r="H257" s="418"/>
      <c r="I257" s="1059"/>
      <c r="J257" s="1060"/>
      <c r="K257" s="434"/>
      <c r="L257" s="418" t="s">
        <v>300</v>
      </c>
      <c r="M257" s="1055"/>
      <c r="N257" s="782"/>
      <c r="O257" s="130"/>
      <c r="P257" s="130"/>
      <c r="AH257" s="50">
        <v>0</v>
      </c>
    </row>
    <row r="258" s="50" customFormat="1" ht="18.75" hidden="1" customHeight="1">
      <c r="A258" s="144"/>
      <c r="B258" s="144"/>
      <c r="C258" s="396" t="s">
        <v>1178</v>
      </c>
      <c r="D258" s="1069"/>
      <c r="E258" s="345"/>
      <c r="F258" s="79"/>
      <c r="G258" s="984"/>
      <c r="H258" s="702"/>
      <c r="I258" s="178" t="s">
        <v>1177</v>
      </c>
      <c r="J258" s="236"/>
      <c r="K258" s="702"/>
      <c r="L258" s="833"/>
      <c r="M258" s="1055"/>
      <c r="N258" s="782"/>
      <c r="O258" s="130"/>
      <c r="P258" s="130"/>
      <c r="AH258" s="50">
        <v>0</v>
      </c>
    </row>
    <row r="259" s="50" customFormat="1" ht="0.75" hidden="1" customHeight="1">
      <c r="A259" s="144"/>
      <c r="B259" s="144"/>
      <c r="C259" s="396" t="s">
        <v>1185</v>
      </c>
      <c r="D259" s="1069"/>
      <c r="E259" s="345"/>
      <c r="F259" s="79"/>
      <c r="G259" s="1068"/>
      <c r="H259" s="702"/>
      <c r="I259" s="178"/>
      <c r="J259" s="236"/>
      <c r="K259" s="702"/>
      <c r="L259" s="833"/>
      <c r="M259" s="1055"/>
      <c r="N259" s="782"/>
      <c r="O259" s="130"/>
      <c r="P259" s="130"/>
      <c r="AH259" s="50">
        <v>0</v>
      </c>
    </row>
    <row r="260" s="50" customFormat="1" ht="18.75" hidden="1" customHeight="1">
      <c r="A260" s="144" t="s">
        <v>259</v>
      </c>
      <c r="B260" s="144" t="s">
        <v>260</v>
      </c>
      <c r="C260" s="396"/>
      <c r="D260" s="1069"/>
      <c r="E260" s="345"/>
      <c r="F260" s="79" t="str">
        <f>INDEX(PT_DIFFERENTIATION_VTAR,MATCH(A260,PT_DIFFERENTIATION_VTAR_ID,0))</f>
        <v xml:space="preserve">Тариф на водоотведение</v>
      </c>
      <c r="G260" s="984" t="str">
        <f>INDEX(PT_DIFFERENTIATION_NTAR,MATCH(B260,PT_DIFFERENTIATION_NTAR_ID,0))</f>
        <v/>
      </c>
      <c r="H260" s="418"/>
      <c r="I260" s="1059"/>
      <c r="J260" s="1060"/>
      <c r="K260" s="434"/>
      <c r="L260" s="418" t="s">
        <v>300</v>
      </c>
      <c r="M260" s="1055"/>
      <c r="N260" s="782"/>
      <c r="O260" s="130"/>
      <c r="P260" s="130"/>
      <c r="AH260" s="50">
        <v>0</v>
      </c>
    </row>
    <row r="261" s="50" customFormat="1" ht="18.75" hidden="1" customHeight="1">
      <c r="A261" s="144"/>
      <c r="B261" s="144"/>
      <c r="C261" s="396" t="s">
        <v>1178</v>
      </c>
      <c r="D261" s="1069"/>
      <c r="E261" s="345"/>
      <c r="F261" s="79"/>
      <c r="G261" s="984"/>
      <c r="H261" s="702"/>
      <c r="I261" s="178" t="s">
        <v>1177</v>
      </c>
      <c r="J261" s="236"/>
      <c r="K261" s="702"/>
      <c r="L261" s="833"/>
      <c r="M261" s="1055"/>
      <c r="N261" s="782"/>
      <c r="O261" s="130"/>
      <c r="P261" s="130"/>
      <c r="AH261" s="50">
        <v>0</v>
      </c>
    </row>
    <row r="262" s="50" customFormat="1" ht="0.75" hidden="1" customHeight="1">
      <c r="A262" s="144"/>
      <c r="B262" s="144"/>
      <c r="C262" s="396" t="s">
        <v>1185</v>
      </c>
      <c r="D262" s="1069"/>
      <c r="E262" s="345"/>
      <c r="F262" s="79"/>
      <c r="G262" s="1068"/>
      <c r="H262" s="702"/>
      <c r="I262" s="178"/>
      <c r="J262" s="236"/>
      <c r="K262" s="702"/>
      <c r="L262" s="833"/>
      <c r="M262" s="1055"/>
      <c r="N262" s="782"/>
      <c r="O262" s="130"/>
      <c r="P262" s="130"/>
      <c r="AH262" s="50">
        <v>0</v>
      </c>
    </row>
    <row r="263" s="50" customFormat="1" ht="18.75" hidden="1" customHeight="1">
      <c r="A263" s="144" t="s">
        <v>264</v>
      </c>
      <c r="B263" s="144" t="s">
        <v>265</v>
      </c>
      <c r="C263" s="396"/>
      <c r="D263" s="1069"/>
      <c r="E263" s="345"/>
      <c r="F263" s="79" t="str">
        <f>INDEX(PT_DIFFERENTIATION_VTAR,MATCH(A263,PT_DIFFERENTIATION_VTAR_ID,0))</f>
        <v xml:space="preserve">Тариф на транспортировку сточных вод</v>
      </c>
      <c r="G263" s="984" t="str">
        <f>INDEX(PT_DIFFERENTIATION_NTAR,MATCH(B263,PT_DIFFERENTIATION_NTAR_ID,0))</f>
        <v/>
      </c>
      <c r="H263" s="418"/>
      <c r="I263" s="1059"/>
      <c r="J263" s="1060"/>
      <c r="K263" s="434"/>
      <c r="L263" s="418" t="s">
        <v>300</v>
      </c>
      <c r="M263" s="1055"/>
      <c r="N263" s="782"/>
      <c r="O263" s="130"/>
      <c r="P263" s="130"/>
      <c r="AH263" s="50">
        <v>0</v>
      </c>
    </row>
    <row r="264" s="50" customFormat="1" ht="18.75" hidden="1" customHeight="1">
      <c r="A264" s="144"/>
      <c r="B264" s="144"/>
      <c r="C264" s="396" t="s">
        <v>1178</v>
      </c>
      <c r="D264" s="1069"/>
      <c r="E264" s="345"/>
      <c r="F264" s="79"/>
      <c r="G264" s="984"/>
      <c r="H264" s="702"/>
      <c r="I264" s="178" t="s">
        <v>1177</v>
      </c>
      <c r="J264" s="236"/>
      <c r="K264" s="702"/>
      <c r="L264" s="833"/>
      <c r="M264" s="1055"/>
      <c r="N264" s="782"/>
      <c r="O264" s="130"/>
      <c r="P264" s="130"/>
      <c r="AH264" s="50">
        <v>0</v>
      </c>
    </row>
    <row r="265" s="50" customFormat="1" ht="0.75" hidden="1" customHeight="1">
      <c r="A265" s="144"/>
      <c r="B265" s="144"/>
      <c r="C265" s="396" t="s">
        <v>1185</v>
      </c>
      <c r="D265" s="1069"/>
      <c r="E265" s="345"/>
      <c r="F265" s="79"/>
      <c r="G265" s="1068"/>
      <c r="H265" s="702"/>
      <c r="I265" s="178"/>
      <c r="J265" s="236"/>
      <c r="K265" s="702"/>
      <c r="L265" s="833"/>
      <c r="M265" s="1055"/>
      <c r="N265" s="782"/>
      <c r="O265" s="130"/>
      <c r="P265" s="130"/>
      <c r="AH265" s="50">
        <v>0</v>
      </c>
    </row>
    <row r="266" s="50" customFormat="1" ht="18.75" hidden="1" customHeight="1">
      <c r="A266" s="144" t="s">
        <v>269</v>
      </c>
      <c r="B266" s="144" t="s">
        <v>270</v>
      </c>
      <c r="C266" s="396"/>
      <c r="D266" s="1069"/>
      <c r="E266" s="345"/>
      <c r="F266" s="79" t="str">
        <f>INDEX(PT_DIFFERENTIATION_VTAR,MATCH(A266,PT_DIFFERENTIATION_VTAR_ID,0))</f>
        <v xml:space="preserve">Тариф на подключение (технологическое присоединение) к централизованной системе водоотведения</v>
      </c>
      <c r="G266" s="984" t="str">
        <f>INDEX(PT_DIFFERENTIATION_NTAR,MATCH(B266,PT_DIFFERENTIATION_NTAR_ID,0))</f>
        <v/>
      </c>
      <c r="H266" s="418"/>
      <c r="I266" s="1059"/>
      <c r="J266" s="1060"/>
      <c r="K266" s="434"/>
      <c r="L266" s="418" t="s">
        <v>300</v>
      </c>
      <c r="M266" s="1055"/>
      <c r="N266" s="782"/>
      <c r="O266" s="130"/>
      <c r="P266" s="130"/>
      <c r="AH266" s="50">
        <v>0</v>
      </c>
    </row>
    <row r="267" s="50" customFormat="1" ht="18.75" hidden="1" customHeight="1">
      <c r="A267" s="144"/>
      <c r="B267" s="144"/>
      <c r="C267" s="396" t="s">
        <v>1178</v>
      </c>
      <c r="D267" s="1069"/>
      <c r="E267" s="345"/>
      <c r="F267" s="79"/>
      <c r="G267" s="984"/>
      <c r="H267" s="702"/>
      <c r="I267" s="178" t="s">
        <v>1177</v>
      </c>
      <c r="J267" s="236"/>
      <c r="K267" s="702"/>
      <c r="L267" s="833"/>
      <c r="M267" s="1055"/>
      <c r="N267" s="782"/>
      <c r="O267" s="130"/>
      <c r="P267" s="130"/>
      <c r="AH267" s="50">
        <v>0</v>
      </c>
    </row>
    <row r="268" s="50" customFormat="1" ht="1.05" customHeight="1">
      <c r="A268" s="144"/>
      <c r="B268" s="144"/>
      <c r="C268" s="396" t="s">
        <v>1185</v>
      </c>
      <c r="D268" s="1069"/>
      <c r="E268" s="345"/>
      <c r="F268" s="79"/>
      <c r="G268" s="1068"/>
      <c r="H268" s="702"/>
      <c r="I268" s="178"/>
      <c r="J268" s="236"/>
      <c r="K268" s="702"/>
      <c r="L268" s="833"/>
      <c r="M268" s="1055"/>
      <c r="N268" s="782"/>
      <c r="O268" s="130"/>
      <c r="P268" s="130"/>
      <c r="AH268" s="50">
        <v>1</v>
      </c>
    </row>
    <row r="269" ht="27.300000000000001" customHeight="1">
      <c r="A269" s="144"/>
      <c r="B269" s="144"/>
      <c r="D269" s="540"/>
      <c r="E269" s="345" t="s">
        <v>91</v>
      </c>
      <c r="F269" s="83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 xml:space="preserve">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831"/>
      <c r="H269" s="831"/>
      <c r="I269" s="831"/>
      <c r="J269" s="831"/>
      <c r="K269" s="831"/>
      <c r="L269" s="831"/>
      <c r="M269" s="823"/>
      <c r="N269" s="782"/>
      <c r="AH269" s="50">
        <v>26</v>
      </c>
    </row>
    <row r="270" s="50" customFormat="1" ht="60.75" hidden="1" customHeight="1">
      <c r="A270" s="144" t="s">
        <v>151</v>
      </c>
      <c r="B270" s="144" t="s">
        <v>152</v>
      </c>
      <c r="C270" s="396"/>
      <c r="D270" s="1069"/>
      <c r="E270" s="345"/>
      <c r="F270" s="79" t="str">
        <f>INDEX(PT_DIFFERENTIATION_VTAR,MATCH(A270,PT_DIFFERENTIATION_VTAR_ID,0))</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984" t="str">
        <f>INDEX(PT_DIFFERENTIATION_NTAR,MATCH(B270,PT_DIFFERENTIATION_NTAR_ID,0))</f>
        <v/>
      </c>
      <c r="H270" s="418"/>
      <c r="I270" s="1059"/>
      <c r="J270" s="1060"/>
      <c r="K270" s="434"/>
      <c r="L270" s="418" t="s">
        <v>300</v>
      </c>
      <c r="M270" s="286"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 xml:space="preserve">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782"/>
      <c r="O270" s="130"/>
      <c r="P270" s="130"/>
      <c r="AH270" s="50">
        <v>0</v>
      </c>
    </row>
    <row r="271" s="50" customFormat="1" ht="18.75" hidden="1" customHeight="1">
      <c r="A271" s="144"/>
      <c r="B271" s="144"/>
      <c r="C271" s="396" t="s">
        <v>1178</v>
      </c>
      <c r="D271" s="1069"/>
      <c r="E271" s="345"/>
      <c r="F271" s="79"/>
      <c r="G271" s="984"/>
      <c r="H271" s="702"/>
      <c r="I271" s="178" t="s">
        <v>1177</v>
      </c>
      <c r="J271" s="236"/>
      <c r="K271" s="702"/>
      <c r="L271" s="833"/>
      <c r="M271" s="288"/>
      <c r="N271" s="782"/>
      <c r="O271" s="130"/>
      <c r="P271" s="130"/>
      <c r="AH271" s="50">
        <v>0</v>
      </c>
    </row>
    <row r="272" s="50" customFormat="1" ht="0.75" hidden="1" customHeight="1">
      <c r="A272" s="144"/>
      <c r="B272" s="144"/>
      <c r="C272" s="396" t="s">
        <v>1185</v>
      </c>
      <c r="D272" s="1069"/>
      <c r="E272" s="345"/>
      <c r="F272" s="79"/>
      <c r="G272" s="1068"/>
      <c r="H272" s="702"/>
      <c r="I272" s="178"/>
      <c r="J272" s="236"/>
      <c r="K272" s="702"/>
      <c r="L272" s="833"/>
      <c r="M272" s="288"/>
      <c r="N272" s="782"/>
      <c r="O272" s="130"/>
      <c r="P272" s="130"/>
      <c r="AH272" s="50">
        <v>0</v>
      </c>
    </row>
    <row r="273" s="50" customFormat="1" ht="45" hidden="1" customHeight="1">
      <c r="A273" s="144" t="s">
        <v>156</v>
      </c>
      <c r="B273" s="144" t="s">
        <v>157</v>
      </c>
      <c r="C273" s="396"/>
      <c r="D273" s="1069"/>
      <c r="E273" s="345"/>
      <c r="F273" s="79" t="str">
        <f>INDEX(PT_DIFFERENTIATION_VTAR,MATCH(A273,PT_DIFFERENTIATION_VTAR_ID,0))</f>
        <v/>
      </c>
      <c r="G273" s="984" t="str">
        <f>INDEX(PT_DIFFERENTIATION_NTAR,MATCH(B273,PT_DIFFERENTIATION_NTAR_ID,0))</f>
        <v/>
      </c>
      <c r="H273" s="418"/>
      <c r="I273" s="1059"/>
      <c r="J273" s="1060"/>
      <c r="K273" s="434"/>
      <c r="L273" s="418" t="s">
        <v>300</v>
      </c>
      <c r="M273" s="290"/>
      <c r="N273" s="782"/>
      <c r="O273" s="130"/>
      <c r="P273" s="130"/>
      <c r="AH273" s="50">
        <v>0</v>
      </c>
    </row>
    <row r="274" s="50" customFormat="1" ht="18.75" hidden="1" customHeight="1">
      <c r="A274" s="144"/>
      <c r="B274" s="144"/>
      <c r="C274" s="396" t="s">
        <v>1178</v>
      </c>
      <c r="D274" s="1069"/>
      <c r="E274" s="345"/>
      <c r="F274" s="79"/>
      <c r="G274" s="984"/>
      <c r="H274" s="702"/>
      <c r="I274" s="178" t="s">
        <v>1177</v>
      </c>
      <c r="J274" s="236"/>
      <c r="K274" s="702"/>
      <c r="L274" s="833"/>
      <c r="M274" s="288"/>
      <c r="N274" s="782"/>
      <c r="O274" s="130"/>
      <c r="P274" s="130"/>
      <c r="AH274" s="50">
        <v>0</v>
      </c>
    </row>
    <row r="275" s="50" customFormat="1" ht="0.75" hidden="1" customHeight="1">
      <c r="A275" s="144"/>
      <c r="B275" s="144"/>
      <c r="C275" s="396" t="s">
        <v>1185</v>
      </c>
      <c r="D275" s="1069"/>
      <c r="E275" s="345"/>
      <c r="F275" s="79"/>
      <c r="G275" s="1068"/>
      <c r="H275" s="702"/>
      <c r="I275" s="178"/>
      <c r="J275" s="236"/>
      <c r="K275" s="702"/>
      <c r="L275" s="833"/>
      <c r="M275" s="1055"/>
      <c r="N275" s="782"/>
      <c r="O275" s="130"/>
      <c r="P275" s="130"/>
      <c r="AH275" s="50">
        <v>0</v>
      </c>
    </row>
    <row r="276" s="50" customFormat="1" ht="45" hidden="1" customHeight="1">
      <c r="A276" s="144" t="s">
        <v>163</v>
      </c>
      <c r="B276" s="144" t="s">
        <v>164</v>
      </c>
      <c r="C276" s="396"/>
      <c r="D276" s="1069"/>
      <c r="E276" s="345"/>
      <c r="F276" s="79" t="str">
        <f>INDEX(PT_DIFFERENTIATION_VTAR,MATCH(A276,PT_DIFFERENTIATION_VTAR_ID,0))</f>
        <v xml:space="preserve">Тарифы на теплоноситель, поставляемый теплоснабжающими организациями потребителям, другим теплоснабжающим организациям</v>
      </c>
      <c r="G276" s="984" t="str">
        <f>INDEX(PT_DIFFERENTIATION_NTAR,MATCH(B276,PT_DIFFERENTIATION_NTAR_ID,0))</f>
        <v/>
      </c>
      <c r="H276" s="418"/>
      <c r="I276" s="1059"/>
      <c r="J276" s="1060"/>
      <c r="K276" s="434"/>
      <c r="L276" s="418" t="s">
        <v>300</v>
      </c>
      <c r="M276" s="1055"/>
      <c r="N276" s="782"/>
      <c r="O276" s="130"/>
      <c r="P276" s="130"/>
      <c r="AH276" s="50">
        <v>0</v>
      </c>
    </row>
    <row r="277" s="50" customFormat="1" ht="18.75" hidden="1" customHeight="1">
      <c r="A277" s="144"/>
      <c r="B277" s="144"/>
      <c r="C277" s="396" t="s">
        <v>1178</v>
      </c>
      <c r="D277" s="1069"/>
      <c r="E277" s="345"/>
      <c r="F277" s="79"/>
      <c r="G277" s="984"/>
      <c r="H277" s="702"/>
      <c r="I277" s="178" t="s">
        <v>1177</v>
      </c>
      <c r="J277" s="236"/>
      <c r="K277" s="702"/>
      <c r="L277" s="833"/>
      <c r="M277" s="1055"/>
      <c r="N277" s="782"/>
      <c r="O277" s="130"/>
      <c r="P277" s="130"/>
      <c r="AH277" s="50">
        <v>0</v>
      </c>
    </row>
    <row r="278" s="50" customFormat="1" ht="0.75" hidden="1" customHeight="1">
      <c r="A278" s="144"/>
      <c r="B278" s="144"/>
      <c r="C278" s="396" t="s">
        <v>1185</v>
      </c>
      <c r="D278" s="1069"/>
      <c r="E278" s="345"/>
      <c r="F278" s="79"/>
      <c r="G278" s="1068"/>
      <c r="H278" s="702"/>
      <c r="I278" s="178"/>
      <c r="J278" s="236"/>
      <c r="K278" s="702"/>
      <c r="L278" s="833"/>
      <c r="M278" s="1055"/>
      <c r="N278" s="782"/>
      <c r="O278" s="130"/>
      <c r="P278" s="130"/>
      <c r="AH278" s="50">
        <v>0</v>
      </c>
    </row>
    <row r="279" s="50" customFormat="1" ht="45" hidden="1" customHeight="1">
      <c r="A279" s="144" t="s">
        <v>169</v>
      </c>
      <c r="B279" s="144" t="s">
        <v>170</v>
      </c>
      <c r="C279" s="396"/>
      <c r="D279" s="1069"/>
      <c r="E279" s="345"/>
      <c r="F279" s="79" t="str">
        <f>INDEX(PT_DIFFERENTIATION_VTAR,MATCH(A279,PT_DIFFERENTIATION_VTAR_ID,0))</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984" t="str">
        <f>INDEX(PT_DIFFERENTIATION_NTAR,MATCH(B279,PT_DIFFERENTIATION_NTAR_ID,0))</f>
        <v/>
      </c>
      <c r="H279" s="418"/>
      <c r="I279" s="1059"/>
      <c r="J279" s="1060"/>
      <c r="K279" s="434"/>
      <c r="L279" s="418" t="s">
        <v>300</v>
      </c>
      <c r="M279" s="1055"/>
      <c r="N279" s="782"/>
      <c r="O279" s="130"/>
      <c r="P279" s="130"/>
      <c r="AH279" s="50">
        <v>0</v>
      </c>
    </row>
    <row r="280" s="50" customFormat="1" ht="18.75" hidden="1" customHeight="1">
      <c r="A280" s="144"/>
      <c r="B280" s="144"/>
      <c r="C280" s="396" t="s">
        <v>1178</v>
      </c>
      <c r="D280" s="1069"/>
      <c r="E280" s="345"/>
      <c r="F280" s="79"/>
      <c r="G280" s="984"/>
      <c r="H280" s="702"/>
      <c r="I280" s="178" t="s">
        <v>1177</v>
      </c>
      <c r="J280" s="236"/>
      <c r="K280" s="702"/>
      <c r="L280" s="833"/>
      <c r="M280" s="1055"/>
      <c r="N280" s="782"/>
      <c r="O280" s="130"/>
      <c r="P280" s="130"/>
      <c r="AH280" s="50">
        <v>0</v>
      </c>
    </row>
    <row r="281" s="50" customFormat="1" ht="0.75" hidden="1" customHeight="1">
      <c r="A281" s="144"/>
      <c r="B281" s="144"/>
      <c r="C281" s="396" t="s">
        <v>1185</v>
      </c>
      <c r="D281" s="1069"/>
      <c r="E281" s="345"/>
      <c r="F281" s="79"/>
      <c r="G281" s="1068"/>
      <c r="H281" s="702"/>
      <c r="I281" s="178"/>
      <c r="J281" s="236"/>
      <c r="K281" s="702"/>
      <c r="L281" s="833"/>
      <c r="M281" s="1055"/>
      <c r="N281" s="782"/>
      <c r="O281" s="130"/>
      <c r="P281" s="130"/>
      <c r="AH281" s="50">
        <v>0</v>
      </c>
    </row>
    <row r="282" s="50" customFormat="1" ht="18.75" hidden="1" customHeight="1">
      <c r="A282" s="144" t="s">
        <v>175</v>
      </c>
      <c r="B282" s="144" t="s">
        <v>176</v>
      </c>
      <c r="C282" s="396"/>
      <c r="D282" s="1069"/>
      <c r="E282" s="345"/>
      <c r="F282" s="79" t="str">
        <f>INDEX(PT_DIFFERENTIATION_VTAR,MATCH(A282,PT_DIFFERENTIATION_VTAR_ID,0))</f>
        <v xml:space="preserve">Тарифы на услуги по передаче тепловой энергии</v>
      </c>
      <c r="G282" s="984" t="str">
        <f>INDEX(PT_DIFFERENTIATION_NTAR,MATCH(B282,PT_DIFFERENTIATION_NTAR_ID,0))</f>
        <v/>
      </c>
      <c r="H282" s="418"/>
      <c r="I282" s="1059"/>
      <c r="J282" s="1060"/>
      <c r="K282" s="434"/>
      <c r="L282" s="418" t="s">
        <v>300</v>
      </c>
      <c r="M282" s="1055"/>
      <c r="N282" s="782"/>
      <c r="O282" s="130"/>
      <c r="P282" s="130"/>
      <c r="AH282" s="50">
        <v>0</v>
      </c>
    </row>
    <row r="283" s="50" customFormat="1" ht="18.75" hidden="1" customHeight="1">
      <c r="A283" s="144"/>
      <c r="B283" s="144"/>
      <c r="C283" s="396" t="s">
        <v>1178</v>
      </c>
      <c r="D283" s="1069"/>
      <c r="E283" s="345"/>
      <c r="F283" s="79"/>
      <c r="G283" s="984"/>
      <c r="H283" s="702"/>
      <c r="I283" s="178" t="s">
        <v>1177</v>
      </c>
      <c r="J283" s="236"/>
      <c r="K283" s="702"/>
      <c r="L283" s="833"/>
      <c r="M283" s="1055"/>
      <c r="N283" s="782"/>
      <c r="O283" s="130"/>
      <c r="P283" s="130"/>
      <c r="AH283" s="50">
        <v>0</v>
      </c>
    </row>
    <row r="284" s="50" customFormat="1" ht="0.75" hidden="1" customHeight="1">
      <c r="A284" s="144"/>
      <c r="B284" s="144"/>
      <c r="C284" s="396" t="s">
        <v>1185</v>
      </c>
      <c r="D284" s="1069"/>
      <c r="E284" s="345"/>
      <c r="F284" s="79"/>
      <c r="G284" s="1068"/>
      <c r="H284" s="702"/>
      <c r="I284" s="178"/>
      <c r="J284" s="236"/>
      <c r="K284" s="702"/>
      <c r="L284" s="833"/>
      <c r="M284" s="1055"/>
      <c r="N284" s="782"/>
      <c r="O284" s="130"/>
      <c r="P284" s="130"/>
      <c r="AH284" s="50">
        <v>0</v>
      </c>
    </row>
    <row r="285" s="50" customFormat="1" ht="18.75" hidden="1" customHeight="1">
      <c r="A285" s="144" t="s">
        <v>181</v>
      </c>
      <c r="B285" s="144" t="s">
        <v>182</v>
      </c>
      <c r="C285" s="396"/>
      <c r="D285" s="1069"/>
      <c r="E285" s="345"/>
      <c r="F285" s="79" t="str">
        <f>INDEX(PT_DIFFERENTIATION_VTAR,MATCH(A285,PT_DIFFERENTIATION_VTAR_ID,0))</f>
        <v xml:space="preserve">Тарифы на услуги по передаче теплоносителя</v>
      </c>
      <c r="G285" s="984" t="str">
        <f>INDEX(PT_DIFFERENTIATION_NTAR,MATCH(B285,PT_DIFFERENTIATION_NTAR_ID,0))</f>
        <v/>
      </c>
      <c r="H285" s="418"/>
      <c r="I285" s="1059"/>
      <c r="J285" s="1060"/>
      <c r="K285" s="434"/>
      <c r="L285" s="418" t="s">
        <v>300</v>
      </c>
      <c r="M285" s="1055"/>
      <c r="N285" s="782"/>
      <c r="O285" s="130"/>
      <c r="P285" s="130"/>
      <c r="AH285" s="50">
        <v>0</v>
      </c>
    </row>
    <row r="286" s="50" customFormat="1" ht="18.75" hidden="1" customHeight="1">
      <c r="A286" s="144"/>
      <c r="B286" s="144"/>
      <c r="C286" s="396" t="s">
        <v>1178</v>
      </c>
      <c r="D286" s="1069"/>
      <c r="E286" s="345"/>
      <c r="F286" s="79"/>
      <c r="G286" s="984"/>
      <c r="H286" s="702"/>
      <c r="I286" s="178" t="s">
        <v>1177</v>
      </c>
      <c r="J286" s="236"/>
      <c r="K286" s="702"/>
      <c r="L286" s="833"/>
      <c r="M286" s="1055"/>
      <c r="N286" s="782"/>
      <c r="O286" s="130"/>
      <c r="P286" s="130"/>
      <c r="AH286" s="50">
        <v>0</v>
      </c>
    </row>
    <row r="287" s="50" customFormat="1" ht="0.75" hidden="1" customHeight="1">
      <c r="A287" s="144"/>
      <c r="B287" s="144"/>
      <c r="C287" s="396" t="s">
        <v>1185</v>
      </c>
      <c r="D287" s="1069"/>
      <c r="E287" s="345"/>
      <c r="F287" s="79"/>
      <c r="G287" s="1068"/>
      <c r="H287" s="702"/>
      <c r="I287" s="178"/>
      <c r="J287" s="236"/>
      <c r="K287" s="702"/>
      <c r="L287" s="833"/>
      <c r="M287" s="1055"/>
      <c r="N287" s="782"/>
      <c r="O287" s="130"/>
      <c r="P287" s="130"/>
      <c r="AH287" s="50">
        <v>0</v>
      </c>
    </row>
    <row r="288" s="50" customFormat="1" ht="18.75" hidden="1" customHeight="1">
      <c r="A288" s="144" t="s">
        <v>187</v>
      </c>
      <c r="B288" s="144" t="s">
        <v>188</v>
      </c>
      <c r="C288" s="396"/>
      <c r="D288" s="1069"/>
      <c r="E288" s="345"/>
      <c r="F288" s="79" t="str">
        <f>INDEX(PT_DIFFERENTIATION_VTAR,MATCH(A288,PT_DIFFERENTIATION_VTAR_ID,0))</f>
        <v xml:space="preserve">Плата за услуги по поддержанию резервной тепловой мощности при отсутствии потребления тепловой энергии</v>
      </c>
      <c r="G288" s="984" t="str">
        <f>INDEX(PT_DIFFERENTIATION_NTAR,MATCH(B288,PT_DIFFERENTIATION_NTAR_ID,0))</f>
        <v/>
      </c>
      <c r="H288" s="418"/>
      <c r="I288" s="1059"/>
      <c r="J288" s="1060"/>
      <c r="K288" s="434"/>
      <c r="L288" s="418" t="s">
        <v>300</v>
      </c>
      <c r="M288" s="1055"/>
      <c r="N288" s="782"/>
      <c r="O288" s="130"/>
      <c r="P288" s="130"/>
      <c r="AH288" s="50">
        <v>0</v>
      </c>
    </row>
    <row r="289" s="50" customFormat="1" ht="18.75" hidden="1" customHeight="1">
      <c r="A289" s="144"/>
      <c r="B289" s="144"/>
      <c r="C289" s="396" t="s">
        <v>1178</v>
      </c>
      <c r="D289" s="1069"/>
      <c r="E289" s="345"/>
      <c r="F289" s="79"/>
      <c r="G289" s="984"/>
      <c r="H289" s="702"/>
      <c r="I289" s="178" t="s">
        <v>1177</v>
      </c>
      <c r="J289" s="236"/>
      <c r="K289" s="702"/>
      <c r="L289" s="833"/>
      <c r="M289" s="1055"/>
      <c r="N289" s="782"/>
      <c r="O289" s="130"/>
      <c r="P289" s="130"/>
      <c r="AH289" s="50">
        <v>0</v>
      </c>
    </row>
    <row r="290" s="50" customFormat="1" ht="0.75" hidden="1" customHeight="1">
      <c r="A290" s="144"/>
      <c r="B290" s="144"/>
      <c r="C290" s="396" t="s">
        <v>1185</v>
      </c>
      <c r="D290" s="1069"/>
      <c r="E290" s="345"/>
      <c r="F290" s="79"/>
      <c r="G290" s="1068"/>
      <c r="H290" s="702"/>
      <c r="I290" s="178"/>
      <c r="J290" s="236"/>
      <c r="K290" s="702"/>
      <c r="L290" s="833"/>
      <c r="M290" s="1055"/>
      <c r="N290" s="782"/>
      <c r="O290" s="130"/>
      <c r="P290" s="130"/>
      <c r="AH290" s="50">
        <v>0</v>
      </c>
    </row>
    <row r="291" s="50" customFormat="1" ht="18.75" hidden="1" customHeight="1">
      <c r="A291" s="144" t="s">
        <v>193</v>
      </c>
      <c r="B291" s="144" t="s">
        <v>194</v>
      </c>
      <c r="C291" s="396"/>
      <c r="D291" s="1069"/>
      <c r="E291" s="345"/>
      <c r="F291" s="79" t="str">
        <f>INDEX(PT_DIFFERENTIATION_VTAR,MATCH(A291,PT_DIFFERENTIATION_VTAR_ID,0))</f>
        <v xml:space="preserve">Плата за подключение (технологическое присоединение) к системе теплоснабжения</v>
      </c>
      <c r="G291" s="984" t="str">
        <f>INDEX(PT_DIFFERENTIATION_NTAR,MATCH(B291,PT_DIFFERENTIATION_NTAR_ID,0))</f>
        <v/>
      </c>
      <c r="H291" s="418"/>
      <c r="I291" s="1059"/>
      <c r="J291" s="1060"/>
      <c r="K291" s="434"/>
      <c r="L291" s="418" t="s">
        <v>300</v>
      </c>
      <c r="M291" s="1055"/>
      <c r="N291" s="782"/>
      <c r="O291" s="130"/>
      <c r="P291" s="130"/>
      <c r="AH291" s="50">
        <v>0</v>
      </c>
    </row>
    <row r="292" s="50" customFormat="1" ht="18.75" hidden="1" customHeight="1">
      <c r="A292" s="144"/>
      <c r="B292" s="144"/>
      <c r="C292" s="396" t="s">
        <v>1178</v>
      </c>
      <c r="D292" s="1069"/>
      <c r="E292" s="345"/>
      <c r="F292" s="79"/>
      <c r="G292" s="984"/>
      <c r="H292" s="702"/>
      <c r="I292" s="178" t="s">
        <v>1177</v>
      </c>
      <c r="J292" s="236"/>
      <c r="K292" s="702"/>
      <c r="L292" s="833"/>
      <c r="M292" s="1055"/>
      <c r="N292" s="782"/>
      <c r="O292" s="130"/>
      <c r="P292" s="130"/>
      <c r="AH292" s="50">
        <v>0</v>
      </c>
    </row>
    <row r="293" s="50" customFormat="1" ht="0.75" hidden="1" customHeight="1">
      <c r="A293" s="144"/>
      <c r="B293" s="144"/>
      <c r="C293" s="396" t="s">
        <v>1185</v>
      </c>
      <c r="D293" s="1069"/>
      <c r="E293" s="345"/>
      <c r="F293" s="79"/>
      <c r="G293" s="1068"/>
      <c r="H293" s="702"/>
      <c r="I293" s="178"/>
      <c r="J293" s="236"/>
      <c r="K293" s="702"/>
      <c r="L293" s="833"/>
      <c r="M293" s="1055"/>
      <c r="N293" s="782"/>
      <c r="O293" s="130"/>
      <c r="P293" s="130"/>
      <c r="AH293" s="50">
        <v>0</v>
      </c>
    </row>
    <row r="294" s="50" customFormat="1" ht="18.75" hidden="1" customHeight="1">
      <c r="A294" s="144" t="s">
        <v>199</v>
      </c>
      <c r="B294" s="144" t="s">
        <v>200</v>
      </c>
      <c r="C294" s="396"/>
      <c r="D294" s="1069"/>
      <c r="E294" s="345"/>
      <c r="F294" s="79" t="str">
        <f>INDEX(PT_DIFFERENTIATION_VTAR,MATCH(A294,PT_DIFFERENTIATION_VTAR_ID,0))</f>
        <v xml:space="preserve">Плата за подключение (технологическое присоединение) к системе теплоснабжения (индивидуальная)</v>
      </c>
      <c r="G294" s="984" t="str">
        <f>INDEX(PT_DIFFERENTIATION_NTAR,MATCH(B294,PT_DIFFERENTIATION_NTAR_ID,0))</f>
        <v/>
      </c>
      <c r="H294" s="418"/>
      <c r="I294" s="1059"/>
      <c r="J294" s="1060"/>
      <c r="K294" s="434"/>
      <c r="L294" s="418" t="s">
        <v>300</v>
      </c>
      <c r="M294" s="1055"/>
      <c r="N294" s="782"/>
      <c r="O294" s="130"/>
      <c r="P294" s="130"/>
      <c r="AH294" s="50">
        <v>0</v>
      </c>
    </row>
    <row r="295" s="50" customFormat="1" ht="18.75" hidden="1" customHeight="1">
      <c r="A295" s="144"/>
      <c r="B295" s="144"/>
      <c r="C295" s="396" t="s">
        <v>1178</v>
      </c>
      <c r="D295" s="1069"/>
      <c r="E295" s="345"/>
      <c r="F295" s="79"/>
      <c r="G295" s="984"/>
      <c r="H295" s="702"/>
      <c r="I295" s="178" t="s">
        <v>1177</v>
      </c>
      <c r="J295" s="236"/>
      <c r="K295" s="702"/>
      <c r="L295" s="833"/>
      <c r="M295" s="1055"/>
      <c r="N295" s="782"/>
      <c r="O295" s="130"/>
      <c r="P295" s="130"/>
      <c r="AH295" s="50">
        <v>0</v>
      </c>
    </row>
    <row r="296" s="50" customFormat="1" ht="0.75" hidden="1" customHeight="1">
      <c r="A296" s="144"/>
      <c r="B296" s="144"/>
      <c r="C296" s="396" t="s">
        <v>1185</v>
      </c>
      <c r="D296" s="1069"/>
      <c r="E296" s="345"/>
      <c r="F296" s="79"/>
      <c r="G296" s="1068"/>
      <c r="H296" s="702"/>
      <c r="I296" s="178"/>
      <c r="J296" s="236"/>
      <c r="K296" s="702"/>
      <c r="L296" s="833"/>
      <c r="M296" s="1055"/>
      <c r="N296" s="782"/>
      <c r="O296" s="130"/>
      <c r="P296" s="130"/>
      <c r="AH296" s="50">
        <v>0</v>
      </c>
    </row>
    <row r="297" s="50" customFormat="1" ht="18.75" hidden="1" customHeight="1">
      <c r="A297" s="144" t="s">
        <v>219</v>
      </c>
      <c r="B297" s="144" t="s">
        <v>220</v>
      </c>
      <c r="C297" s="396"/>
      <c r="D297" s="1069"/>
      <c r="E297" s="345"/>
      <c r="F297" s="79" t="str">
        <f>INDEX(PT_DIFFERENTIATION_VTAR,MATCH(A297,PT_DIFFERENTIATION_VTAR_ID,0))</f>
        <v xml:space="preserve">Тариф на питьевую воду (питьевое водоснабжение)</v>
      </c>
      <c r="G297" s="984" t="str">
        <f>INDEX(PT_DIFFERENTIATION_NTAR,MATCH(B297,PT_DIFFERENTIATION_NTAR_ID,0))</f>
        <v/>
      </c>
      <c r="H297" s="418"/>
      <c r="I297" s="1059"/>
      <c r="J297" s="1060"/>
      <c r="K297" s="434"/>
      <c r="L297" s="418" t="s">
        <v>300</v>
      </c>
      <c r="M297" s="1055"/>
      <c r="N297" s="782"/>
      <c r="O297" s="130"/>
      <c r="P297" s="130"/>
      <c r="AH297" s="50">
        <v>0</v>
      </c>
    </row>
    <row r="298" s="50" customFormat="1" ht="18.75" hidden="1" customHeight="1">
      <c r="A298" s="144"/>
      <c r="B298" s="144"/>
      <c r="C298" s="396" t="s">
        <v>1178</v>
      </c>
      <c r="D298" s="1069"/>
      <c r="E298" s="345"/>
      <c r="F298" s="79"/>
      <c r="G298" s="984"/>
      <c r="H298" s="702"/>
      <c r="I298" s="178" t="s">
        <v>1177</v>
      </c>
      <c r="J298" s="236"/>
      <c r="K298" s="702"/>
      <c r="L298" s="833"/>
      <c r="M298" s="1055"/>
      <c r="N298" s="782"/>
      <c r="O298" s="130"/>
      <c r="P298" s="130"/>
      <c r="AH298" s="50">
        <v>0</v>
      </c>
    </row>
    <row r="299" s="50" customFormat="1" ht="0.75" hidden="1" customHeight="1">
      <c r="A299" s="144"/>
      <c r="B299" s="144"/>
      <c r="C299" s="396" t="s">
        <v>1185</v>
      </c>
      <c r="D299" s="1069"/>
      <c r="E299" s="345"/>
      <c r="F299" s="79"/>
      <c r="G299" s="1068"/>
      <c r="H299" s="702"/>
      <c r="I299" s="178"/>
      <c r="J299" s="236"/>
      <c r="K299" s="702"/>
      <c r="L299" s="833"/>
      <c r="M299" s="1055"/>
      <c r="N299" s="782"/>
      <c r="O299" s="130"/>
      <c r="P299" s="130"/>
      <c r="AH299" s="50">
        <v>0</v>
      </c>
    </row>
    <row r="300" s="50" customFormat="1" ht="18.75" hidden="1" customHeight="1">
      <c r="A300" s="144" t="s">
        <v>224</v>
      </c>
      <c r="B300" s="144" t="s">
        <v>225</v>
      </c>
      <c r="C300" s="396"/>
      <c r="D300" s="1069"/>
      <c r="E300" s="345"/>
      <c r="F300" s="79" t="str">
        <f>INDEX(PT_DIFFERENTIATION_VTAR,MATCH(A300,PT_DIFFERENTIATION_VTAR_ID,0))</f>
        <v xml:space="preserve">Тариф на техническую воду</v>
      </c>
      <c r="G300" s="984" t="str">
        <f>INDEX(PT_DIFFERENTIATION_NTAR,MATCH(B300,PT_DIFFERENTIATION_NTAR_ID,0))</f>
        <v/>
      </c>
      <c r="H300" s="418"/>
      <c r="I300" s="1059"/>
      <c r="J300" s="1060"/>
      <c r="K300" s="434"/>
      <c r="L300" s="418" t="s">
        <v>300</v>
      </c>
      <c r="M300" s="1055"/>
      <c r="N300" s="782"/>
      <c r="O300" s="130"/>
      <c r="P300" s="130"/>
      <c r="AH300" s="50">
        <v>0</v>
      </c>
    </row>
    <row r="301" s="50" customFormat="1" ht="18.75" hidden="1" customHeight="1">
      <c r="A301" s="144"/>
      <c r="B301" s="144"/>
      <c r="C301" s="396" t="s">
        <v>1178</v>
      </c>
      <c r="D301" s="1069"/>
      <c r="E301" s="345"/>
      <c r="F301" s="79"/>
      <c r="G301" s="984"/>
      <c r="H301" s="702"/>
      <c r="I301" s="178" t="s">
        <v>1177</v>
      </c>
      <c r="J301" s="236"/>
      <c r="K301" s="702"/>
      <c r="L301" s="833"/>
      <c r="M301" s="1055"/>
      <c r="N301" s="782"/>
      <c r="O301" s="130"/>
      <c r="P301" s="130"/>
      <c r="AH301" s="50">
        <v>0</v>
      </c>
    </row>
    <row r="302" s="50" customFormat="1" ht="0.75" hidden="1" customHeight="1">
      <c r="A302" s="144"/>
      <c r="B302" s="144"/>
      <c r="C302" s="396" t="s">
        <v>1185</v>
      </c>
      <c r="D302" s="1069"/>
      <c r="E302" s="345"/>
      <c r="F302" s="79"/>
      <c r="G302" s="1068"/>
      <c r="H302" s="702"/>
      <c r="I302" s="178"/>
      <c r="J302" s="236"/>
      <c r="K302" s="702"/>
      <c r="L302" s="833"/>
      <c r="M302" s="1055"/>
      <c r="N302" s="782"/>
      <c r="O302" s="130"/>
      <c r="P302" s="130"/>
      <c r="AH302" s="50">
        <v>0</v>
      </c>
    </row>
    <row r="303" s="50" customFormat="1" ht="18.75" hidden="1" customHeight="1">
      <c r="A303" s="144" t="s">
        <v>229</v>
      </c>
      <c r="B303" s="144" t="s">
        <v>230</v>
      </c>
      <c r="C303" s="396"/>
      <c r="D303" s="1069"/>
      <c r="E303" s="345"/>
      <c r="F303" s="79" t="str">
        <f>INDEX(PT_DIFFERENTIATION_VTAR,MATCH(A303,PT_DIFFERENTIATION_VTAR_ID,0))</f>
        <v xml:space="preserve">Тариф на транспортировку воды</v>
      </c>
      <c r="G303" s="984" t="str">
        <f>INDEX(PT_DIFFERENTIATION_NTAR,MATCH(B303,PT_DIFFERENTIATION_NTAR_ID,0))</f>
        <v/>
      </c>
      <c r="H303" s="418"/>
      <c r="I303" s="1059"/>
      <c r="J303" s="1060"/>
      <c r="K303" s="434"/>
      <c r="L303" s="418" t="s">
        <v>300</v>
      </c>
      <c r="M303" s="1055"/>
      <c r="N303" s="782"/>
      <c r="O303" s="130"/>
      <c r="P303" s="130"/>
      <c r="AH303" s="50">
        <v>0</v>
      </c>
    </row>
    <row r="304" s="50" customFormat="1" ht="18.75" hidden="1" customHeight="1">
      <c r="A304" s="144"/>
      <c r="B304" s="144"/>
      <c r="C304" s="396" t="s">
        <v>1178</v>
      </c>
      <c r="D304" s="1069"/>
      <c r="E304" s="345"/>
      <c r="F304" s="79"/>
      <c r="G304" s="984"/>
      <c r="H304" s="702"/>
      <c r="I304" s="178" t="s">
        <v>1177</v>
      </c>
      <c r="J304" s="236"/>
      <c r="K304" s="702"/>
      <c r="L304" s="833"/>
      <c r="M304" s="1055"/>
      <c r="N304" s="782"/>
      <c r="O304" s="130"/>
      <c r="P304" s="130"/>
      <c r="AH304" s="50">
        <v>0</v>
      </c>
    </row>
    <row r="305" s="50" customFormat="1" ht="0.75" hidden="1" customHeight="1">
      <c r="A305" s="144"/>
      <c r="B305" s="144"/>
      <c r="C305" s="396" t="s">
        <v>1185</v>
      </c>
      <c r="D305" s="1069"/>
      <c r="E305" s="345"/>
      <c r="F305" s="79"/>
      <c r="G305" s="1068"/>
      <c r="H305" s="702"/>
      <c r="I305" s="178"/>
      <c r="J305" s="236"/>
      <c r="K305" s="702"/>
      <c r="L305" s="833"/>
      <c r="M305" s="1055"/>
      <c r="N305" s="782"/>
      <c r="O305" s="130"/>
      <c r="P305" s="130"/>
      <c r="AH305" s="50">
        <v>0</v>
      </c>
    </row>
    <row r="306" s="50" customFormat="1" ht="18.75" hidden="1" customHeight="1">
      <c r="A306" s="144" t="s">
        <v>234</v>
      </c>
      <c r="B306" s="144" t="s">
        <v>235</v>
      </c>
      <c r="C306" s="396"/>
      <c r="D306" s="1069"/>
      <c r="E306" s="345"/>
      <c r="F306" s="79" t="str">
        <f>INDEX(PT_DIFFERENTIATION_VTAR,MATCH(A306,PT_DIFFERENTIATION_VTAR_ID,0))</f>
        <v xml:space="preserve">Тариф на подвоз воды</v>
      </c>
      <c r="G306" s="984" t="str">
        <f>INDEX(PT_DIFFERENTIATION_NTAR,MATCH(B306,PT_DIFFERENTIATION_NTAR_ID,0))</f>
        <v/>
      </c>
      <c r="H306" s="418"/>
      <c r="I306" s="1059"/>
      <c r="J306" s="1060"/>
      <c r="K306" s="434"/>
      <c r="L306" s="418" t="s">
        <v>300</v>
      </c>
      <c r="M306" s="1055"/>
      <c r="N306" s="782"/>
      <c r="O306" s="130"/>
      <c r="P306" s="130"/>
      <c r="AH306" s="50">
        <v>0</v>
      </c>
    </row>
    <row r="307" s="50" customFormat="1" ht="18.75" hidden="1" customHeight="1">
      <c r="A307" s="144"/>
      <c r="B307" s="144"/>
      <c r="C307" s="396" t="s">
        <v>1178</v>
      </c>
      <c r="D307" s="1069"/>
      <c r="E307" s="345"/>
      <c r="F307" s="79"/>
      <c r="G307" s="984"/>
      <c r="H307" s="702"/>
      <c r="I307" s="178" t="s">
        <v>1177</v>
      </c>
      <c r="J307" s="236"/>
      <c r="K307" s="702"/>
      <c r="L307" s="833"/>
      <c r="M307" s="1055"/>
      <c r="N307" s="782"/>
      <c r="O307" s="130"/>
      <c r="P307" s="130"/>
      <c r="AH307" s="50">
        <v>0</v>
      </c>
    </row>
    <row r="308" s="50" customFormat="1" ht="0.75" hidden="1" customHeight="1">
      <c r="A308" s="144"/>
      <c r="B308" s="144"/>
      <c r="C308" s="396" t="s">
        <v>1185</v>
      </c>
      <c r="D308" s="1069"/>
      <c r="E308" s="345"/>
      <c r="F308" s="79"/>
      <c r="G308" s="1068"/>
      <c r="H308" s="702"/>
      <c r="I308" s="178"/>
      <c r="J308" s="236"/>
      <c r="K308" s="702"/>
      <c r="L308" s="833"/>
      <c r="M308" s="1055"/>
      <c r="N308" s="782"/>
      <c r="O308" s="130"/>
      <c r="P308" s="130"/>
      <c r="AH308" s="50">
        <v>0</v>
      </c>
    </row>
    <row r="309" s="50" customFormat="1" ht="18.75" hidden="1" customHeight="1">
      <c r="A309" s="144" t="s">
        <v>239</v>
      </c>
      <c r="B309" s="144" t="s">
        <v>240</v>
      </c>
      <c r="C309" s="396"/>
      <c r="D309" s="1069"/>
      <c r="E309" s="345"/>
      <c r="F309" s="79" t="str">
        <f>INDEX(PT_DIFFERENTIATION_VTAR,MATCH(A309,PT_DIFFERENTIATION_VTAR_ID,0))</f>
        <v xml:space="preserve">Тариф на подключение (технологическое присоединение) к централизованной системе холодного водоснабжения</v>
      </c>
      <c r="G309" s="984" t="str">
        <f>INDEX(PT_DIFFERENTIATION_NTAR,MATCH(B309,PT_DIFFERENTIATION_NTAR_ID,0))</f>
        <v/>
      </c>
      <c r="H309" s="418"/>
      <c r="I309" s="1059"/>
      <c r="J309" s="1060"/>
      <c r="K309" s="434"/>
      <c r="L309" s="418" t="s">
        <v>300</v>
      </c>
      <c r="M309" s="1055"/>
      <c r="N309" s="782"/>
      <c r="O309" s="130"/>
      <c r="P309" s="130"/>
      <c r="AH309" s="50">
        <v>0</v>
      </c>
    </row>
    <row r="310" s="50" customFormat="1" ht="18.75" hidden="1" customHeight="1">
      <c r="A310" s="144"/>
      <c r="B310" s="144"/>
      <c r="C310" s="396" t="s">
        <v>1178</v>
      </c>
      <c r="D310" s="1069"/>
      <c r="E310" s="345"/>
      <c r="F310" s="79"/>
      <c r="G310" s="984"/>
      <c r="H310" s="702"/>
      <c r="I310" s="178" t="s">
        <v>1177</v>
      </c>
      <c r="J310" s="236"/>
      <c r="K310" s="702"/>
      <c r="L310" s="833"/>
      <c r="M310" s="1055"/>
      <c r="N310" s="782"/>
      <c r="O310" s="130"/>
      <c r="P310" s="130"/>
      <c r="AH310" s="50">
        <v>0</v>
      </c>
    </row>
    <row r="311" s="50" customFormat="1" ht="0.75" hidden="1" customHeight="1">
      <c r="A311" s="144"/>
      <c r="B311" s="144"/>
      <c r="C311" s="396" t="s">
        <v>1185</v>
      </c>
      <c r="D311" s="1069"/>
      <c r="E311" s="345"/>
      <c r="F311" s="79"/>
      <c r="G311" s="1068"/>
      <c r="H311" s="702"/>
      <c r="I311" s="178"/>
      <c r="J311" s="236"/>
      <c r="K311" s="702"/>
      <c r="L311" s="833"/>
      <c r="M311" s="1055"/>
      <c r="N311" s="782"/>
      <c r="O311" s="130"/>
      <c r="P311" s="130"/>
      <c r="AH311" s="50">
        <v>0</v>
      </c>
    </row>
    <row r="312" s="50" customFormat="1" ht="18.75" hidden="1" customHeight="1">
      <c r="A312" s="144" t="s">
        <v>244</v>
      </c>
      <c r="B312" s="144" t="s">
        <v>245</v>
      </c>
      <c r="C312" s="396"/>
      <c r="D312" s="1069"/>
      <c r="E312" s="345"/>
      <c r="F312" s="79" t="str">
        <f>INDEX(PT_DIFFERENTIATION_VTAR,MATCH(A312,PT_DIFFERENTIATION_VTAR_ID,0))</f>
        <v xml:space="preserve">Тариф на горячую воду (горячее водоснабжение)</v>
      </c>
      <c r="G312" s="984" t="str">
        <f>INDEX(PT_DIFFERENTIATION_NTAR,MATCH(B312,PT_DIFFERENTIATION_NTAR_ID,0))</f>
        <v/>
      </c>
      <c r="H312" s="418"/>
      <c r="I312" s="1059"/>
      <c r="J312" s="1060"/>
      <c r="K312" s="434"/>
      <c r="L312" s="418" t="s">
        <v>300</v>
      </c>
      <c r="M312" s="1055"/>
      <c r="N312" s="782"/>
      <c r="O312" s="130"/>
      <c r="P312" s="130"/>
      <c r="AH312" s="50">
        <v>0</v>
      </c>
    </row>
    <row r="313" s="50" customFormat="1" ht="18.75" hidden="1" customHeight="1">
      <c r="A313" s="144"/>
      <c r="B313" s="144"/>
      <c r="C313" s="396" t="s">
        <v>1178</v>
      </c>
      <c r="D313" s="1069"/>
      <c r="E313" s="345"/>
      <c r="F313" s="79"/>
      <c r="G313" s="984"/>
      <c r="H313" s="702"/>
      <c r="I313" s="178" t="s">
        <v>1177</v>
      </c>
      <c r="J313" s="236"/>
      <c r="K313" s="702"/>
      <c r="L313" s="833"/>
      <c r="M313" s="1055"/>
      <c r="N313" s="782"/>
      <c r="O313" s="130"/>
      <c r="P313" s="130"/>
      <c r="AH313" s="50">
        <v>0</v>
      </c>
    </row>
    <row r="314" s="50" customFormat="1" ht="0.75" hidden="1" customHeight="1">
      <c r="A314" s="144"/>
      <c r="B314" s="144"/>
      <c r="C314" s="396" t="s">
        <v>1185</v>
      </c>
      <c r="D314" s="1069"/>
      <c r="E314" s="345"/>
      <c r="F314" s="79"/>
      <c r="G314" s="1068"/>
      <c r="H314" s="702"/>
      <c r="I314" s="178"/>
      <c r="J314" s="236"/>
      <c r="K314" s="702"/>
      <c r="L314" s="833"/>
      <c r="M314" s="1055"/>
      <c r="N314" s="782"/>
      <c r="O314" s="130"/>
      <c r="P314" s="130"/>
      <c r="AH314" s="50">
        <v>0</v>
      </c>
    </row>
    <row r="315" s="50" customFormat="1" ht="18.75" hidden="1" customHeight="1">
      <c r="A315" s="144" t="s">
        <v>249</v>
      </c>
      <c r="B315" s="144" t="s">
        <v>250</v>
      </c>
      <c r="C315" s="396"/>
      <c r="D315" s="1069"/>
      <c r="E315" s="345"/>
      <c r="F315" s="79" t="str">
        <f>INDEX(PT_DIFFERENTIATION_VTAR,MATCH(A315,PT_DIFFERENTIATION_VTAR_ID,0))</f>
        <v xml:space="preserve">Тариф на транспортировку горячей воды</v>
      </c>
      <c r="G315" s="984" t="str">
        <f>INDEX(PT_DIFFERENTIATION_NTAR,MATCH(B315,PT_DIFFERENTIATION_NTAR_ID,0))</f>
        <v/>
      </c>
      <c r="H315" s="418"/>
      <c r="I315" s="1059"/>
      <c r="J315" s="1060"/>
      <c r="K315" s="434"/>
      <c r="L315" s="418" t="s">
        <v>300</v>
      </c>
      <c r="M315" s="1055"/>
      <c r="N315" s="782"/>
      <c r="O315" s="130"/>
      <c r="P315" s="130"/>
      <c r="AH315" s="50">
        <v>0</v>
      </c>
    </row>
    <row r="316" s="50" customFormat="1" ht="18.75" hidden="1" customHeight="1">
      <c r="A316" s="144"/>
      <c r="B316" s="144"/>
      <c r="C316" s="396" t="s">
        <v>1178</v>
      </c>
      <c r="D316" s="1069"/>
      <c r="E316" s="345"/>
      <c r="F316" s="79"/>
      <c r="G316" s="984"/>
      <c r="H316" s="702"/>
      <c r="I316" s="178" t="s">
        <v>1177</v>
      </c>
      <c r="J316" s="236"/>
      <c r="K316" s="702"/>
      <c r="L316" s="833"/>
      <c r="M316" s="1055"/>
      <c r="N316" s="782"/>
      <c r="O316" s="130"/>
      <c r="P316" s="130"/>
      <c r="AH316" s="50">
        <v>0</v>
      </c>
    </row>
    <row r="317" s="50" customFormat="1" ht="0.75" hidden="1" customHeight="1">
      <c r="A317" s="144"/>
      <c r="B317" s="144"/>
      <c r="C317" s="396" t="s">
        <v>1185</v>
      </c>
      <c r="D317" s="1069"/>
      <c r="E317" s="345"/>
      <c r="F317" s="79"/>
      <c r="G317" s="1068"/>
      <c r="H317" s="702"/>
      <c r="I317" s="178"/>
      <c r="J317" s="236"/>
      <c r="K317" s="702"/>
      <c r="L317" s="833"/>
      <c r="M317" s="1055"/>
      <c r="N317" s="782"/>
      <c r="O317" s="130"/>
      <c r="P317" s="130"/>
      <c r="AH317" s="50">
        <v>0</v>
      </c>
    </row>
    <row r="318" s="50" customFormat="1" ht="18.75" hidden="1" customHeight="1">
      <c r="A318" s="144" t="s">
        <v>254</v>
      </c>
      <c r="B318" s="144" t="s">
        <v>255</v>
      </c>
      <c r="C318" s="396"/>
      <c r="D318" s="1069"/>
      <c r="E318" s="345"/>
      <c r="F318" s="79" t="str">
        <f>INDEX(PT_DIFFERENTIATION_VTAR,MATCH(A318,PT_DIFFERENTIATION_VTAR_ID,0))</f>
        <v xml:space="preserve">Тариф на подключение (технологическое присоединение) к централизованной системе горячего водоснабжения</v>
      </c>
      <c r="G318" s="984" t="str">
        <f>INDEX(PT_DIFFERENTIATION_NTAR,MATCH(B318,PT_DIFFERENTIATION_NTAR_ID,0))</f>
        <v/>
      </c>
      <c r="H318" s="418"/>
      <c r="I318" s="1059"/>
      <c r="J318" s="1060"/>
      <c r="K318" s="434"/>
      <c r="L318" s="418" t="s">
        <v>300</v>
      </c>
      <c r="M318" s="1055"/>
      <c r="N318" s="782"/>
      <c r="O318" s="130"/>
      <c r="P318" s="130"/>
      <c r="AH318" s="50">
        <v>0</v>
      </c>
    </row>
    <row r="319" s="50" customFormat="1" ht="18.75" hidden="1" customHeight="1">
      <c r="A319" s="144"/>
      <c r="B319" s="144"/>
      <c r="C319" s="396" t="s">
        <v>1178</v>
      </c>
      <c r="D319" s="1069"/>
      <c r="E319" s="345"/>
      <c r="F319" s="79"/>
      <c r="G319" s="984"/>
      <c r="H319" s="702"/>
      <c r="I319" s="178" t="s">
        <v>1177</v>
      </c>
      <c r="J319" s="236"/>
      <c r="K319" s="702"/>
      <c r="L319" s="833"/>
      <c r="M319" s="1055"/>
      <c r="N319" s="782"/>
      <c r="O319" s="130"/>
      <c r="P319" s="130"/>
      <c r="AH319" s="50">
        <v>0</v>
      </c>
    </row>
    <row r="320" s="50" customFormat="1" ht="0.75" hidden="1" customHeight="1">
      <c r="A320" s="144"/>
      <c r="B320" s="144"/>
      <c r="C320" s="396" t="s">
        <v>1185</v>
      </c>
      <c r="D320" s="1069"/>
      <c r="E320" s="345"/>
      <c r="F320" s="79"/>
      <c r="G320" s="1068"/>
      <c r="H320" s="702"/>
      <c r="I320" s="178"/>
      <c r="J320" s="236"/>
      <c r="K320" s="702"/>
      <c r="L320" s="833"/>
      <c r="M320" s="1055"/>
      <c r="N320" s="782"/>
      <c r="O320" s="130"/>
      <c r="P320" s="130"/>
      <c r="AH320" s="50">
        <v>0</v>
      </c>
    </row>
    <row r="321" s="50" customFormat="1" ht="18.75" hidden="1" customHeight="1">
      <c r="A321" s="144" t="s">
        <v>259</v>
      </c>
      <c r="B321" s="144" t="s">
        <v>260</v>
      </c>
      <c r="C321" s="396"/>
      <c r="D321" s="1069"/>
      <c r="E321" s="345"/>
      <c r="F321" s="79" t="str">
        <f>INDEX(PT_DIFFERENTIATION_VTAR,MATCH(A321,PT_DIFFERENTIATION_VTAR_ID,0))</f>
        <v xml:space="preserve">Тариф на водоотведение</v>
      </c>
      <c r="G321" s="984" t="str">
        <f>INDEX(PT_DIFFERENTIATION_NTAR,MATCH(B321,PT_DIFFERENTIATION_NTAR_ID,0))</f>
        <v/>
      </c>
      <c r="H321" s="418"/>
      <c r="I321" s="1059"/>
      <c r="J321" s="1060"/>
      <c r="K321" s="434"/>
      <c r="L321" s="418" t="s">
        <v>300</v>
      </c>
      <c r="M321" s="1055"/>
      <c r="N321" s="782"/>
      <c r="O321" s="130"/>
      <c r="P321" s="130"/>
      <c r="AH321" s="50">
        <v>0</v>
      </c>
    </row>
    <row r="322" s="50" customFormat="1" ht="18.75" hidden="1" customHeight="1">
      <c r="A322" s="144"/>
      <c r="B322" s="144"/>
      <c r="C322" s="396" t="s">
        <v>1178</v>
      </c>
      <c r="D322" s="1069"/>
      <c r="E322" s="345"/>
      <c r="F322" s="79"/>
      <c r="G322" s="984"/>
      <c r="H322" s="702"/>
      <c r="I322" s="178" t="s">
        <v>1177</v>
      </c>
      <c r="J322" s="236"/>
      <c r="K322" s="702"/>
      <c r="L322" s="833"/>
      <c r="M322" s="1055"/>
      <c r="N322" s="782"/>
      <c r="O322" s="130"/>
      <c r="P322" s="130"/>
      <c r="AH322" s="50">
        <v>0</v>
      </c>
    </row>
    <row r="323" s="50" customFormat="1" ht="0.75" hidden="1" customHeight="1">
      <c r="A323" s="144"/>
      <c r="B323" s="144"/>
      <c r="C323" s="396" t="s">
        <v>1185</v>
      </c>
      <c r="D323" s="1069"/>
      <c r="E323" s="345"/>
      <c r="F323" s="79"/>
      <c r="G323" s="1068"/>
      <c r="H323" s="702"/>
      <c r="I323" s="178"/>
      <c r="J323" s="236"/>
      <c r="K323" s="702"/>
      <c r="L323" s="833"/>
      <c r="M323" s="1055"/>
      <c r="N323" s="782"/>
      <c r="O323" s="130"/>
      <c r="P323" s="130"/>
      <c r="AH323" s="50">
        <v>0</v>
      </c>
    </row>
    <row r="324" s="50" customFormat="1" ht="18.75" hidden="1" customHeight="1">
      <c r="A324" s="144" t="s">
        <v>264</v>
      </c>
      <c r="B324" s="144" t="s">
        <v>265</v>
      </c>
      <c r="C324" s="396"/>
      <c r="D324" s="1069"/>
      <c r="E324" s="345"/>
      <c r="F324" s="79" t="str">
        <f>INDEX(PT_DIFFERENTIATION_VTAR,MATCH(A324,PT_DIFFERENTIATION_VTAR_ID,0))</f>
        <v xml:space="preserve">Тариф на транспортировку сточных вод</v>
      </c>
      <c r="G324" s="984" t="str">
        <f>INDEX(PT_DIFFERENTIATION_NTAR,MATCH(B324,PT_DIFFERENTIATION_NTAR_ID,0))</f>
        <v/>
      </c>
      <c r="H324" s="418"/>
      <c r="I324" s="1059"/>
      <c r="J324" s="1060"/>
      <c r="K324" s="434"/>
      <c r="L324" s="418" t="s">
        <v>300</v>
      </c>
      <c r="M324" s="1055"/>
      <c r="N324" s="782"/>
      <c r="O324" s="130"/>
      <c r="P324" s="130"/>
      <c r="AH324" s="50">
        <v>0</v>
      </c>
    </row>
    <row r="325" s="50" customFormat="1" ht="18.75" hidden="1" customHeight="1">
      <c r="A325" s="144"/>
      <c r="B325" s="144"/>
      <c r="C325" s="396" t="s">
        <v>1178</v>
      </c>
      <c r="D325" s="1069"/>
      <c r="E325" s="345"/>
      <c r="F325" s="79"/>
      <c r="G325" s="984"/>
      <c r="H325" s="702"/>
      <c r="I325" s="178" t="s">
        <v>1177</v>
      </c>
      <c r="J325" s="236"/>
      <c r="K325" s="702"/>
      <c r="L325" s="833"/>
      <c r="M325" s="1055"/>
      <c r="N325" s="782"/>
      <c r="O325" s="130"/>
      <c r="P325" s="130"/>
      <c r="AH325" s="50">
        <v>0</v>
      </c>
    </row>
    <row r="326" s="50" customFormat="1" ht="0.75" hidden="1" customHeight="1">
      <c r="A326" s="144"/>
      <c r="B326" s="144"/>
      <c r="C326" s="396" t="s">
        <v>1185</v>
      </c>
      <c r="D326" s="1069"/>
      <c r="E326" s="345"/>
      <c r="F326" s="79"/>
      <c r="G326" s="1068"/>
      <c r="H326" s="702"/>
      <c r="I326" s="178"/>
      <c r="J326" s="236"/>
      <c r="K326" s="702"/>
      <c r="L326" s="833"/>
      <c r="M326" s="1055"/>
      <c r="N326" s="782"/>
      <c r="O326" s="130"/>
      <c r="P326" s="130"/>
      <c r="AH326" s="50">
        <v>0</v>
      </c>
    </row>
    <row r="327" s="50" customFormat="1" ht="18.75" hidden="1" customHeight="1">
      <c r="A327" s="144" t="s">
        <v>269</v>
      </c>
      <c r="B327" s="144" t="s">
        <v>270</v>
      </c>
      <c r="C327" s="396"/>
      <c r="D327" s="1069"/>
      <c r="E327" s="345"/>
      <c r="F327" s="79" t="str">
        <f>INDEX(PT_DIFFERENTIATION_VTAR,MATCH(A327,PT_DIFFERENTIATION_VTAR_ID,0))</f>
        <v xml:space="preserve">Тариф на подключение (технологическое присоединение) к централизованной системе водоотведения</v>
      </c>
      <c r="G327" s="984" t="str">
        <f>INDEX(PT_DIFFERENTIATION_NTAR,MATCH(B327,PT_DIFFERENTIATION_NTAR_ID,0))</f>
        <v/>
      </c>
      <c r="H327" s="418"/>
      <c r="I327" s="1059"/>
      <c r="J327" s="1060"/>
      <c r="K327" s="434"/>
      <c r="L327" s="418" t="s">
        <v>300</v>
      </c>
      <c r="M327" s="1055"/>
      <c r="N327" s="782"/>
      <c r="O327" s="130"/>
      <c r="P327" s="130"/>
      <c r="AH327" s="50">
        <v>0</v>
      </c>
    </row>
    <row r="328" s="50" customFormat="1" ht="18.75" hidden="1" customHeight="1">
      <c r="A328" s="144"/>
      <c r="B328" s="144"/>
      <c r="C328" s="396" t="s">
        <v>1178</v>
      </c>
      <c r="D328" s="1069"/>
      <c r="E328" s="345"/>
      <c r="F328" s="79"/>
      <c r="G328" s="984"/>
      <c r="H328" s="702"/>
      <c r="I328" s="178" t="s">
        <v>1177</v>
      </c>
      <c r="J328" s="236"/>
      <c r="K328" s="702"/>
      <c r="L328" s="833"/>
      <c r="M328" s="1055"/>
      <c r="N328" s="782"/>
      <c r="O328" s="130"/>
      <c r="P328" s="130"/>
      <c r="AH328" s="50">
        <v>0</v>
      </c>
    </row>
    <row r="329" s="50" customFormat="1" ht="1.05" customHeight="1">
      <c r="A329" s="144"/>
      <c r="B329" s="144"/>
      <c r="C329" s="396" t="s">
        <v>1185</v>
      </c>
      <c r="D329" s="1069"/>
      <c r="E329" s="345"/>
      <c r="F329" s="79"/>
      <c r="G329" s="1068"/>
      <c r="H329" s="702"/>
      <c r="I329" s="178"/>
      <c r="J329" s="236"/>
      <c r="K329" s="702"/>
      <c r="L329" s="833"/>
      <c r="M329" s="1055"/>
      <c r="N329" s="782"/>
      <c r="O329" s="130"/>
      <c r="P329" s="130"/>
      <c r="AH329" s="50">
        <v>1</v>
      </c>
    </row>
    <row r="330" s="144" customFormat="1" ht="3" customHeight="1">
      <c r="A330" s="144"/>
      <c r="B330" s="144"/>
      <c r="C330" s="144"/>
      <c r="E330" s="1073"/>
      <c r="F330" s="1073"/>
      <c r="G330" s="1073"/>
      <c r="H330" s="1073"/>
      <c r="I330" s="1073"/>
      <c r="J330" s="1073"/>
      <c r="K330" s="1073"/>
      <c r="L330" s="1073"/>
      <c r="M330" s="1073"/>
      <c r="O330" s="168"/>
      <c r="P330" s="168"/>
      <c r="AH330" s="144">
        <v>3</v>
      </c>
    </row>
    <row r="331" ht="26.25" customHeight="1">
      <c r="E331" s="1074"/>
      <c r="F331" s="575"/>
      <c r="G331" s="575"/>
      <c r="H331" s="575"/>
      <c r="I331" s="575"/>
      <c r="J331" s="575"/>
      <c r="K331" s="575"/>
      <c r="L331" s="575"/>
      <c r="M331" s="575"/>
      <c r="AH331" s="50">
        <v>25</v>
      </c>
    </row>
    <row r="332" ht="14.25" hidden="1" customHeight="1">
      <c r="A332" s="11" t="s">
        <v>81</v>
      </c>
      <c r="B332" s="11">
        <v>0</v>
      </c>
      <c r="C332" s="396">
        <v>0</v>
      </c>
      <c r="D332" s="479">
        <v>3</v>
      </c>
      <c r="E332" s="50">
        <v>6</v>
      </c>
      <c r="F332" s="50">
        <v>46</v>
      </c>
      <c r="G332" s="50">
        <v>35</v>
      </c>
      <c r="H332" s="50">
        <v>3</v>
      </c>
      <c r="I332" s="50">
        <v>11</v>
      </c>
      <c r="J332" s="50">
        <v>11</v>
      </c>
      <c r="K332" s="50">
        <v>35</v>
      </c>
      <c r="L332" s="50">
        <v>35</v>
      </c>
      <c r="M332" s="50">
        <v>84</v>
      </c>
      <c r="N332" s="50">
        <v>10</v>
      </c>
      <c r="O332" s="130">
        <v>10</v>
      </c>
      <c r="P332" s="130">
        <v>10</v>
      </c>
      <c r="Q332" s="50">
        <v>10</v>
      </c>
      <c r="R332" s="50">
        <v>10</v>
      </c>
      <c r="S332" s="50">
        <v>10</v>
      </c>
      <c r="T332" s="50">
        <v>10</v>
      </c>
      <c r="U332" s="50">
        <v>10</v>
      </c>
      <c r="V332" s="50">
        <v>10</v>
      </c>
      <c r="W332" s="50">
        <v>10</v>
      </c>
      <c r="X332" s="50">
        <v>10</v>
      </c>
      <c r="Y332" s="50">
        <v>10</v>
      </c>
      <c r="Z332" s="50">
        <v>10</v>
      </c>
      <c r="AA332" s="50">
        <v>10</v>
      </c>
      <c r="AB332" s="50">
        <v>10</v>
      </c>
      <c r="AC332" s="50">
        <v>10</v>
      </c>
      <c r="AD332" s="50">
        <v>10</v>
      </c>
      <c r="AE332" s="50">
        <v>10</v>
      </c>
      <c r="AF332" s="50">
        <v>10</v>
      </c>
      <c r="AG332" s="50">
        <v>10</v>
      </c>
      <c r="AH332" s="50">
        <v>14</v>
      </c>
    </row>
  </sheetData>
  <sheetProtection autoFilter="0" deleteColumns="1" deleteRows="1" formatCells="1" formatColumns="0" formatRows="0" insertColumns="1" insertHyperlinks="1" insertRows="1" objects="0" pivotTables="1" scenarios="0" selectLockedCells="0" selectUnlockedCells="0" sheet="1" sort="1"/>
  <mergeCells count="428">
    <mergeCell ref="G2:G3"/>
    <mergeCell ref="G5:G6"/>
    <mergeCell ref="E14:L14"/>
    <mergeCell ref="G16:L16"/>
    <mergeCell ref="G17:L17"/>
    <mergeCell ref="E19:L19"/>
    <mergeCell ref="M19:M21"/>
    <mergeCell ref="E20:E21"/>
    <mergeCell ref="F20:F21"/>
    <mergeCell ref="G20:G21"/>
    <mergeCell ref="H20:J20"/>
    <mergeCell ref="K20:K21"/>
    <mergeCell ref="L20:L21"/>
    <mergeCell ref="H21:I21"/>
    <mergeCell ref="H22:I22"/>
    <mergeCell ref="F23:L23"/>
    <mergeCell ref="D24:D26"/>
    <mergeCell ref="E24:E26"/>
    <mergeCell ref="F24:F26"/>
    <mergeCell ref="G24:G25"/>
    <mergeCell ref="M24:M83"/>
    <mergeCell ref="D27:D29"/>
    <mergeCell ref="E27:E29"/>
    <mergeCell ref="F27:F29"/>
    <mergeCell ref="G27:G28"/>
    <mergeCell ref="D30:D32"/>
    <mergeCell ref="E30:E32"/>
    <mergeCell ref="F30:F32"/>
    <mergeCell ref="G30:G31"/>
    <mergeCell ref="D33:D35"/>
    <mergeCell ref="E33:E35"/>
    <mergeCell ref="F33:F35"/>
    <mergeCell ref="G33:G34"/>
    <mergeCell ref="D36:D38"/>
    <mergeCell ref="E36:E38"/>
    <mergeCell ref="F36:F38"/>
    <mergeCell ref="G36:G37"/>
    <mergeCell ref="D39:D41"/>
    <mergeCell ref="E39:E41"/>
    <mergeCell ref="F39:F41"/>
    <mergeCell ref="G39:G40"/>
    <mergeCell ref="D42:D44"/>
    <mergeCell ref="E42:E44"/>
    <mergeCell ref="F42:F44"/>
    <mergeCell ref="G42:G43"/>
    <mergeCell ref="D45:D47"/>
    <mergeCell ref="E45:E47"/>
    <mergeCell ref="F45:F47"/>
    <mergeCell ref="G45:G46"/>
    <mergeCell ref="D48:D50"/>
    <mergeCell ref="E48:E50"/>
    <mergeCell ref="F48:F50"/>
    <mergeCell ref="G48:G49"/>
    <mergeCell ref="D51:D53"/>
    <mergeCell ref="E51:E53"/>
    <mergeCell ref="F51:F53"/>
    <mergeCell ref="G51:G52"/>
    <mergeCell ref="D54:D56"/>
    <mergeCell ref="E54:E56"/>
    <mergeCell ref="F54:F56"/>
    <mergeCell ref="G54:G55"/>
    <mergeCell ref="D57:D59"/>
    <mergeCell ref="E57:E59"/>
    <mergeCell ref="F57:F59"/>
    <mergeCell ref="G57:G58"/>
    <mergeCell ref="D60:D62"/>
    <mergeCell ref="E60:E62"/>
    <mergeCell ref="F60:F62"/>
    <mergeCell ref="G60:G61"/>
    <mergeCell ref="D63:D65"/>
    <mergeCell ref="E63:E65"/>
    <mergeCell ref="F63:F65"/>
    <mergeCell ref="G63:G64"/>
    <mergeCell ref="D66:D68"/>
    <mergeCell ref="E66:E68"/>
    <mergeCell ref="F66:F68"/>
    <mergeCell ref="G66:G67"/>
    <mergeCell ref="D69:D71"/>
    <mergeCell ref="E69:E71"/>
    <mergeCell ref="F69:F71"/>
    <mergeCell ref="G69:G70"/>
    <mergeCell ref="D72:D74"/>
    <mergeCell ref="E72:E74"/>
    <mergeCell ref="F72:F74"/>
    <mergeCell ref="G72:G73"/>
    <mergeCell ref="D75:D77"/>
    <mergeCell ref="E75:E77"/>
    <mergeCell ref="F75:F77"/>
    <mergeCell ref="G75:G76"/>
    <mergeCell ref="D78:D80"/>
    <mergeCell ref="E78:E80"/>
    <mergeCell ref="F78:F80"/>
    <mergeCell ref="G78:G79"/>
    <mergeCell ref="D81:D83"/>
    <mergeCell ref="E81:E83"/>
    <mergeCell ref="F81:F83"/>
    <mergeCell ref="G81:G82"/>
    <mergeCell ref="F84:L84"/>
    <mergeCell ref="H85:I85"/>
    <mergeCell ref="F86:L86"/>
    <mergeCell ref="D87:D89"/>
    <mergeCell ref="E87:E89"/>
    <mergeCell ref="F87:F89"/>
    <mergeCell ref="G87:G88"/>
    <mergeCell ref="M87:M90"/>
    <mergeCell ref="D90:D92"/>
    <mergeCell ref="E90:E92"/>
    <mergeCell ref="F90:F92"/>
    <mergeCell ref="G90:G91"/>
    <mergeCell ref="D93:D95"/>
    <mergeCell ref="E93:E95"/>
    <mergeCell ref="F93:F95"/>
    <mergeCell ref="G93:G94"/>
    <mergeCell ref="D96:D98"/>
    <mergeCell ref="E96:E98"/>
    <mergeCell ref="F96:F98"/>
    <mergeCell ref="G96:G97"/>
    <mergeCell ref="D99:D101"/>
    <mergeCell ref="E99:E101"/>
    <mergeCell ref="F99:F101"/>
    <mergeCell ref="G99:G100"/>
    <mergeCell ref="D102:D104"/>
    <mergeCell ref="E102:E104"/>
    <mergeCell ref="F102:F104"/>
    <mergeCell ref="G102:G103"/>
    <mergeCell ref="D105:D107"/>
    <mergeCell ref="E105:E107"/>
    <mergeCell ref="F105:F107"/>
    <mergeCell ref="G105:G106"/>
    <mergeCell ref="D108:D110"/>
    <mergeCell ref="E108:E110"/>
    <mergeCell ref="F108:F110"/>
    <mergeCell ref="G108:G109"/>
    <mergeCell ref="D111:D113"/>
    <mergeCell ref="E111:E113"/>
    <mergeCell ref="F111:F113"/>
    <mergeCell ref="G111:G112"/>
    <mergeCell ref="D114:D116"/>
    <mergeCell ref="E114:E116"/>
    <mergeCell ref="F114:F116"/>
    <mergeCell ref="G114:G115"/>
    <mergeCell ref="D117:D119"/>
    <mergeCell ref="E117:E119"/>
    <mergeCell ref="F117:F119"/>
    <mergeCell ref="G117:G118"/>
    <mergeCell ref="D120:D122"/>
    <mergeCell ref="E120:E122"/>
    <mergeCell ref="F120:F122"/>
    <mergeCell ref="G120:G121"/>
    <mergeCell ref="D123:D125"/>
    <mergeCell ref="E123:E125"/>
    <mergeCell ref="F123:F125"/>
    <mergeCell ref="G123:G124"/>
    <mergeCell ref="D126:D128"/>
    <mergeCell ref="E126:E128"/>
    <mergeCell ref="F126:F128"/>
    <mergeCell ref="G126:G127"/>
    <mergeCell ref="D129:D131"/>
    <mergeCell ref="E129:E131"/>
    <mergeCell ref="F129:F131"/>
    <mergeCell ref="G129:G130"/>
    <mergeCell ref="D132:D134"/>
    <mergeCell ref="E132:E134"/>
    <mergeCell ref="F132:F134"/>
    <mergeCell ref="G132:G133"/>
    <mergeCell ref="D135:D137"/>
    <mergeCell ref="E135:E137"/>
    <mergeCell ref="F135:F137"/>
    <mergeCell ref="G135:G136"/>
    <mergeCell ref="D138:D140"/>
    <mergeCell ref="E138:E140"/>
    <mergeCell ref="F138:F140"/>
    <mergeCell ref="G138:G139"/>
    <mergeCell ref="D141:D143"/>
    <mergeCell ref="E141:E143"/>
    <mergeCell ref="F141:F143"/>
    <mergeCell ref="G141:G142"/>
    <mergeCell ref="D144:D146"/>
    <mergeCell ref="E144:E146"/>
    <mergeCell ref="F144:F146"/>
    <mergeCell ref="G144:G145"/>
    <mergeCell ref="F147:L147"/>
    <mergeCell ref="D148:D150"/>
    <mergeCell ref="E148:E150"/>
    <mergeCell ref="F148:F150"/>
    <mergeCell ref="G148:G149"/>
    <mergeCell ref="M148:M151"/>
    <mergeCell ref="D151:D153"/>
    <mergeCell ref="E151:E153"/>
    <mergeCell ref="F151:F153"/>
    <mergeCell ref="G151:G152"/>
    <mergeCell ref="D154:D156"/>
    <mergeCell ref="E154:E156"/>
    <mergeCell ref="F154:F156"/>
    <mergeCell ref="G154:G155"/>
    <mergeCell ref="D157:D159"/>
    <mergeCell ref="E157:E159"/>
    <mergeCell ref="F157:F159"/>
    <mergeCell ref="G157:G158"/>
    <mergeCell ref="D160:D162"/>
    <mergeCell ref="E160:E162"/>
    <mergeCell ref="F160:F162"/>
    <mergeCell ref="G160:G161"/>
    <mergeCell ref="D163:D165"/>
    <mergeCell ref="E163:E165"/>
    <mergeCell ref="F163:F165"/>
    <mergeCell ref="G163:G164"/>
    <mergeCell ref="D166:D168"/>
    <mergeCell ref="E166:E168"/>
    <mergeCell ref="F166:F168"/>
    <mergeCell ref="G166:G167"/>
    <mergeCell ref="D169:D171"/>
    <mergeCell ref="E169:E171"/>
    <mergeCell ref="F169:F171"/>
    <mergeCell ref="G169:G170"/>
    <mergeCell ref="D172:D174"/>
    <mergeCell ref="E172:E174"/>
    <mergeCell ref="F172:F174"/>
    <mergeCell ref="G172:G173"/>
    <mergeCell ref="D175:D177"/>
    <mergeCell ref="E175:E177"/>
    <mergeCell ref="F175:F177"/>
    <mergeCell ref="G175:G176"/>
    <mergeCell ref="D178:D180"/>
    <mergeCell ref="E178:E180"/>
    <mergeCell ref="F178:F180"/>
    <mergeCell ref="G178:G179"/>
    <mergeCell ref="D181:D183"/>
    <mergeCell ref="E181:E183"/>
    <mergeCell ref="F181:F183"/>
    <mergeCell ref="G181:G182"/>
    <mergeCell ref="D184:D186"/>
    <mergeCell ref="E184:E186"/>
    <mergeCell ref="F184:F186"/>
    <mergeCell ref="G184:G185"/>
    <mergeCell ref="D187:D189"/>
    <mergeCell ref="E187:E189"/>
    <mergeCell ref="F187:F189"/>
    <mergeCell ref="G187:G188"/>
    <mergeCell ref="D190:D192"/>
    <mergeCell ref="E190:E192"/>
    <mergeCell ref="F190:F192"/>
    <mergeCell ref="G190:G191"/>
    <mergeCell ref="D193:D195"/>
    <mergeCell ref="E193:E195"/>
    <mergeCell ref="F193:F195"/>
    <mergeCell ref="G193:G194"/>
    <mergeCell ref="D196:D198"/>
    <mergeCell ref="E196:E198"/>
    <mergeCell ref="F196:F198"/>
    <mergeCell ref="G196:G197"/>
    <mergeCell ref="D199:D201"/>
    <mergeCell ref="E199:E201"/>
    <mergeCell ref="F199:F201"/>
    <mergeCell ref="G199:G200"/>
    <mergeCell ref="D202:D204"/>
    <mergeCell ref="E202:E204"/>
    <mergeCell ref="F202:F204"/>
    <mergeCell ref="G202:G203"/>
    <mergeCell ref="D205:D207"/>
    <mergeCell ref="E205:E207"/>
    <mergeCell ref="F205:F207"/>
    <mergeCell ref="G205:G206"/>
    <mergeCell ref="F208:L208"/>
    <mergeCell ref="D209:D211"/>
    <mergeCell ref="E209:E211"/>
    <mergeCell ref="F209:F211"/>
    <mergeCell ref="G209:G210"/>
    <mergeCell ref="M209:M212"/>
    <mergeCell ref="D212:D214"/>
    <mergeCell ref="E212:E214"/>
    <mergeCell ref="F212:F214"/>
    <mergeCell ref="G212:G213"/>
    <mergeCell ref="D215:D217"/>
    <mergeCell ref="E215:E217"/>
    <mergeCell ref="F215:F217"/>
    <mergeCell ref="G215:G216"/>
    <mergeCell ref="D218:D220"/>
    <mergeCell ref="E218:E220"/>
    <mergeCell ref="F218:F220"/>
    <mergeCell ref="G218:G219"/>
    <mergeCell ref="D221:D223"/>
    <mergeCell ref="E221:E223"/>
    <mergeCell ref="F221:F223"/>
    <mergeCell ref="G221:G222"/>
    <mergeCell ref="D224:D226"/>
    <mergeCell ref="E224:E226"/>
    <mergeCell ref="F224:F226"/>
    <mergeCell ref="G224:G225"/>
    <mergeCell ref="D227:D229"/>
    <mergeCell ref="E227:E229"/>
    <mergeCell ref="F227:F229"/>
    <mergeCell ref="G227:G228"/>
    <mergeCell ref="D230:D232"/>
    <mergeCell ref="E230:E232"/>
    <mergeCell ref="F230:F232"/>
    <mergeCell ref="G230:G231"/>
    <mergeCell ref="D233:D235"/>
    <mergeCell ref="E233:E235"/>
    <mergeCell ref="F233:F235"/>
    <mergeCell ref="G233:G234"/>
    <mergeCell ref="D236:D238"/>
    <mergeCell ref="E236:E238"/>
    <mergeCell ref="F236:F238"/>
    <mergeCell ref="G236:G237"/>
    <mergeCell ref="D239:D241"/>
    <mergeCell ref="E239:E241"/>
    <mergeCell ref="F239:F241"/>
    <mergeCell ref="G239:G240"/>
    <mergeCell ref="D242:D244"/>
    <mergeCell ref="E242:E244"/>
    <mergeCell ref="F242:F244"/>
    <mergeCell ref="G242:G243"/>
    <mergeCell ref="D245:D247"/>
    <mergeCell ref="E245:E247"/>
    <mergeCell ref="F245:F247"/>
    <mergeCell ref="G245:G246"/>
    <mergeCell ref="D248:D250"/>
    <mergeCell ref="E248:E250"/>
    <mergeCell ref="F248:F250"/>
    <mergeCell ref="G248:G249"/>
    <mergeCell ref="D251:D253"/>
    <mergeCell ref="E251:E253"/>
    <mergeCell ref="F251:F253"/>
    <mergeCell ref="G251:G252"/>
    <mergeCell ref="D254:D256"/>
    <mergeCell ref="E254:E256"/>
    <mergeCell ref="F254:F256"/>
    <mergeCell ref="G254:G255"/>
    <mergeCell ref="D257:D259"/>
    <mergeCell ref="E257:E259"/>
    <mergeCell ref="F257:F259"/>
    <mergeCell ref="G257:G258"/>
    <mergeCell ref="D260:D262"/>
    <mergeCell ref="E260:E262"/>
    <mergeCell ref="F260:F262"/>
    <mergeCell ref="G260:G261"/>
    <mergeCell ref="D263:D265"/>
    <mergeCell ref="E263:E265"/>
    <mergeCell ref="F263:F265"/>
    <mergeCell ref="G263:G264"/>
    <mergeCell ref="D266:D268"/>
    <mergeCell ref="E266:E268"/>
    <mergeCell ref="F266:F268"/>
    <mergeCell ref="G266:G267"/>
    <mergeCell ref="F269:L269"/>
    <mergeCell ref="D270:D272"/>
    <mergeCell ref="E270:E272"/>
    <mergeCell ref="F270:F272"/>
    <mergeCell ref="G270:G271"/>
    <mergeCell ref="M270:M273"/>
    <mergeCell ref="D273:D275"/>
    <mergeCell ref="E273:E275"/>
    <mergeCell ref="F273:F275"/>
    <mergeCell ref="G273:G274"/>
    <mergeCell ref="D276:D278"/>
    <mergeCell ref="E276:E278"/>
    <mergeCell ref="F276:F278"/>
    <mergeCell ref="G276:G277"/>
    <mergeCell ref="D279:D281"/>
    <mergeCell ref="E279:E281"/>
    <mergeCell ref="F279:F281"/>
    <mergeCell ref="G279:G280"/>
    <mergeCell ref="D282:D284"/>
    <mergeCell ref="E282:E284"/>
    <mergeCell ref="F282:F284"/>
    <mergeCell ref="G282:G283"/>
    <mergeCell ref="D285:D287"/>
    <mergeCell ref="E285:E287"/>
    <mergeCell ref="F285:F287"/>
    <mergeCell ref="G285:G286"/>
    <mergeCell ref="D288:D290"/>
    <mergeCell ref="E288:E290"/>
    <mergeCell ref="F288:F290"/>
    <mergeCell ref="G288:G289"/>
    <mergeCell ref="D291:D293"/>
    <mergeCell ref="E291:E293"/>
    <mergeCell ref="F291:F293"/>
    <mergeCell ref="G291:G292"/>
    <mergeCell ref="D294:D296"/>
    <mergeCell ref="E294:E296"/>
    <mergeCell ref="F294:F296"/>
    <mergeCell ref="G294:G295"/>
    <mergeCell ref="D297:D299"/>
    <mergeCell ref="E297:E299"/>
    <mergeCell ref="F297:F299"/>
    <mergeCell ref="G297:G298"/>
    <mergeCell ref="D300:D302"/>
    <mergeCell ref="E300:E302"/>
    <mergeCell ref="F300:F302"/>
    <mergeCell ref="G300:G301"/>
    <mergeCell ref="D303:D305"/>
    <mergeCell ref="E303:E305"/>
    <mergeCell ref="F303:F305"/>
    <mergeCell ref="G303:G304"/>
    <mergeCell ref="D306:D308"/>
    <mergeCell ref="E306:E308"/>
    <mergeCell ref="F306:F308"/>
    <mergeCell ref="G306:G307"/>
    <mergeCell ref="D309:D311"/>
    <mergeCell ref="E309:E311"/>
    <mergeCell ref="F309:F311"/>
    <mergeCell ref="G309:G310"/>
    <mergeCell ref="D312:D314"/>
    <mergeCell ref="E312:E314"/>
    <mergeCell ref="F312:F314"/>
    <mergeCell ref="G312:G313"/>
    <mergeCell ref="D315:D317"/>
    <mergeCell ref="E315:E317"/>
    <mergeCell ref="F315:F317"/>
    <mergeCell ref="G315:G316"/>
    <mergeCell ref="D318:D320"/>
    <mergeCell ref="E318:E320"/>
    <mergeCell ref="F318:F320"/>
    <mergeCell ref="G318:G319"/>
    <mergeCell ref="D321:D323"/>
    <mergeCell ref="E321:E323"/>
    <mergeCell ref="F321:F323"/>
    <mergeCell ref="G321:G322"/>
    <mergeCell ref="D324:D326"/>
    <mergeCell ref="E324:E326"/>
    <mergeCell ref="F324:F326"/>
    <mergeCell ref="G324:G325"/>
    <mergeCell ref="D327:D329"/>
    <mergeCell ref="E327:E329"/>
    <mergeCell ref="F327:F329"/>
    <mergeCell ref="G327:G328"/>
    <mergeCell ref="F331:M331"/>
  </mergeCells>
  <dataValidations count="1" disablePrompts="0">
    <dataValidation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disablePrompts="0">
        <x14:dataValidation xr:uid="{00530026-00AA-4063-AE25-004300E60010}"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L85</xm:sqref>
        </x14:dataValidation>
        <x14:dataValidation xr:uid="{0083008A-004B-429D-8B17-0043006D00BE}" type="textLength" allowBlank="1" error="Допускается ввод не более 900 символов!" errorStyle="stop" errorTitle="Ошибка" imeMode="noControl" operator="lessThanOrEqual" showDropDown="0" showErrorMessage="1" showInputMessage="1">
          <x14:formula1>
            <xm:f>900</xm:f>
          </x14:formula1>
          <xm:sqref>M148:M149 M209:M210 M23 M87:M88 M270:M271</xm:sqref>
        </x14:dataValidation>
        <x14:dataValidation xr:uid="{00E400F6-00CD-46F8-8232-0053001F0033}"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xm:sqref>
        </x14:dataValidation>
      </x14:dataValidations>
    </ext>
  </extLst>
</worksheet>
</file>

<file path=xl/worksheets/sheet4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zoomScale="90" workbookViewId="0">
      <pane xSplit="5" ySplit="9" topLeftCell="F10" activePane="bottomRight" state="frozen"/>
      <selection activeCell="A1" activeCellId="0" sqref="A1"/>
    </sheetView>
  </sheetViews>
  <sheetFormatPr defaultColWidth="10.57421875" defaultRowHeight="14.25" customHeight="1"/>
  <cols>
    <col customWidth="1" hidden="1" min="1" max="1" style="60" width="9.140625"/>
    <col customWidth="1" hidden="1" min="2" max="2" style="53" width="9.140625"/>
    <col customWidth="1" min="3" max="3" style="479" width="3.00390625"/>
    <col customWidth="1" min="4" max="4" style="50" width="6.00390625"/>
    <col customWidth="1" min="5" max="5" style="50" width="53.00390625"/>
    <col customWidth="1" min="6" max="7" style="50" width="35.00390625"/>
    <col customWidth="1" min="8" max="8" style="50" width="89.00390625"/>
    <col customWidth="1" min="9" max="9" style="50" width="10.00390625"/>
    <col customWidth="1" min="10" max="11" style="130" width="10.00390625"/>
    <col customWidth="1" min="12" max="17" style="50" width="10.00390625"/>
    <col hidden="1" min="18" max="18" style="50" width="10.57421875"/>
  </cols>
  <sheetData>
    <row r="1" ht="22.5" hidden="1" customHeight="1">
      <c r="N1" s="821"/>
      <c r="O1" s="821"/>
      <c r="Q1" s="821"/>
      <c r="R1" s="50" t="s">
        <v>14</v>
      </c>
    </row>
    <row r="2" s="50" customFormat="1" ht="18.75" hidden="1" customHeight="1">
      <c r="A2" s="144"/>
      <c r="B2" s="53"/>
      <c r="C2" s="822" t="s">
        <v>683</v>
      </c>
      <c r="D2" s="345"/>
      <c r="E2" s="383"/>
      <c r="F2" s="1056"/>
      <c r="G2" s="471"/>
      <c r="H2" s="50"/>
      <c r="I2" s="130"/>
      <c r="J2" s="130"/>
      <c r="R2" s="50">
        <v>0</v>
      </c>
    </row>
    <row r="3" ht="14.25" hidden="1" customHeight="1">
      <c r="R3" s="50">
        <v>0</v>
      </c>
    </row>
    <row r="4" ht="6.2999999999999998" customHeight="1">
      <c r="C4" s="540"/>
      <c r="D4" s="91"/>
      <c r="E4" s="91"/>
      <c r="F4" s="91"/>
      <c r="G4" s="824"/>
      <c r="H4" s="824"/>
      <c r="R4" s="50">
        <v>6</v>
      </c>
    </row>
    <row r="5" ht="34.5" customHeight="1">
      <c r="C5" s="540"/>
      <c r="D5" s="237" t="str">
        <f>PURCH_NAME_FORM</f>
        <v xml:space="preserve">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38"/>
      <c r="F5" s="238"/>
      <c r="G5" s="239"/>
      <c r="H5" s="240"/>
      <c r="R5" s="50">
        <v>33</v>
      </c>
    </row>
    <row r="6" s="50" customFormat="1" ht="18" customHeight="1">
      <c r="A6" s="60"/>
      <c r="B6" s="53"/>
      <c r="C6" s="540"/>
      <c r="D6" s="409" t="str">
        <f>IF(org=0,"Не определено",org)</f>
        <v xml:space="preserve">АО "ДГК" СП "Биробиджанская ТЭЦ"</v>
      </c>
      <c r="E6" s="410"/>
      <c r="F6" s="410"/>
      <c r="G6" s="411"/>
      <c r="H6" s="240"/>
      <c r="J6" s="130"/>
      <c r="K6" s="130"/>
      <c r="R6" s="50">
        <v>17</v>
      </c>
    </row>
    <row r="7" ht="14.65" customHeight="1">
      <c r="C7" s="540"/>
      <c r="D7" s="91"/>
      <c r="E7" s="83"/>
      <c r="F7" s="83"/>
      <c r="G7" s="342"/>
      <c r="H7" s="825"/>
      <c r="R7" s="50">
        <v>14</v>
      </c>
    </row>
    <row r="8" ht="14.65" customHeight="1">
      <c r="C8" s="540"/>
      <c r="D8" s="348" t="s">
        <v>294</v>
      </c>
      <c r="E8" s="348"/>
      <c r="F8" s="348"/>
      <c r="G8" s="348"/>
      <c r="H8" s="829" t="s">
        <v>295</v>
      </c>
      <c r="R8" s="50">
        <v>14</v>
      </c>
    </row>
    <row r="9" ht="24" customHeight="1">
      <c r="C9" s="540"/>
      <c r="D9" s="348" t="s">
        <v>87</v>
      </c>
      <c r="E9" s="247" t="s">
        <v>296</v>
      </c>
      <c r="F9" s="247" t="s">
        <v>297</v>
      </c>
      <c r="G9" s="247" t="s">
        <v>384</v>
      </c>
      <c r="H9" s="829"/>
      <c r="R9" s="50">
        <v>23</v>
      </c>
    </row>
    <row r="10" ht="14.65" customHeight="1">
      <c r="A10" s="144"/>
      <c r="C10" s="540"/>
      <c r="D10" s="345" t="s">
        <v>105</v>
      </c>
      <c r="E10" s="83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 xml:space="preserve">Сведения о правовых актах, регламентирующих правила закупки (положение о закупках) в организации горячего водоснабжения</v>
      </c>
      <c r="F10" s="1056"/>
      <c r="G10" s="471"/>
      <c r="H10" s="286" t="s">
        <v>1186</v>
      </c>
      <c r="R10" s="50">
        <v>14</v>
      </c>
    </row>
    <row r="11" ht="14.65" customHeight="1">
      <c r="A11" s="144"/>
      <c r="C11" s="540"/>
      <c r="D11" s="345" t="s">
        <v>106</v>
      </c>
      <c r="E11" s="83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 xml:space="preserve">Сведения о месте размещения правовых актов, регламентирующих правила закупки (положение о закупках) в организации горячего водоснабжения</v>
      </c>
      <c r="F11" s="1056"/>
      <c r="G11" s="471"/>
      <c r="H11" s="288"/>
      <c r="R11" s="50">
        <v>14</v>
      </c>
    </row>
    <row r="12" ht="14.65" customHeight="1">
      <c r="A12" s="144"/>
      <c r="C12" s="382"/>
      <c r="D12" s="345" t="s">
        <v>89</v>
      </c>
      <c r="E12" s="831" t="str">
        <f>"Сведения о планировании закупочных процедур"&amp;IF(TEMPLATE_SPHERE="TKO"," &lt;1&gt;","")</f>
        <v xml:space="preserve">Сведения о планировании закупочных процедур</v>
      </c>
      <c r="F12" s="1056"/>
      <c r="G12" s="471"/>
      <c r="H12" s="288"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 xml:space="preserve">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130"/>
      <c r="K12" s="50"/>
      <c r="R12" s="50">
        <v>14</v>
      </c>
    </row>
    <row r="13" ht="14.65" customHeight="1">
      <c r="A13" s="144"/>
      <c r="C13" s="382"/>
      <c r="D13" s="345" t="s">
        <v>90</v>
      </c>
      <c r="E13" s="831" t="str">
        <f>"Сведения о результатах проведения закупочных процедур"&amp;IF(TEMPLATE_SPHERE="TKO"," &lt;1&gt;","")</f>
        <v xml:space="preserve">Сведения о результатах проведения закупочных процедур</v>
      </c>
      <c r="F13" s="1056"/>
      <c r="G13" s="471"/>
      <c r="H13" s="288"/>
      <c r="I13" s="130"/>
      <c r="K13" s="50"/>
      <c r="R13" s="50">
        <v>14</v>
      </c>
    </row>
    <row r="14" ht="14.65" customHeight="1">
      <c r="A14" s="144"/>
      <c r="C14" s="540"/>
      <c r="D14" s="832"/>
      <c r="E14" s="178" t="s">
        <v>316</v>
      </c>
      <c r="F14" s="236"/>
      <c r="G14" s="833"/>
      <c r="H14" s="290"/>
      <c r="R14" s="50">
        <v>14</v>
      </c>
    </row>
    <row r="15" s="50" customFormat="1" ht="14.65" customHeight="1">
      <c r="A15" s="144"/>
      <c r="B15" s="53"/>
      <c r="C15" s="540"/>
      <c r="D15" s="776"/>
      <c r="E15" s="834"/>
      <c r="F15" s="835"/>
      <c r="G15" s="836"/>
      <c r="H15" s="1075"/>
      <c r="J15" s="130"/>
      <c r="K15" s="130"/>
      <c r="R15" s="50">
        <v>14</v>
      </c>
    </row>
    <row r="16" ht="14.65" customHeight="1">
      <c r="D16" s="477"/>
      <c r="E16" s="575"/>
      <c r="F16" s="575"/>
      <c r="G16" s="575"/>
      <c r="H16" s="575"/>
      <c r="R16" s="50">
        <v>14</v>
      </c>
    </row>
    <row r="17" ht="22.5" hidden="1" customHeight="1">
      <c r="A17" s="60" t="s">
        <v>81</v>
      </c>
      <c r="B17" s="53">
        <v>0</v>
      </c>
      <c r="C17" s="479">
        <v>3</v>
      </c>
      <c r="D17" s="50">
        <v>6</v>
      </c>
      <c r="E17" s="50">
        <v>53</v>
      </c>
      <c r="F17" s="50">
        <v>35</v>
      </c>
      <c r="G17" s="50">
        <v>35</v>
      </c>
      <c r="H17" s="50">
        <v>89</v>
      </c>
      <c r="I17" s="50">
        <v>10</v>
      </c>
      <c r="J17" s="130">
        <v>10</v>
      </c>
      <c r="K17" s="130">
        <v>10</v>
      </c>
      <c r="L17" s="50">
        <v>10</v>
      </c>
      <c r="M17" s="50">
        <v>10</v>
      </c>
      <c r="N17" s="50">
        <v>10</v>
      </c>
      <c r="O17" s="50">
        <v>10</v>
      </c>
      <c r="P17" s="50">
        <v>10</v>
      </c>
      <c r="Q17" s="50">
        <v>10</v>
      </c>
      <c r="R17" s="50">
        <v>23</v>
      </c>
    </row>
  </sheetData>
  <sheetProtection autoFilter="0" deleteColumns="1" deleteRows="1" formatCells="1" formatColumns="0" formatRows="0" insertColumns="1" insertHyperlinks="1" insertRows="1" objects="0" pivotTables="1" scenarios="0" selectLockedCells="0" selectUnlockedCells="0" sheet="1" sort="1"/>
  <mergeCells count="7">
    <mergeCell ref="D5:G5"/>
    <mergeCell ref="D6:G6"/>
    <mergeCell ref="D8:G8"/>
    <mergeCell ref="H8:H9"/>
    <mergeCell ref="H10:H11"/>
    <mergeCell ref="H12:H14"/>
    <mergeCell ref="E16:H16"/>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910016-00DB-4880-A2EE-00BA0097001D}"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howDropDown="0" showErrorMessage="1" showInputMessage="1">
          <x14:formula1>
            <xm:f>900</xm:f>
          </x14:formula1>
          <xm:sqref>G2 G10:G13</xm:sqref>
        </x14:dataValidation>
        <x14:dataValidation xr:uid="{00C10078-006F-4703-9C7F-0049005900C1}" type="textLength" allowBlank="1" error="Допускается ввод не более 900 символов!" errorStyle="stop" errorTitle="Ошибка" imeMode="noControl" operator="lessThanOrEqual" showDropDown="0" showErrorMessage="1" showInputMessage="1">
          <x14:formula1>
            <xm:f>900</xm:f>
          </x14:formula1>
          <xm:sqref>H10 E13 E2:F2 F10:F13</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outlinePr applyStyles="0" summaryBelow="1" summaryRight="1" showOutlineSymbols="1"/>
    <pageSetUpPr autoPageBreaks="1" fitToPage="0"/>
  </sheetPr>
  <sheetViews>
    <sheetView showGridLines="0" zoomScale="90" workbookViewId="0">
      <pane xSplit="6" ySplit="12" topLeftCell="G13" activePane="bottomRight" state="frozen"/>
      <selection activeCell="A1" activeCellId="0" sqref="A1"/>
    </sheetView>
  </sheetViews>
  <sheetFormatPr defaultColWidth="9.140625" defaultRowHeight="11.25" customHeight="1"/>
  <cols>
    <col customWidth="1" hidden="1" min="1" max="2" style="130" width="3.7109375"/>
    <col customWidth="1" min="3" max="3" style="185" width="3.00390625"/>
    <col customWidth="1" min="4" max="4" style="185" width="6.00390625"/>
    <col customWidth="1" min="5" max="5" style="185" width="42.00390625"/>
    <col customWidth="1" min="6" max="6" style="185" width="15.00390625"/>
    <col customWidth="1" min="7" max="7" style="185" width="42.00390625"/>
    <col customWidth="1" min="8" max="8" style="185" width="3.00390625"/>
    <col customWidth="1" min="9" max="9" style="185" width="5.00390625"/>
    <col customWidth="1" min="10" max="10" style="185" width="47.00390625"/>
    <col customWidth="1" min="11" max="12" style="185" width="3.00390625"/>
    <col customWidth="1" min="13" max="13" style="185" width="5.00390625"/>
    <col customWidth="1" min="14" max="14" style="185" width="28.00390625"/>
    <col customWidth="1" min="15" max="16" style="185" width="3.00390625"/>
    <col customWidth="1" min="17" max="17" style="185" width="5.00390625"/>
    <col customWidth="1" min="18" max="18" style="185" width="34.00390625"/>
    <col customWidth="1" hidden="1" min="19" max="20" style="185" width="3.7109375"/>
    <col customWidth="1" hidden="1" min="21" max="21" style="185" width="5.7109375"/>
    <col customWidth="1" hidden="1" min="22" max="22" style="185" width="34.421875"/>
    <col customWidth="1" min="23" max="23" style="185" width="30.00390625"/>
    <col customWidth="1" min="24" max="24" style="185" width="3.00390625"/>
    <col customWidth="1" hidden="1" min="25" max="28" style="107" width="9.8515625"/>
    <col customWidth="1" hidden="1" min="29" max="29" style="107" width="27.00390625"/>
    <col customWidth="1" hidden="1" min="30" max="30" style="107" width="10.57421875"/>
    <col customWidth="1" hidden="1" min="31" max="31" style="107" width="10.7109375"/>
    <col customWidth="1" hidden="1" min="32" max="32" style="107" width="10.00390625"/>
    <col customWidth="1" hidden="1" min="33" max="33" style="107" width="12.8515625"/>
    <col customWidth="1" hidden="1" min="34" max="34" style="107" width="24.421875"/>
    <col customWidth="1" hidden="1" min="35" max="35" style="107" width="15.8515625"/>
    <col customWidth="1" hidden="1" min="36" max="36" style="107" width="19.421875"/>
    <col customWidth="1" hidden="1" min="37" max="37" style="107" width="11.00390625"/>
    <col customWidth="1" hidden="1" min="38" max="38" style="107" width="23.57421875"/>
    <col customWidth="1" hidden="1" min="39" max="39" style="107" width="23.8515625"/>
    <col customWidth="1" hidden="1" min="40" max="40" style="107" width="25.28125"/>
    <col customWidth="1" hidden="1" min="41" max="41" style="107" width="16.8515625"/>
    <col customWidth="1" hidden="1" min="42" max="42" style="107" width="29.57421875"/>
    <col customWidth="1" hidden="1" min="43" max="43" style="107" width="29.8515625"/>
    <col hidden="1" min="44" max="44" style="185" width="9.140625"/>
  </cols>
  <sheetData>
    <row r="1" ht="11.25" hidden="1" customHeight="1">
      <c r="A1" s="130"/>
      <c r="AR1" s="185" t="s">
        <v>14</v>
      </c>
    </row>
    <row r="2" ht="11.25" hidden="1" customHeight="1">
      <c r="AR2" s="185">
        <v>0</v>
      </c>
    </row>
    <row r="3" ht="11.25" hidden="1" customHeight="1">
      <c r="AR3" s="185">
        <v>0</v>
      </c>
    </row>
    <row r="4" ht="3" customHeight="1">
      <c r="AR4" s="185">
        <v>3</v>
      </c>
    </row>
    <row r="5" s="189" customFormat="1" ht="30.449999999999999" customHeight="1">
      <c r="A5" s="194"/>
      <c r="B5" s="194"/>
      <c r="D5" s="23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 xml:space="preserve">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38"/>
      <c r="F5" s="238"/>
      <c r="G5" s="238"/>
      <c r="H5" s="238"/>
      <c r="I5" s="238"/>
      <c r="J5" s="239"/>
      <c r="K5" s="240"/>
      <c r="L5" s="241"/>
      <c r="M5" s="241"/>
      <c r="N5" s="241"/>
      <c r="O5" s="241"/>
      <c r="P5" s="241"/>
      <c r="Q5" s="241"/>
      <c r="R5" s="241"/>
      <c r="S5" s="241"/>
      <c r="T5" s="241"/>
      <c r="U5" s="241"/>
      <c r="V5" s="241"/>
      <c r="W5" s="241"/>
      <c r="Y5" s="195"/>
      <c r="Z5" s="195"/>
      <c r="AA5" s="195"/>
      <c r="AB5" s="195"/>
      <c r="AC5" s="195"/>
      <c r="AD5" s="195"/>
      <c r="AE5" s="195"/>
      <c r="AF5" s="195"/>
      <c r="AG5" s="195"/>
      <c r="AH5" s="195"/>
      <c r="AI5" s="195"/>
      <c r="AJ5" s="195"/>
      <c r="AK5" s="195"/>
      <c r="AL5" s="195"/>
      <c r="AM5" s="195"/>
      <c r="AN5" s="195"/>
      <c r="AO5" s="195"/>
      <c r="AP5" s="195"/>
      <c r="AQ5" s="195"/>
      <c r="AR5" s="189">
        <v>29</v>
      </c>
    </row>
    <row r="6" s="189" customFormat="1" ht="14.65" customHeight="1">
      <c r="A6" s="107"/>
      <c r="B6" s="107"/>
      <c r="C6" s="107"/>
      <c r="D6" s="242" t="str">
        <f>IF(org=0,"Не определено",org)</f>
        <v xml:space="preserve">АО "ДГК" СП "Биробиджанская ТЭЦ"</v>
      </c>
      <c r="E6" s="242"/>
      <c r="F6" s="242"/>
      <c r="G6" s="242"/>
      <c r="H6" s="242"/>
      <c r="I6" s="242"/>
      <c r="J6" s="242"/>
      <c r="K6" s="193"/>
      <c r="L6" s="193"/>
      <c r="M6" s="193"/>
      <c r="N6" s="193"/>
      <c r="O6" s="194"/>
      <c r="P6" s="194"/>
      <c r="Q6" s="194"/>
      <c r="R6" s="194"/>
      <c r="S6" s="194"/>
      <c r="T6" s="194"/>
      <c r="U6" s="194"/>
      <c r="V6" s="194"/>
      <c r="W6" s="194"/>
      <c r="X6" s="193"/>
      <c r="Y6" s="195"/>
      <c r="Z6" s="195"/>
      <c r="AA6" s="195"/>
      <c r="AB6" s="195"/>
      <c r="AC6" s="195"/>
      <c r="AD6" s="195"/>
      <c r="AE6" s="195"/>
      <c r="AF6" s="195"/>
      <c r="AG6" s="195"/>
      <c r="AH6" s="195"/>
      <c r="AI6" s="195"/>
      <c r="AJ6" s="195"/>
      <c r="AK6" s="195"/>
      <c r="AL6" s="195"/>
      <c r="AM6" s="195"/>
      <c r="AN6" s="195"/>
      <c r="AO6" s="195"/>
      <c r="AP6" s="195"/>
      <c r="AQ6" s="195"/>
      <c r="AR6" s="189">
        <v>14</v>
      </c>
    </row>
    <row r="7" s="243" customFormat="1" ht="11.5" customHeight="1">
      <c r="A7" s="130"/>
      <c r="B7" s="130"/>
      <c r="D7" s="244"/>
      <c r="E7" s="245"/>
      <c r="F7" s="245"/>
      <c r="G7" s="245"/>
      <c r="H7" s="245"/>
      <c r="I7" s="245"/>
      <c r="J7" s="246"/>
      <c r="S7" s="243"/>
      <c r="T7" s="243"/>
      <c r="U7" s="243"/>
      <c r="V7" s="243"/>
      <c r="Y7" s="107"/>
      <c r="Z7" s="107"/>
      <c r="AA7" s="107"/>
      <c r="AB7" s="107"/>
      <c r="AC7" s="107"/>
      <c r="AD7" s="107"/>
      <c r="AE7" s="107"/>
      <c r="AF7" s="107"/>
      <c r="AG7" s="107"/>
      <c r="AH7" s="107"/>
      <c r="AI7" s="107"/>
      <c r="AJ7" s="107"/>
      <c r="AK7" s="107"/>
      <c r="AL7" s="107"/>
      <c r="AM7" s="107"/>
      <c r="AN7" s="107"/>
      <c r="AO7" s="107"/>
      <c r="AP7" s="107"/>
      <c r="AQ7" s="107"/>
      <c r="AR7" s="243">
        <v>11</v>
      </c>
    </row>
    <row r="8" s="189" customFormat="1" ht="1.05" customHeight="1">
      <c r="A8" s="194"/>
      <c r="B8" s="194"/>
      <c r="D8" s="198"/>
      <c r="E8" s="198"/>
      <c r="F8" s="198"/>
      <c r="G8" s="198"/>
      <c r="H8" s="198"/>
      <c r="I8" s="198"/>
      <c r="J8" s="198"/>
      <c r="K8" s="198"/>
      <c r="L8" s="198"/>
      <c r="M8" s="198"/>
      <c r="N8" s="198"/>
      <c r="O8" s="198"/>
      <c r="P8" s="198"/>
      <c r="Q8" s="198"/>
      <c r="R8" s="198"/>
      <c r="S8" s="198"/>
      <c r="T8" s="198"/>
      <c r="U8" s="198"/>
      <c r="V8" s="198"/>
      <c r="W8" s="198"/>
      <c r="X8" s="189"/>
      <c r="Y8" s="195"/>
      <c r="Z8" s="195"/>
      <c r="AA8" s="195"/>
      <c r="AB8" s="195"/>
      <c r="AC8" s="195"/>
      <c r="AD8" s="195"/>
      <c r="AE8" s="195"/>
      <c r="AF8" s="195"/>
      <c r="AG8" s="195"/>
      <c r="AH8" s="195"/>
      <c r="AI8" s="195"/>
      <c r="AJ8" s="195"/>
      <c r="AK8" s="195"/>
      <c r="AL8" s="195"/>
      <c r="AM8" s="195"/>
      <c r="AN8" s="195"/>
      <c r="AO8" s="195"/>
      <c r="AP8" s="195"/>
      <c r="AQ8" s="195"/>
      <c r="AR8" s="189">
        <v>1</v>
      </c>
    </row>
    <row r="9" ht="28.5" customHeight="1">
      <c r="D9" s="158" t="s">
        <v>87</v>
      </c>
      <c r="E9" s="73" t="s">
        <v>118</v>
      </c>
      <c r="F9" s="72"/>
      <c r="G9" s="158" t="s">
        <v>101</v>
      </c>
      <c r="H9" s="158" t="s">
        <v>87</v>
      </c>
      <c r="I9" s="158"/>
      <c r="J9" s="158" t="s">
        <v>119</v>
      </c>
      <c r="K9" s="247" t="s">
        <v>120</v>
      </c>
      <c r="L9" s="247"/>
      <c r="M9" s="247"/>
      <c r="N9" s="247"/>
      <c r="O9" s="247" t="s">
        <v>121</v>
      </c>
      <c r="P9" s="247"/>
      <c r="Q9" s="247"/>
      <c r="R9" s="247"/>
      <c r="S9" s="247" t="s">
        <v>122</v>
      </c>
      <c r="T9" s="247"/>
      <c r="U9" s="247"/>
      <c r="V9" s="247"/>
      <c r="W9" s="158" t="s">
        <v>123</v>
      </c>
      <c r="AR9" s="185">
        <v>27</v>
      </c>
    </row>
    <row r="10" ht="31.5" customHeight="1">
      <c r="D10" s="158"/>
      <c r="E10" s="158" t="s">
        <v>88</v>
      </c>
      <c r="F10" s="158" t="s">
        <v>124</v>
      </c>
      <c r="G10" s="158"/>
      <c r="H10" s="158"/>
      <c r="I10" s="158"/>
      <c r="J10" s="158"/>
      <c r="K10" s="158" t="s">
        <v>104</v>
      </c>
      <c r="L10" s="158" t="s">
        <v>87</v>
      </c>
      <c r="M10" s="158"/>
      <c r="N10" s="158" t="s">
        <v>125</v>
      </c>
      <c r="O10" s="158" t="s">
        <v>104</v>
      </c>
      <c r="P10" s="158" t="s">
        <v>87</v>
      </c>
      <c r="Q10" s="158"/>
      <c r="R10" s="158" t="s">
        <v>125</v>
      </c>
      <c r="S10" s="158" t="s">
        <v>104</v>
      </c>
      <c r="T10" s="158" t="s">
        <v>87</v>
      </c>
      <c r="U10" s="158"/>
      <c r="V10" s="158" t="s">
        <v>88</v>
      </c>
      <c r="W10" s="158"/>
      <c r="Z10" s="107" t="s">
        <v>126</v>
      </c>
      <c r="AA10" s="107" t="s">
        <v>127</v>
      </c>
      <c r="AB10" s="107" t="s">
        <v>128</v>
      </c>
      <c r="AC10" s="107" t="s">
        <v>129</v>
      </c>
      <c r="AD10" s="107" t="s">
        <v>130</v>
      </c>
      <c r="AE10" s="107" t="s">
        <v>131</v>
      </c>
      <c r="AF10" s="107" t="s">
        <v>132</v>
      </c>
      <c r="AG10" s="107" t="s">
        <v>133</v>
      </c>
      <c r="AH10" s="107" t="s">
        <v>134</v>
      </c>
      <c r="AI10" s="107" t="s">
        <v>135</v>
      </c>
      <c r="AJ10" s="107" t="s">
        <v>136</v>
      </c>
      <c r="AK10" s="107" t="s">
        <v>137</v>
      </c>
      <c r="AL10" s="107" t="s">
        <v>138</v>
      </c>
      <c r="AM10" s="107" t="s">
        <v>139</v>
      </c>
      <c r="AN10" s="107" t="s">
        <v>140</v>
      </c>
      <c r="AO10" s="107" t="s">
        <v>141</v>
      </c>
      <c r="AP10" s="107" t="s">
        <v>142</v>
      </c>
      <c r="AQ10" s="107" t="s">
        <v>143</v>
      </c>
      <c r="AR10" s="185">
        <v>30</v>
      </c>
    </row>
    <row r="11" s="130" customFormat="1" ht="12" hidden="1" customHeight="1">
      <c r="D11" s="248" t="s">
        <v>105</v>
      </c>
      <c r="E11" s="248" t="s">
        <v>106</v>
      </c>
      <c r="F11" s="248"/>
      <c r="G11" s="248" t="s">
        <v>89</v>
      </c>
      <c r="H11" s="249" t="s">
        <v>107</v>
      </c>
      <c r="I11" s="249"/>
      <c r="J11" s="248" t="s">
        <v>91</v>
      </c>
      <c r="K11" s="248" t="s">
        <v>92</v>
      </c>
      <c r="L11" s="249" t="s">
        <v>108</v>
      </c>
      <c r="M11" s="249"/>
      <c r="N11" s="248" t="s">
        <v>144</v>
      </c>
      <c r="O11" s="248" t="s">
        <v>145</v>
      </c>
      <c r="P11" s="249" t="s">
        <v>146</v>
      </c>
      <c r="Q11" s="249"/>
      <c r="R11" s="248" t="s">
        <v>147</v>
      </c>
      <c r="S11" s="248" t="s">
        <v>146</v>
      </c>
      <c r="T11" s="249" t="s">
        <v>147</v>
      </c>
      <c r="U11" s="249"/>
      <c r="V11" s="248" t="s">
        <v>148</v>
      </c>
      <c r="W11" s="248" t="s">
        <v>149</v>
      </c>
      <c r="Y11" s="107"/>
      <c r="Z11" s="107"/>
      <c r="AA11" s="107"/>
      <c r="AB11" s="107"/>
      <c r="AC11" s="107"/>
      <c r="AD11" s="107"/>
      <c r="AE11" s="107"/>
      <c r="AF11" s="107"/>
      <c r="AG11" s="107"/>
      <c r="AH11" s="107"/>
      <c r="AI11" s="107"/>
      <c r="AJ11" s="107"/>
      <c r="AK11" s="107"/>
      <c r="AL11" s="107"/>
      <c r="AM11" s="107"/>
      <c r="AN11" s="107"/>
      <c r="AO11" s="107"/>
      <c r="AP11" s="107"/>
      <c r="AQ11" s="107"/>
      <c r="AR11" s="130">
        <v>0</v>
      </c>
    </row>
    <row r="12" ht="14.25" hidden="1" customHeight="1">
      <c r="C12" s="129"/>
      <c r="D12" s="250">
        <v>0</v>
      </c>
      <c r="E12" s="158"/>
      <c r="F12" s="158"/>
      <c r="G12" s="158"/>
      <c r="H12" s="251"/>
      <c r="I12" s="251"/>
      <c r="J12" s="219"/>
      <c r="K12" s="219"/>
      <c r="L12" s="219"/>
      <c r="M12" s="219"/>
      <c r="N12" s="252"/>
      <c r="O12" s="219"/>
      <c r="P12" s="219"/>
      <c r="Q12" s="219"/>
      <c r="R12" s="253"/>
      <c r="S12" s="219"/>
      <c r="T12" s="219"/>
      <c r="U12" s="219"/>
      <c r="V12" s="253"/>
      <c r="W12" s="219"/>
      <c r="X12" s="185"/>
      <c r="AR12" s="185">
        <v>0</v>
      </c>
    </row>
    <row r="13" s="185" customFormat="1" ht="17.25" hidden="1" customHeight="1">
      <c r="A13" s="254"/>
      <c r="C13" s="129"/>
      <c r="D13" s="255">
        <v>1</v>
      </c>
      <c r="E13" s="256" t="s">
        <v>150</v>
      </c>
      <c r="F13" s="257" t="s">
        <v>19</v>
      </c>
      <c r="G13" s="256"/>
      <c r="H13" s="258"/>
      <c r="I13" s="259"/>
      <c r="J13" s="260"/>
      <c r="K13" s="261"/>
      <c r="L13" s="261"/>
      <c r="M13" s="261"/>
      <c r="N13" s="262"/>
      <c r="O13" s="261"/>
      <c r="P13" s="261"/>
      <c r="Q13" s="261"/>
      <c r="R13" s="263"/>
      <c r="S13" s="261"/>
      <c r="T13" s="261"/>
      <c r="U13" s="261"/>
      <c r="V13" s="263"/>
      <c r="W13" s="264"/>
      <c r="Y13" s="265"/>
      <c r="Z13" s="265"/>
      <c r="AA13" s="265"/>
      <c r="AB13" s="265"/>
      <c r="AC13" s="265" t="s">
        <v>151</v>
      </c>
      <c r="AD13" s="265" t="s">
        <v>152</v>
      </c>
      <c r="AE13" s="265" t="s">
        <v>153</v>
      </c>
      <c r="AF13" s="265" t="s">
        <v>154</v>
      </c>
      <c r="AG13" s="265" t="s">
        <v>155</v>
      </c>
      <c r="AH13" s="265" t="str">
        <f>IF($E$13=0,"",$E$13)</f>
        <v xml:space="preserve">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265" t="str">
        <f>IF($G$13=0,"",$G$13)</f>
        <v/>
      </c>
      <c r="AJ13" s="265" t="str">
        <f>IF($J$13=0,"",$J$13)</f>
        <v/>
      </c>
      <c r="AK13" s="265" t="str">
        <f>IF($K$13="нет","без дифференциации",IF($N$13=0,"",$N$13))</f>
        <v/>
      </c>
      <c r="AL13" s="265" t="str">
        <f>IF($O$13="нет","без дифференциации",IF($R$13=0,"",$R$13))</f>
        <v/>
      </c>
      <c r="AM13" s="265" t="str">
        <f>IF($S$13="нет","без дифференциации",IF($V$13=0,"",$V$13))</f>
        <v/>
      </c>
      <c r="AN13" s="265">
        <f>$I$13</f>
        <v>0</v>
      </c>
      <c r="AO13" s="265" t="str">
        <f>$I$13&amp;"."&amp;$M$13</f>
        <v>.</v>
      </c>
      <c r="AP13" s="265" t="str">
        <f>$I$13&amp;"."&amp;$M$13&amp;"."&amp;$Q$13</f>
        <v>..</v>
      </c>
      <c r="AQ13" s="265" t="str">
        <f>$I$13&amp;"."&amp;$M$13&amp;"."&amp;$Q$13&amp;"."&amp;$U$13</f>
        <v>...</v>
      </c>
      <c r="AR13" s="185">
        <v>0</v>
      </c>
    </row>
    <row r="14" s="185" customFormat="1" ht="17.25" hidden="1" customHeight="1">
      <c r="A14" s="254"/>
      <c r="C14" s="185"/>
      <c r="D14" s="255"/>
      <c r="E14" s="256"/>
      <c r="F14" s="266"/>
      <c r="G14" s="256"/>
      <c r="H14" s="267"/>
      <c r="I14" s="268"/>
      <c r="J14" s="269"/>
      <c r="K14" s="126"/>
      <c r="L14" s="126"/>
      <c r="M14" s="126"/>
      <c r="N14" s="270"/>
      <c r="O14" s="126"/>
      <c r="P14" s="126"/>
      <c r="Q14" s="126"/>
      <c r="R14" s="271"/>
      <c r="S14" s="126"/>
      <c r="T14" s="272"/>
      <c r="U14" s="272"/>
      <c r="V14" s="272"/>
      <c r="W14" s="273"/>
      <c r="Y14" s="107"/>
      <c r="Z14" s="107"/>
      <c r="AA14" s="107"/>
      <c r="AB14" s="107"/>
      <c r="AC14" s="107"/>
      <c r="AD14" s="107"/>
      <c r="AE14" s="107"/>
      <c r="AF14" s="107"/>
      <c r="AG14" s="107"/>
      <c r="AH14" s="107"/>
      <c r="AI14" s="107"/>
      <c r="AJ14" s="107"/>
      <c r="AK14" s="107"/>
      <c r="AL14" s="107"/>
      <c r="AM14" s="107"/>
      <c r="AN14" s="107"/>
      <c r="AO14" s="107"/>
      <c r="AP14" s="107"/>
      <c r="AQ14" s="107"/>
      <c r="AR14" s="185">
        <v>0</v>
      </c>
    </row>
    <row r="15" s="185" customFormat="1" ht="17.25" hidden="1" customHeight="1">
      <c r="A15" s="254"/>
      <c r="C15" s="129"/>
      <c r="D15" s="255"/>
      <c r="E15" s="256"/>
      <c r="F15" s="266"/>
      <c r="G15" s="256"/>
      <c r="H15" s="267"/>
      <c r="I15" s="268"/>
      <c r="J15" s="274"/>
      <c r="K15" s="126"/>
      <c r="L15" s="126"/>
      <c r="M15" s="126"/>
      <c r="N15" s="271"/>
      <c r="O15" s="126"/>
      <c r="P15" s="126"/>
      <c r="Q15" s="272"/>
      <c r="R15" s="272"/>
      <c r="S15" s="185"/>
      <c r="T15" s="185"/>
      <c r="U15" s="185"/>
      <c r="V15" s="185"/>
      <c r="W15" s="273"/>
      <c r="Y15" s="265"/>
      <c r="Z15" s="265"/>
      <c r="AA15" s="265"/>
      <c r="AB15" s="265"/>
      <c r="AC15" s="265"/>
      <c r="AD15" s="265"/>
      <c r="AE15" s="265"/>
      <c r="AF15" s="265"/>
      <c r="AG15" s="265"/>
      <c r="AH15" s="265"/>
      <c r="AI15" s="265"/>
      <c r="AJ15" s="265"/>
      <c r="AK15" s="265"/>
      <c r="AL15" s="265"/>
      <c r="AM15" s="265"/>
      <c r="AN15" s="265"/>
      <c r="AO15" s="265"/>
      <c r="AP15" s="265"/>
      <c r="AQ15" s="265"/>
      <c r="AR15" s="185">
        <v>0</v>
      </c>
    </row>
    <row r="16" s="185" customFormat="1" ht="17.25" hidden="1" customHeight="1">
      <c r="A16" s="254"/>
      <c r="C16" s="185"/>
      <c r="D16" s="255"/>
      <c r="E16" s="256"/>
      <c r="F16" s="266"/>
      <c r="G16" s="256"/>
      <c r="H16" s="267"/>
      <c r="I16" s="268"/>
      <c r="J16" s="274"/>
      <c r="K16" s="126"/>
      <c r="L16" s="272"/>
      <c r="M16" s="272"/>
      <c r="N16" s="272"/>
      <c r="O16" s="272"/>
      <c r="P16" s="272"/>
      <c r="Q16" s="272"/>
      <c r="R16" s="272"/>
      <c r="S16" s="185"/>
      <c r="T16" s="185"/>
      <c r="U16" s="185"/>
      <c r="V16" s="185"/>
      <c r="W16" s="273"/>
      <c r="Y16" s="107"/>
      <c r="Z16" s="107"/>
      <c r="AA16" s="107"/>
      <c r="AB16" s="107"/>
      <c r="AC16" s="107"/>
      <c r="AD16" s="107"/>
      <c r="AE16" s="107"/>
      <c r="AF16" s="107"/>
      <c r="AG16" s="107"/>
      <c r="AH16" s="107"/>
      <c r="AI16" s="107"/>
      <c r="AJ16" s="107"/>
      <c r="AK16" s="107"/>
      <c r="AL16" s="107"/>
      <c r="AM16" s="107"/>
      <c r="AN16" s="107"/>
      <c r="AO16" s="107"/>
      <c r="AP16" s="107"/>
      <c r="AQ16" s="107"/>
      <c r="AR16" s="185">
        <v>0</v>
      </c>
    </row>
    <row r="17" s="185" customFormat="1" ht="17.25" hidden="1" customHeight="1">
      <c r="A17" s="254"/>
      <c r="C17" s="185"/>
      <c r="D17" s="275"/>
      <c r="E17" s="276"/>
      <c r="F17" s="277"/>
      <c r="G17" s="276"/>
      <c r="H17" s="278"/>
      <c r="I17" s="279"/>
      <c r="J17" s="279"/>
      <c r="K17" s="279"/>
      <c r="L17" s="279"/>
      <c r="M17" s="279"/>
      <c r="N17" s="279"/>
      <c r="O17" s="279"/>
      <c r="P17" s="279"/>
      <c r="Q17" s="279"/>
      <c r="R17" s="279"/>
      <c r="S17" s="280"/>
      <c r="T17" s="280"/>
      <c r="U17" s="280"/>
      <c r="V17" s="280"/>
      <c r="W17" s="281"/>
      <c r="Y17" s="107"/>
      <c r="Z17" s="107"/>
      <c r="AA17" s="107"/>
      <c r="AB17" s="107"/>
      <c r="AC17" s="107"/>
      <c r="AD17" s="107"/>
      <c r="AE17" s="107"/>
      <c r="AF17" s="107"/>
      <c r="AG17" s="107"/>
      <c r="AH17" s="107"/>
      <c r="AI17" s="107"/>
      <c r="AJ17" s="107"/>
      <c r="AK17" s="107"/>
      <c r="AL17" s="107"/>
      <c r="AM17" s="107"/>
      <c r="AN17" s="107"/>
      <c r="AO17" s="107"/>
      <c r="AP17" s="107"/>
      <c r="AQ17" s="107"/>
      <c r="AR17" s="185">
        <v>0</v>
      </c>
    </row>
    <row r="18" s="185" customFormat="1" ht="17.25" hidden="1" customHeight="1">
      <c r="A18" s="254"/>
      <c r="C18" s="129"/>
      <c r="D18" s="255">
        <v>2</v>
      </c>
      <c r="E18" s="282"/>
      <c r="F18" s="257" t="s">
        <v>19</v>
      </c>
      <c r="G18" s="256"/>
      <c r="H18" s="258"/>
      <c r="I18" s="259"/>
      <c r="J18" s="260"/>
      <c r="K18" s="261"/>
      <c r="L18" s="261"/>
      <c r="M18" s="261"/>
      <c r="N18" s="262"/>
      <c r="O18" s="261"/>
      <c r="P18" s="261"/>
      <c r="Q18" s="261"/>
      <c r="R18" s="263"/>
      <c r="S18" s="261"/>
      <c r="T18" s="261"/>
      <c r="U18" s="261"/>
      <c r="V18" s="263"/>
      <c r="W18" s="264"/>
      <c r="X18" s="265"/>
      <c r="Y18" s="265"/>
      <c r="Z18" s="265"/>
      <c r="AA18" s="265"/>
      <c r="AB18" s="265"/>
      <c r="AC18" s="265" t="s">
        <v>156</v>
      </c>
      <c r="AD18" s="265" t="s">
        <v>157</v>
      </c>
      <c r="AE18" s="265" t="s">
        <v>158</v>
      </c>
      <c r="AF18" s="265" t="s">
        <v>159</v>
      </c>
      <c r="AG18" s="265" t="s">
        <v>160</v>
      </c>
      <c r="AH18" s="265" t="str">
        <f>IF($E$18=0,"",$E$18)</f>
        <v/>
      </c>
      <c r="AI18" s="265" t="str">
        <f>IF($G$18=0,"",$G$18)</f>
        <v/>
      </c>
      <c r="AJ18" s="265" t="str">
        <f>IF($J$18=0,"",$J$18)</f>
        <v/>
      </c>
      <c r="AK18" s="265" t="str">
        <f>IF($K$18="нет","без дифференциации",IF($N$18=0,"",$N$18))</f>
        <v/>
      </c>
      <c r="AL18" s="265" t="str">
        <f>IF($O$18="нет","без дифференциации",IF($R$18=0,"",$R$18))</f>
        <v/>
      </c>
      <c r="AM18" s="265" t="str">
        <f>IF($S$18="нет","без дифференциации",IF($V$18=0,"",$V$18))</f>
        <v/>
      </c>
      <c r="AN18" s="283">
        <f>$I$18</f>
        <v>0</v>
      </c>
      <c r="AO18" s="265" t="str">
        <f>$I$18&amp;"."&amp;$M$18</f>
        <v>.</v>
      </c>
      <c r="AP18" s="107" t="str">
        <f>$I$18&amp;"."&amp;$M$18&amp;"."&amp;$Q$18</f>
        <v>..</v>
      </c>
      <c r="AQ18" s="107" t="str">
        <f>$I$18&amp;"."&amp;$M$18&amp;"."&amp;$Q$18&amp;"."&amp;$U$18</f>
        <v>...</v>
      </c>
      <c r="AR18" s="185">
        <v>0</v>
      </c>
    </row>
    <row r="19" s="185" customFormat="1" ht="17.25" hidden="1" customHeight="1">
      <c r="A19" s="254"/>
      <c r="C19" s="185"/>
      <c r="D19" s="255"/>
      <c r="E19" s="282"/>
      <c r="F19" s="266"/>
      <c r="G19" s="256"/>
      <c r="H19" s="267"/>
      <c r="I19" s="268"/>
      <c r="J19" s="269"/>
      <c r="K19" s="126"/>
      <c r="L19" s="126"/>
      <c r="M19" s="126"/>
      <c r="N19" s="270"/>
      <c r="O19" s="126"/>
      <c r="P19" s="126"/>
      <c r="Q19" s="126"/>
      <c r="R19" s="271"/>
      <c r="S19" s="126"/>
      <c r="T19" s="272"/>
      <c r="U19" s="272"/>
      <c r="V19" s="272"/>
      <c r="W19" s="273"/>
      <c r="X19" s="107"/>
      <c r="Y19" s="107"/>
      <c r="Z19" s="107"/>
      <c r="AA19" s="107"/>
      <c r="AB19" s="107"/>
      <c r="AC19" s="107"/>
      <c r="AD19" s="107"/>
      <c r="AE19" s="107"/>
      <c r="AF19" s="107"/>
      <c r="AG19" s="107"/>
      <c r="AH19" s="107"/>
      <c r="AI19" s="107"/>
      <c r="AJ19" s="107"/>
      <c r="AK19" s="107"/>
      <c r="AL19" s="107"/>
      <c r="AM19" s="107"/>
      <c r="AN19" s="107"/>
      <c r="AO19" s="107"/>
      <c r="AP19" s="107"/>
      <c r="AQ19" s="107"/>
      <c r="AR19" s="185">
        <v>0</v>
      </c>
    </row>
    <row r="20" s="185" customFormat="1" ht="17.25" hidden="1" customHeight="1">
      <c r="A20" s="254"/>
      <c r="C20" s="185"/>
      <c r="D20" s="275"/>
      <c r="E20" s="284"/>
      <c r="F20" s="266"/>
      <c r="G20" s="276"/>
      <c r="H20" s="267"/>
      <c r="I20" s="268"/>
      <c r="J20" s="274"/>
      <c r="K20" s="126"/>
      <c r="L20" s="126"/>
      <c r="M20" s="126"/>
      <c r="N20" s="271"/>
      <c r="O20" s="126"/>
      <c r="P20" s="126"/>
      <c r="Q20" s="272"/>
      <c r="R20" s="272"/>
      <c r="S20" s="185"/>
      <c r="T20" s="185"/>
      <c r="U20" s="185"/>
      <c r="V20" s="185"/>
      <c r="W20" s="273"/>
      <c r="X20" s="107"/>
      <c r="Y20" s="107"/>
      <c r="Z20" s="107"/>
      <c r="AA20" s="107"/>
      <c r="AB20" s="107"/>
      <c r="AC20" s="107"/>
      <c r="AD20" s="107"/>
      <c r="AE20" s="107"/>
      <c r="AF20" s="107"/>
      <c r="AG20" s="107"/>
      <c r="AH20" s="107"/>
      <c r="AI20" s="107"/>
      <c r="AJ20" s="107"/>
      <c r="AK20" s="107"/>
      <c r="AL20" s="107"/>
      <c r="AM20" s="107"/>
      <c r="AN20" s="107"/>
      <c r="AO20" s="107"/>
      <c r="AP20" s="107"/>
      <c r="AQ20" s="107"/>
      <c r="AR20" s="185">
        <v>0</v>
      </c>
    </row>
    <row r="21" s="185" customFormat="1" ht="17.25" hidden="1" customHeight="1">
      <c r="A21" s="254"/>
      <c r="C21" s="185"/>
      <c r="D21" s="275"/>
      <c r="E21" s="284"/>
      <c r="F21" s="266"/>
      <c r="G21" s="276"/>
      <c r="H21" s="267"/>
      <c r="I21" s="268"/>
      <c r="J21" s="274"/>
      <c r="K21" s="126"/>
      <c r="L21" s="272"/>
      <c r="M21" s="272"/>
      <c r="N21" s="272"/>
      <c r="O21" s="272"/>
      <c r="P21" s="272"/>
      <c r="Q21" s="272"/>
      <c r="R21" s="272"/>
      <c r="S21" s="185"/>
      <c r="T21" s="185"/>
      <c r="U21" s="185"/>
      <c r="V21" s="185"/>
      <c r="W21" s="273"/>
      <c r="X21" s="107"/>
      <c r="Y21" s="107"/>
      <c r="Z21" s="107"/>
      <c r="AA21" s="107"/>
      <c r="AB21" s="107"/>
      <c r="AC21" s="107"/>
      <c r="AD21" s="107"/>
      <c r="AE21" s="107"/>
      <c r="AF21" s="107"/>
      <c r="AG21" s="107"/>
      <c r="AH21" s="107"/>
      <c r="AI21" s="107"/>
      <c r="AJ21" s="107"/>
      <c r="AK21" s="107"/>
      <c r="AL21" s="107"/>
      <c r="AM21" s="107"/>
      <c r="AN21" s="107"/>
      <c r="AO21" s="107"/>
      <c r="AP21" s="107"/>
      <c r="AQ21" s="107"/>
      <c r="AR21" s="185">
        <v>0</v>
      </c>
    </row>
    <row r="22" s="185" customFormat="1" ht="17.25" hidden="1" customHeight="1">
      <c r="A22" s="254"/>
      <c r="C22" s="185"/>
      <c r="D22" s="275"/>
      <c r="E22" s="284"/>
      <c r="F22" s="277"/>
      <c r="G22" s="276"/>
      <c r="H22" s="278"/>
      <c r="I22" s="279"/>
      <c r="J22" s="279"/>
      <c r="K22" s="279"/>
      <c r="L22" s="279"/>
      <c r="M22" s="279"/>
      <c r="N22" s="279"/>
      <c r="O22" s="279"/>
      <c r="P22" s="279"/>
      <c r="Q22" s="279"/>
      <c r="R22" s="279"/>
      <c r="S22" s="280"/>
      <c r="T22" s="280"/>
      <c r="U22" s="280"/>
      <c r="V22" s="280"/>
      <c r="W22" s="281"/>
      <c r="X22" s="107"/>
      <c r="Y22" s="107"/>
      <c r="Z22" s="107"/>
      <c r="AA22" s="107"/>
      <c r="AB22" s="107"/>
      <c r="AC22" s="107"/>
      <c r="AD22" s="107"/>
      <c r="AE22" s="107"/>
      <c r="AF22" s="107"/>
      <c r="AG22" s="107"/>
      <c r="AH22" s="107"/>
      <c r="AI22" s="107"/>
      <c r="AJ22" s="107"/>
      <c r="AK22" s="107"/>
      <c r="AL22" s="107"/>
      <c r="AM22" s="107"/>
      <c r="AN22" s="107"/>
      <c r="AO22" s="107"/>
      <c r="AP22" s="107"/>
      <c r="AQ22" s="107"/>
      <c r="AR22" s="185">
        <v>0</v>
      </c>
    </row>
    <row r="23" s="185" customFormat="1" ht="17.25" hidden="1" customHeight="1">
      <c r="A23" s="254"/>
      <c r="C23" s="129"/>
      <c r="D23" s="255">
        <v>2</v>
      </c>
      <c r="E23" s="256" t="s">
        <v>161</v>
      </c>
      <c r="F23" s="257" t="s">
        <v>19</v>
      </c>
      <c r="G23" s="256"/>
      <c r="H23" s="258"/>
      <c r="I23" s="259"/>
      <c r="J23" s="260"/>
      <c r="K23" s="261"/>
      <c r="L23" s="261"/>
      <c r="M23" s="261"/>
      <c r="N23" s="262"/>
      <c r="O23" s="261"/>
      <c r="P23" s="261"/>
      <c r="Q23" s="261"/>
      <c r="R23" s="263"/>
      <c r="S23" s="261"/>
      <c r="T23" s="261"/>
      <c r="U23" s="261"/>
      <c r="V23" s="263"/>
      <c r="W23" s="264"/>
      <c r="X23" s="265"/>
      <c r="Y23" s="265"/>
      <c r="Z23" s="265"/>
      <c r="AA23" s="265"/>
      <c r="AB23" s="265"/>
      <c r="AC23" s="265" t="s">
        <v>156</v>
      </c>
      <c r="AD23" s="265" t="s">
        <v>157</v>
      </c>
      <c r="AE23" s="265" t="s">
        <v>158</v>
      </c>
      <c r="AF23" s="265" t="s">
        <v>159</v>
      </c>
      <c r="AG23" s="265" t="s">
        <v>160</v>
      </c>
      <c r="AH23" s="265" t="str">
        <f>IF($E$23=0,"",$E$23)</f>
        <v xml:space="preserve">Тарифы на тепловую энергию (мощность), поставляемую теплоснабжающими организациями потребителям, другим теплоснабжающим организациям</v>
      </c>
      <c r="AI23" s="265" t="str">
        <f>IF($G$23=0,"",$G$23)</f>
        <v/>
      </c>
      <c r="AJ23" s="265" t="str">
        <f>IF($J$23=0,"",$J$23)</f>
        <v/>
      </c>
      <c r="AK23" s="265" t="str">
        <f>IF($K$23="нет","без дифференциации",IF($N$23=0,"",$N$23))</f>
        <v/>
      </c>
      <c r="AL23" s="265" t="str">
        <f>IF($O$23="нет","без дифференциации",IF($R$23=0,"",$R$23))</f>
        <v/>
      </c>
      <c r="AM23" s="265" t="str">
        <f>IF($S$23="нет","без дифференциации",IF($V$23=0,"",$V$23))</f>
        <v/>
      </c>
      <c r="AN23" s="283">
        <f>$I$23</f>
        <v>0</v>
      </c>
      <c r="AO23" s="265" t="str">
        <f>$I$23&amp;"."&amp;$M$23</f>
        <v>.</v>
      </c>
      <c r="AP23" s="107" t="str">
        <f>$I$23&amp;"."&amp;$M$23&amp;"."&amp;$Q$23</f>
        <v>..</v>
      </c>
      <c r="AQ23" s="107" t="str">
        <f>$I$23&amp;"."&amp;$M$23&amp;"."&amp;$Q$23&amp;"."&amp;$U$23</f>
        <v>...</v>
      </c>
      <c r="AR23" s="185">
        <v>0</v>
      </c>
    </row>
    <row r="24" s="185" customFormat="1" ht="17.25" hidden="1" customHeight="1">
      <c r="A24" s="254"/>
      <c r="C24" s="185"/>
      <c r="D24" s="255"/>
      <c r="E24" s="256"/>
      <c r="F24" s="266"/>
      <c r="G24" s="256"/>
      <c r="H24" s="267"/>
      <c r="I24" s="268"/>
      <c r="J24" s="269"/>
      <c r="K24" s="126"/>
      <c r="L24" s="126"/>
      <c r="M24" s="126"/>
      <c r="N24" s="270"/>
      <c r="O24" s="126"/>
      <c r="P24" s="126"/>
      <c r="Q24" s="126"/>
      <c r="R24" s="271"/>
      <c r="S24" s="126"/>
      <c r="T24" s="272"/>
      <c r="U24" s="272"/>
      <c r="V24" s="272"/>
      <c r="W24" s="273"/>
      <c r="X24" s="107"/>
      <c r="Y24" s="107"/>
      <c r="Z24" s="107"/>
      <c r="AA24" s="107"/>
      <c r="AB24" s="107"/>
      <c r="AC24" s="107"/>
      <c r="AD24" s="107"/>
      <c r="AE24" s="107"/>
      <c r="AF24" s="107"/>
      <c r="AG24" s="107"/>
      <c r="AH24" s="107"/>
      <c r="AI24" s="107"/>
      <c r="AJ24" s="107"/>
      <c r="AK24" s="107"/>
      <c r="AL24" s="107"/>
      <c r="AM24" s="107"/>
      <c r="AN24" s="107"/>
      <c r="AO24" s="107"/>
      <c r="AP24" s="107"/>
      <c r="AQ24" s="107"/>
      <c r="AR24" s="185">
        <v>0</v>
      </c>
    </row>
    <row r="25" s="185" customFormat="1" ht="17.25" hidden="1" customHeight="1">
      <c r="A25" s="254"/>
      <c r="C25" s="185"/>
      <c r="D25" s="275"/>
      <c r="E25" s="276"/>
      <c r="F25" s="266"/>
      <c r="G25" s="276"/>
      <c r="H25" s="267"/>
      <c r="I25" s="268"/>
      <c r="J25" s="274"/>
      <c r="K25" s="126"/>
      <c r="L25" s="126"/>
      <c r="M25" s="126"/>
      <c r="N25" s="271"/>
      <c r="O25" s="126"/>
      <c r="P25" s="126"/>
      <c r="Q25" s="272"/>
      <c r="R25" s="272"/>
      <c r="S25" s="185"/>
      <c r="T25" s="185"/>
      <c r="U25" s="185"/>
      <c r="V25" s="185"/>
      <c r="W25" s="273"/>
      <c r="X25" s="107"/>
      <c r="Y25" s="107"/>
      <c r="Z25" s="107"/>
      <c r="AA25" s="107"/>
      <c r="AB25" s="107"/>
      <c r="AC25" s="107"/>
      <c r="AD25" s="107"/>
      <c r="AE25" s="107"/>
      <c r="AF25" s="107"/>
      <c r="AG25" s="107"/>
      <c r="AH25" s="107"/>
      <c r="AI25" s="107"/>
      <c r="AJ25" s="107"/>
      <c r="AK25" s="107"/>
      <c r="AL25" s="107"/>
      <c r="AM25" s="107"/>
      <c r="AN25" s="107"/>
      <c r="AO25" s="107"/>
      <c r="AP25" s="107"/>
      <c r="AQ25" s="107"/>
      <c r="AR25" s="185">
        <v>0</v>
      </c>
    </row>
    <row r="26" s="185" customFormat="1" ht="17.25" hidden="1" customHeight="1">
      <c r="A26" s="254"/>
      <c r="C26" s="185"/>
      <c r="D26" s="275"/>
      <c r="E26" s="276"/>
      <c r="F26" s="266"/>
      <c r="G26" s="276"/>
      <c r="H26" s="267"/>
      <c r="I26" s="268"/>
      <c r="J26" s="274"/>
      <c r="K26" s="126"/>
      <c r="L26" s="272"/>
      <c r="M26" s="272"/>
      <c r="N26" s="272"/>
      <c r="O26" s="272"/>
      <c r="P26" s="272"/>
      <c r="Q26" s="272"/>
      <c r="R26" s="272"/>
      <c r="S26" s="185"/>
      <c r="T26" s="185"/>
      <c r="U26" s="185"/>
      <c r="V26" s="185"/>
      <c r="W26" s="273"/>
      <c r="X26" s="107"/>
      <c r="Y26" s="107"/>
      <c r="Z26" s="107"/>
      <c r="AA26" s="107"/>
      <c r="AB26" s="107"/>
      <c r="AC26" s="107"/>
      <c r="AD26" s="107"/>
      <c r="AE26" s="107"/>
      <c r="AF26" s="107"/>
      <c r="AG26" s="107"/>
      <c r="AH26" s="107"/>
      <c r="AI26" s="107"/>
      <c r="AJ26" s="107"/>
      <c r="AK26" s="107"/>
      <c r="AL26" s="107"/>
      <c r="AM26" s="107"/>
      <c r="AN26" s="107"/>
      <c r="AO26" s="107"/>
      <c r="AP26" s="107"/>
      <c r="AQ26" s="107"/>
      <c r="AR26" s="185">
        <v>0</v>
      </c>
    </row>
    <row r="27" s="185" customFormat="1" ht="17.25" hidden="1" customHeight="1">
      <c r="A27" s="254"/>
      <c r="C27" s="185"/>
      <c r="D27" s="275"/>
      <c r="E27" s="276"/>
      <c r="F27" s="277"/>
      <c r="G27" s="276"/>
      <c r="H27" s="278"/>
      <c r="I27" s="279"/>
      <c r="J27" s="279"/>
      <c r="K27" s="279"/>
      <c r="L27" s="279"/>
      <c r="M27" s="279"/>
      <c r="N27" s="279"/>
      <c r="O27" s="279"/>
      <c r="P27" s="279"/>
      <c r="Q27" s="279"/>
      <c r="R27" s="279"/>
      <c r="S27" s="280"/>
      <c r="T27" s="280"/>
      <c r="U27" s="280"/>
      <c r="V27" s="280"/>
      <c r="W27" s="281"/>
      <c r="X27" s="107"/>
      <c r="Y27" s="107"/>
      <c r="Z27" s="107"/>
      <c r="AA27" s="107"/>
      <c r="AB27" s="107"/>
      <c r="AC27" s="107"/>
      <c r="AD27" s="107"/>
      <c r="AE27" s="107"/>
      <c r="AF27" s="107"/>
      <c r="AG27" s="107"/>
      <c r="AH27" s="107"/>
      <c r="AI27" s="107"/>
      <c r="AJ27" s="107"/>
      <c r="AK27" s="107"/>
      <c r="AL27" s="107"/>
      <c r="AM27" s="107"/>
      <c r="AN27" s="107"/>
      <c r="AO27" s="107"/>
      <c r="AP27" s="107"/>
      <c r="AQ27" s="107"/>
      <c r="AR27" s="185">
        <v>0</v>
      </c>
    </row>
    <row r="28" s="185" customFormat="1" ht="17.25" hidden="1" customHeight="1">
      <c r="A28" s="254"/>
      <c r="C28" s="129"/>
      <c r="D28" s="255">
        <v>3</v>
      </c>
      <c r="E28" s="256" t="s">
        <v>162</v>
      </c>
      <c r="F28" s="257" t="s">
        <v>19</v>
      </c>
      <c r="G28" s="256"/>
      <c r="H28" s="258"/>
      <c r="I28" s="259"/>
      <c r="J28" s="260"/>
      <c r="K28" s="261"/>
      <c r="L28" s="261"/>
      <c r="M28" s="261"/>
      <c r="N28" s="262"/>
      <c r="O28" s="261"/>
      <c r="P28" s="261"/>
      <c r="Q28" s="261"/>
      <c r="R28" s="263"/>
      <c r="S28" s="261"/>
      <c r="T28" s="261"/>
      <c r="U28" s="261"/>
      <c r="V28" s="263"/>
      <c r="W28" s="264"/>
      <c r="X28" s="265"/>
      <c r="Y28" s="265"/>
      <c r="Z28" s="265"/>
      <c r="AA28" s="265"/>
      <c r="AB28" s="265"/>
      <c r="AC28" s="265" t="s">
        <v>163</v>
      </c>
      <c r="AD28" s="265" t="s">
        <v>164</v>
      </c>
      <c r="AE28" s="265" t="s">
        <v>165</v>
      </c>
      <c r="AF28" s="265" t="s">
        <v>166</v>
      </c>
      <c r="AG28" s="265" t="s">
        <v>167</v>
      </c>
      <c r="AH28" s="265" t="str">
        <f>IF($E$28=0,"",$E$28)</f>
        <v xml:space="preserve">Тарифы на теплоноситель, поставляемый теплоснабжающими организациями потребителям, другим теплоснабжающим организациям</v>
      </c>
      <c r="AI28" s="265" t="str">
        <f>IF($G$28=0,"",$G$28)</f>
        <v/>
      </c>
      <c r="AJ28" s="265" t="str">
        <f>IF($J$28=0,"",$J$28)</f>
        <v/>
      </c>
      <c r="AK28" s="265" t="str">
        <f>IF($K$28="нет","без дифференциации",IF($N$28=0,"",$N$28))</f>
        <v/>
      </c>
      <c r="AL28" s="265" t="str">
        <f>IF($O$28="нет","без дифференциации",IF($R$28=0,"",$R$28))</f>
        <v/>
      </c>
      <c r="AM28" s="265" t="str">
        <f>IF($S$28="нет","без дифференциации",IF($V$28=0,"",$V$28))</f>
        <v/>
      </c>
      <c r="AN28" s="283">
        <f>$I$28</f>
        <v>0</v>
      </c>
      <c r="AO28" s="265" t="str">
        <f>$I$28&amp;"."&amp;$M$28</f>
        <v>.</v>
      </c>
      <c r="AP28" s="107" t="str">
        <f>$I$28&amp;"."&amp;$M$28&amp;"."&amp;$Q$28</f>
        <v>..</v>
      </c>
      <c r="AQ28" s="107" t="str">
        <f>$I$28&amp;"."&amp;$M$28&amp;"."&amp;$Q$28&amp;"."&amp;$U$28</f>
        <v>...</v>
      </c>
      <c r="AR28" s="185">
        <v>0</v>
      </c>
    </row>
    <row r="29" s="185" customFormat="1" ht="17.25" hidden="1" customHeight="1">
      <c r="A29" s="254"/>
      <c r="C29" s="185"/>
      <c r="D29" s="255"/>
      <c r="E29" s="256"/>
      <c r="F29" s="266"/>
      <c r="G29" s="256"/>
      <c r="H29" s="267"/>
      <c r="I29" s="268"/>
      <c r="J29" s="269"/>
      <c r="K29" s="126"/>
      <c r="L29" s="126"/>
      <c r="M29" s="126"/>
      <c r="N29" s="270"/>
      <c r="O29" s="126"/>
      <c r="P29" s="126"/>
      <c r="Q29" s="126"/>
      <c r="R29" s="271"/>
      <c r="S29" s="126"/>
      <c r="T29" s="272"/>
      <c r="U29" s="272"/>
      <c r="V29" s="272"/>
      <c r="W29" s="273"/>
      <c r="X29" s="107"/>
      <c r="Y29" s="107"/>
      <c r="Z29" s="107"/>
      <c r="AA29" s="107"/>
      <c r="AB29" s="107"/>
      <c r="AC29" s="107"/>
      <c r="AD29" s="107"/>
      <c r="AE29" s="107"/>
      <c r="AF29" s="107"/>
      <c r="AG29" s="107"/>
      <c r="AH29" s="107"/>
      <c r="AI29" s="107"/>
      <c r="AJ29" s="107"/>
      <c r="AK29" s="107"/>
      <c r="AL29" s="107"/>
      <c r="AM29" s="107"/>
      <c r="AN29" s="107"/>
      <c r="AO29" s="107"/>
      <c r="AP29" s="107"/>
      <c r="AQ29" s="107"/>
      <c r="AR29" s="185">
        <v>0</v>
      </c>
    </row>
    <row r="30" s="185" customFormat="1" ht="17.25" hidden="1" customHeight="1">
      <c r="A30" s="254"/>
      <c r="C30" s="185"/>
      <c r="D30" s="275"/>
      <c r="E30" s="276"/>
      <c r="F30" s="266"/>
      <c r="G30" s="276"/>
      <c r="H30" s="267"/>
      <c r="I30" s="268"/>
      <c r="J30" s="274"/>
      <c r="K30" s="126"/>
      <c r="L30" s="126"/>
      <c r="M30" s="126"/>
      <c r="N30" s="271"/>
      <c r="O30" s="126"/>
      <c r="P30" s="126"/>
      <c r="Q30" s="272"/>
      <c r="R30" s="272"/>
      <c r="S30" s="185"/>
      <c r="T30" s="185"/>
      <c r="U30" s="185"/>
      <c r="V30" s="185"/>
      <c r="W30" s="273"/>
      <c r="X30" s="107"/>
      <c r="Y30" s="107"/>
      <c r="Z30" s="107"/>
      <c r="AA30" s="107"/>
      <c r="AB30" s="107"/>
      <c r="AC30" s="107"/>
      <c r="AD30" s="107"/>
      <c r="AE30" s="107"/>
      <c r="AF30" s="107"/>
      <c r="AG30" s="107"/>
      <c r="AH30" s="107"/>
      <c r="AI30" s="107"/>
      <c r="AJ30" s="107"/>
      <c r="AK30" s="107"/>
      <c r="AL30" s="107"/>
      <c r="AM30" s="107"/>
      <c r="AN30" s="107"/>
      <c r="AO30" s="107"/>
      <c r="AP30" s="107"/>
      <c r="AQ30" s="107"/>
      <c r="AR30" s="185">
        <v>0</v>
      </c>
    </row>
    <row r="31" s="185" customFormat="1" ht="17.25" hidden="1" customHeight="1">
      <c r="A31" s="254"/>
      <c r="C31" s="185"/>
      <c r="D31" s="275"/>
      <c r="E31" s="276"/>
      <c r="F31" s="266"/>
      <c r="G31" s="276"/>
      <c r="H31" s="267"/>
      <c r="I31" s="268"/>
      <c r="J31" s="274"/>
      <c r="K31" s="126"/>
      <c r="L31" s="272"/>
      <c r="M31" s="272"/>
      <c r="N31" s="272"/>
      <c r="O31" s="272"/>
      <c r="P31" s="272"/>
      <c r="Q31" s="272"/>
      <c r="R31" s="272"/>
      <c r="S31" s="185"/>
      <c r="T31" s="185"/>
      <c r="U31" s="185"/>
      <c r="V31" s="185"/>
      <c r="W31" s="273"/>
      <c r="X31" s="107"/>
      <c r="Y31" s="107"/>
      <c r="Z31" s="107"/>
      <c r="AA31" s="107"/>
      <c r="AB31" s="107"/>
      <c r="AC31" s="107"/>
      <c r="AD31" s="107"/>
      <c r="AE31" s="107"/>
      <c r="AF31" s="107"/>
      <c r="AG31" s="107"/>
      <c r="AH31" s="107"/>
      <c r="AI31" s="107"/>
      <c r="AJ31" s="107"/>
      <c r="AK31" s="107"/>
      <c r="AL31" s="107"/>
      <c r="AM31" s="107"/>
      <c r="AN31" s="107"/>
      <c r="AO31" s="107"/>
      <c r="AP31" s="107"/>
      <c r="AQ31" s="107"/>
      <c r="AR31" s="185">
        <v>0</v>
      </c>
    </row>
    <row r="32" s="185" customFormat="1" ht="17.25" hidden="1" customHeight="1">
      <c r="A32" s="254"/>
      <c r="C32" s="185"/>
      <c r="D32" s="275"/>
      <c r="E32" s="276"/>
      <c r="F32" s="277"/>
      <c r="G32" s="276"/>
      <c r="H32" s="278"/>
      <c r="I32" s="279"/>
      <c r="J32" s="279"/>
      <c r="K32" s="279"/>
      <c r="L32" s="279"/>
      <c r="M32" s="279"/>
      <c r="N32" s="279"/>
      <c r="O32" s="279"/>
      <c r="P32" s="279"/>
      <c r="Q32" s="279"/>
      <c r="R32" s="279"/>
      <c r="S32" s="280"/>
      <c r="T32" s="280"/>
      <c r="U32" s="280"/>
      <c r="V32" s="280"/>
      <c r="W32" s="281"/>
      <c r="X32" s="107"/>
      <c r="Y32" s="107"/>
      <c r="Z32" s="107"/>
      <c r="AA32" s="107"/>
      <c r="AB32" s="107"/>
      <c r="AC32" s="107"/>
      <c r="AD32" s="107"/>
      <c r="AE32" s="107"/>
      <c r="AF32" s="107"/>
      <c r="AG32" s="107"/>
      <c r="AH32" s="107"/>
      <c r="AI32" s="107"/>
      <c r="AJ32" s="107"/>
      <c r="AK32" s="107"/>
      <c r="AL32" s="107"/>
      <c r="AM32" s="107"/>
      <c r="AN32" s="107"/>
      <c r="AO32" s="107"/>
      <c r="AP32" s="107"/>
      <c r="AQ32" s="107"/>
      <c r="AR32" s="185">
        <v>0</v>
      </c>
    </row>
    <row r="33" s="185" customFormat="1" ht="17.25" hidden="1" customHeight="1">
      <c r="A33" s="254"/>
      <c r="C33" s="129"/>
      <c r="D33" s="255">
        <v>4</v>
      </c>
      <c r="E33" s="256" t="s">
        <v>168</v>
      </c>
      <c r="F33" s="257" t="s">
        <v>19</v>
      </c>
      <c r="G33" s="256"/>
      <c r="H33" s="258"/>
      <c r="I33" s="259"/>
      <c r="J33" s="260"/>
      <c r="K33" s="261"/>
      <c r="L33" s="261"/>
      <c r="M33" s="261"/>
      <c r="N33" s="262"/>
      <c r="O33" s="261"/>
      <c r="P33" s="261"/>
      <c r="Q33" s="261"/>
      <c r="R33" s="263"/>
      <c r="S33" s="261"/>
      <c r="T33" s="261"/>
      <c r="U33" s="261"/>
      <c r="V33" s="263"/>
      <c r="W33" s="264"/>
      <c r="X33" s="265"/>
      <c r="Y33" s="265"/>
      <c r="Z33" s="265"/>
      <c r="AA33" s="265"/>
      <c r="AB33" s="265"/>
      <c r="AC33" s="265" t="s">
        <v>169</v>
      </c>
      <c r="AD33" s="265" t="s">
        <v>170</v>
      </c>
      <c r="AE33" s="265" t="s">
        <v>171</v>
      </c>
      <c r="AF33" s="265" t="s">
        <v>172</v>
      </c>
      <c r="AG33" s="265" t="s">
        <v>173</v>
      </c>
      <c r="AH33" s="265" t="str">
        <f>IF($E$33=0,"",$E$33)</f>
        <v xml:space="preserve">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265" t="str">
        <f>IF($G$33=0,"",$G$33)</f>
        <v/>
      </c>
      <c r="AJ33" s="265" t="str">
        <f>IF($J$33=0,"",$J$33)</f>
        <v/>
      </c>
      <c r="AK33" s="265" t="str">
        <f>IF($K$33="нет","без дифференциации",IF($N$33=0,"",$N$33))</f>
        <v/>
      </c>
      <c r="AL33" s="265" t="str">
        <f>IF($O$33="нет","без дифференциации",IF($R$33=0,"",$R$33))</f>
        <v/>
      </c>
      <c r="AM33" s="265" t="str">
        <f>IF($S$33="нет","без дифференциации",IF($V$33=0,"",$V$33))</f>
        <v/>
      </c>
      <c r="AN33" s="283">
        <f>$I$33</f>
        <v>0</v>
      </c>
      <c r="AO33" s="265" t="str">
        <f>$I$33&amp;"."&amp;$M$33</f>
        <v>.</v>
      </c>
      <c r="AP33" s="107" t="str">
        <f>$I$33&amp;"."&amp;$M$33&amp;"."&amp;$Q$33</f>
        <v>..</v>
      </c>
      <c r="AQ33" s="107" t="str">
        <f>$I$33&amp;"."&amp;$M$33&amp;"."&amp;$Q$33&amp;"."&amp;$U$33</f>
        <v>...</v>
      </c>
      <c r="AR33" s="185">
        <v>0</v>
      </c>
    </row>
    <row r="34" s="185" customFormat="1" ht="17.25" hidden="1" customHeight="1">
      <c r="A34" s="254"/>
      <c r="C34" s="185"/>
      <c r="D34" s="255"/>
      <c r="E34" s="256"/>
      <c r="F34" s="266"/>
      <c r="G34" s="256"/>
      <c r="H34" s="267"/>
      <c r="I34" s="268"/>
      <c r="J34" s="269"/>
      <c r="K34" s="126"/>
      <c r="L34" s="126"/>
      <c r="M34" s="126"/>
      <c r="N34" s="270"/>
      <c r="O34" s="126"/>
      <c r="P34" s="126"/>
      <c r="Q34" s="126"/>
      <c r="R34" s="271"/>
      <c r="S34" s="126"/>
      <c r="T34" s="272"/>
      <c r="U34" s="272"/>
      <c r="V34" s="272"/>
      <c r="W34" s="273"/>
      <c r="X34" s="107"/>
      <c r="Y34" s="107"/>
      <c r="Z34" s="107"/>
      <c r="AA34" s="107"/>
      <c r="AB34" s="107"/>
      <c r="AC34" s="107"/>
      <c r="AD34" s="107"/>
      <c r="AE34" s="107"/>
      <c r="AF34" s="107"/>
      <c r="AG34" s="107"/>
      <c r="AH34" s="107"/>
      <c r="AI34" s="107"/>
      <c r="AJ34" s="107"/>
      <c r="AK34" s="107"/>
      <c r="AL34" s="107"/>
      <c r="AM34" s="107"/>
      <c r="AN34" s="107"/>
      <c r="AO34" s="107"/>
      <c r="AP34" s="107"/>
      <c r="AQ34" s="107"/>
      <c r="AR34" s="185">
        <v>0</v>
      </c>
    </row>
    <row r="35" s="185" customFormat="1" ht="17.25" hidden="1" customHeight="1">
      <c r="A35" s="254"/>
      <c r="C35" s="185"/>
      <c r="D35" s="275"/>
      <c r="E35" s="276"/>
      <c r="F35" s="266"/>
      <c r="G35" s="276"/>
      <c r="H35" s="267"/>
      <c r="I35" s="268"/>
      <c r="J35" s="274"/>
      <c r="K35" s="126"/>
      <c r="L35" s="126"/>
      <c r="M35" s="126"/>
      <c r="N35" s="271"/>
      <c r="O35" s="126"/>
      <c r="P35" s="126"/>
      <c r="Q35" s="272"/>
      <c r="R35" s="272"/>
      <c r="S35" s="185"/>
      <c r="T35" s="185"/>
      <c r="U35" s="185"/>
      <c r="V35" s="185"/>
      <c r="W35" s="273"/>
      <c r="X35" s="107"/>
      <c r="Y35" s="107"/>
      <c r="Z35" s="107"/>
      <c r="AA35" s="107"/>
      <c r="AB35" s="107"/>
      <c r="AC35" s="107"/>
      <c r="AD35" s="107"/>
      <c r="AE35" s="107"/>
      <c r="AF35" s="107"/>
      <c r="AG35" s="107"/>
      <c r="AH35" s="107"/>
      <c r="AI35" s="107"/>
      <c r="AJ35" s="107"/>
      <c r="AK35" s="107"/>
      <c r="AL35" s="107"/>
      <c r="AM35" s="107"/>
      <c r="AN35" s="107"/>
      <c r="AO35" s="107"/>
      <c r="AP35" s="107"/>
      <c r="AQ35" s="107"/>
      <c r="AR35" s="185">
        <v>0</v>
      </c>
    </row>
    <row r="36" s="185" customFormat="1" ht="17.25" hidden="1" customHeight="1">
      <c r="A36" s="254"/>
      <c r="C36" s="185"/>
      <c r="D36" s="275"/>
      <c r="E36" s="276"/>
      <c r="F36" s="266"/>
      <c r="G36" s="276"/>
      <c r="H36" s="267"/>
      <c r="I36" s="268"/>
      <c r="J36" s="274"/>
      <c r="K36" s="126"/>
      <c r="L36" s="272"/>
      <c r="M36" s="272"/>
      <c r="N36" s="272"/>
      <c r="O36" s="272"/>
      <c r="P36" s="272"/>
      <c r="Q36" s="272"/>
      <c r="R36" s="272"/>
      <c r="S36" s="185"/>
      <c r="T36" s="185"/>
      <c r="U36" s="185"/>
      <c r="V36" s="185"/>
      <c r="W36" s="273"/>
      <c r="X36" s="107"/>
      <c r="Y36" s="107"/>
      <c r="Z36" s="107"/>
      <c r="AA36" s="107"/>
      <c r="AB36" s="107"/>
      <c r="AC36" s="107"/>
      <c r="AD36" s="107"/>
      <c r="AE36" s="107"/>
      <c r="AF36" s="107"/>
      <c r="AG36" s="107"/>
      <c r="AH36" s="107"/>
      <c r="AI36" s="107"/>
      <c r="AJ36" s="107"/>
      <c r="AK36" s="107"/>
      <c r="AL36" s="107"/>
      <c r="AM36" s="107"/>
      <c r="AN36" s="107"/>
      <c r="AO36" s="107"/>
      <c r="AP36" s="107"/>
      <c r="AQ36" s="107"/>
      <c r="AR36" s="185">
        <v>0</v>
      </c>
    </row>
    <row r="37" s="185" customFormat="1" ht="17.25" hidden="1" customHeight="1">
      <c r="A37" s="254"/>
      <c r="C37" s="185"/>
      <c r="D37" s="275"/>
      <c r="E37" s="276"/>
      <c r="F37" s="277"/>
      <c r="G37" s="276"/>
      <c r="H37" s="278"/>
      <c r="I37" s="279"/>
      <c r="J37" s="279"/>
      <c r="K37" s="279"/>
      <c r="L37" s="279"/>
      <c r="M37" s="279"/>
      <c r="N37" s="279"/>
      <c r="O37" s="279"/>
      <c r="P37" s="279"/>
      <c r="Q37" s="279"/>
      <c r="R37" s="279"/>
      <c r="S37" s="280"/>
      <c r="T37" s="280"/>
      <c r="U37" s="280"/>
      <c r="V37" s="280"/>
      <c r="W37" s="281"/>
      <c r="X37" s="107"/>
      <c r="Y37" s="107"/>
      <c r="Z37" s="107"/>
      <c r="AA37" s="107"/>
      <c r="AB37" s="107"/>
      <c r="AC37" s="107"/>
      <c r="AD37" s="107"/>
      <c r="AE37" s="107"/>
      <c r="AF37" s="107"/>
      <c r="AG37" s="107"/>
      <c r="AH37" s="107"/>
      <c r="AI37" s="107"/>
      <c r="AJ37" s="107"/>
      <c r="AK37" s="107"/>
      <c r="AL37" s="107"/>
      <c r="AM37" s="107"/>
      <c r="AN37" s="107"/>
      <c r="AO37" s="107"/>
      <c r="AP37" s="107"/>
      <c r="AQ37" s="107"/>
      <c r="AR37" s="185">
        <v>0</v>
      </c>
    </row>
    <row r="38" s="185" customFormat="1" ht="17.25" hidden="1" customHeight="1">
      <c r="A38" s="254"/>
      <c r="C38" s="129"/>
      <c r="D38" s="255">
        <v>5</v>
      </c>
      <c r="E38" s="256" t="s">
        <v>174</v>
      </c>
      <c r="F38" s="257" t="s">
        <v>19</v>
      </c>
      <c r="G38" s="256"/>
      <c r="H38" s="258"/>
      <c r="I38" s="259"/>
      <c r="J38" s="260"/>
      <c r="K38" s="261"/>
      <c r="L38" s="261"/>
      <c r="M38" s="261"/>
      <c r="N38" s="262"/>
      <c r="O38" s="261"/>
      <c r="P38" s="261"/>
      <c r="Q38" s="261"/>
      <c r="R38" s="263"/>
      <c r="S38" s="261"/>
      <c r="T38" s="261"/>
      <c r="U38" s="261"/>
      <c r="V38" s="263"/>
      <c r="W38" s="264"/>
      <c r="X38" s="265"/>
      <c r="Y38" s="265"/>
      <c r="Z38" s="265"/>
      <c r="AA38" s="265"/>
      <c r="AB38" s="265"/>
      <c r="AC38" s="265" t="s">
        <v>175</v>
      </c>
      <c r="AD38" s="265" t="s">
        <v>176</v>
      </c>
      <c r="AE38" s="265" t="s">
        <v>177</v>
      </c>
      <c r="AF38" s="265" t="s">
        <v>178</v>
      </c>
      <c r="AG38" s="265" t="s">
        <v>179</v>
      </c>
      <c r="AH38" s="265" t="str">
        <f>IF($E$38=0,"",$E$38)</f>
        <v xml:space="preserve">Тарифы на услуги по передаче тепловой энергии</v>
      </c>
      <c r="AI38" s="265" t="str">
        <f>IF($G$38=0,"",$G$38)</f>
        <v/>
      </c>
      <c r="AJ38" s="265" t="str">
        <f>IF($J$38=0,"",$J$38)</f>
        <v/>
      </c>
      <c r="AK38" s="265" t="str">
        <f>IF($K$38="нет","без дифференциации",IF($N$38=0,"",$N$38))</f>
        <v/>
      </c>
      <c r="AL38" s="265" t="str">
        <f>IF($O$38="нет","без дифференциации",IF($R$38=0,"",$R$38))</f>
        <v/>
      </c>
      <c r="AM38" s="265" t="str">
        <f>IF($S$38="нет","без дифференциации",IF($V$38=0,"",$V$38))</f>
        <v/>
      </c>
      <c r="AN38" s="283">
        <f>$I$38</f>
        <v>0</v>
      </c>
      <c r="AO38" s="265" t="str">
        <f>$I$38&amp;"."&amp;$M$38</f>
        <v>.</v>
      </c>
      <c r="AP38" s="107" t="str">
        <f>$I$38&amp;"."&amp;$M$38&amp;"."&amp;$Q$38</f>
        <v>..</v>
      </c>
      <c r="AQ38" s="107" t="str">
        <f>$I$38&amp;"."&amp;$M$38&amp;"."&amp;$Q$38&amp;"."&amp;$U$38</f>
        <v>...</v>
      </c>
      <c r="AR38" s="185">
        <v>0</v>
      </c>
    </row>
    <row r="39" s="185" customFormat="1" ht="17.25" hidden="1" customHeight="1">
      <c r="A39" s="254"/>
      <c r="C39" s="185"/>
      <c r="D39" s="255"/>
      <c r="E39" s="256"/>
      <c r="F39" s="266"/>
      <c r="G39" s="256"/>
      <c r="H39" s="267"/>
      <c r="I39" s="268"/>
      <c r="J39" s="269"/>
      <c r="K39" s="126"/>
      <c r="L39" s="126"/>
      <c r="M39" s="126"/>
      <c r="N39" s="270"/>
      <c r="O39" s="126"/>
      <c r="P39" s="126"/>
      <c r="Q39" s="126"/>
      <c r="R39" s="271"/>
      <c r="S39" s="126"/>
      <c r="T39" s="272"/>
      <c r="U39" s="272"/>
      <c r="V39" s="272"/>
      <c r="W39" s="273"/>
      <c r="X39" s="107"/>
      <c r="Y39" s="107"/>
      <c r="Z39" s="107"/>
      <c r="AA39" s="107"/>
      <c r="AB39" s="107"/>
      <c r="AC39" s="107"/>
      <c r="AD39" s="107"/>
      <c r="AE39" s="107"/>
      <c r="AF39" s="107"/>
      <c r="AG39" s="107"/>
      <c r="AH39" s="107"/>
      <c r="AI39" s="107"/>
      <c r="AJ39" s="107"/>
      <c r="AK39" s="107"/>
      <c r="AL39" s="107"/>
      <c r="AM39" s="107"/>
      <c r="AN39" s="107"/>
      <c r="AO39" s="107"/>
      <c r="AP39" s="107"/>
      <c r="AQ39" s="107"/>
      <c r="AR39" s="185">
        <v>0</v>
      </c>
    </row>
    <row r="40" s="185" customFormat="1" ht="17.25" hidden="1" customHeight="1">
      <c r="A40" s="254"/>
      <c r="C40" s="185"/>
      <c r="D40" s="275"/>
      <c r="E40" s="276"/>
      <c r="F40" s="266"/>
      <c r="G40" s="276"/>
      <c r="H40" s="267"/>
      <c r="I40" s="268"/>
      <c r="J40" s="274"/>
      <c r="K40" s="126"/>
      <c r="L40" s="126"/>
      <c r="M40" s="126"/>
      <c r="N40" s="271"/>
      <c r="O40" s="126"/>
      <c r="P40" s="126"/>
      <c r="Q40" s="272"/>
      <c r="R40" s="272"/>
      <c r="S40" s="185"/>
      <c r="T40" s="185"/>
      <c r="U40" s="185"/>
      <c r="V40" s="185"/>
      <c r="W40" s="273"/>
      <c r="X40" s="107"/>
      <c r="Y40" s="107"/>
      <c r="Z40" s="107"/>
      <c r="AA40" s="107"/>
      <c r="AB40" s="107"/>
      <c r="AC40" s="107"/>
      <c r="AD40" s="107"/>
      <c r="AE40" s="107"/>
      <c r="AF40" s="107"/>
      <c r="AG40" s="107"/>
      <c r="AH40" s="107"/>
      <c r="AI40" s="107"/>
      <c r="AJ40" s="107"/>
      <c r="AK40" s="107"/>
      <c r="AL40" s="107"/>
      <c r="AM40" s="107"/>
      <c r="AN40" s="107"/>
      <c r="AO40" s="107"/>
      <c r="AP40" s="107"/>
      <c r="AQ40" s="107"/>
      <c r="AR40" s="185">
        <v>0</v>
      </c>
    </row>
    <row r="41" s="185" customFormat="1" ht="17.25" hidden="1" customHeight="1">
      <c r="A41" s="254"/>
      <c r="C41" s="185"/>
      <c r="D41" s="275"/>
      <c r="E41" s="276"/>
      <c r="F41" s="266"/>
      <c r="G41" s="276"/>
      <c r="H41" s="267"/>
      <c r="I41" s="268"/>
      <c r="J41" s="274"/>
      <c r="K41" s="126"/>
      <c r="L41" s="272"/>
      <c r="M41" s="272"/>
      <c r="N41" s="272"/>
      <c r="O41" s="272"/>
      <c r="P41" s="272"/>
      <c r="Q41" s="272"/>
      <c r="R41" s="272"/>
      <c r="S41" s="185"/>
      <c r="T41" s="185"/>
      <c r="U41" s="185"/>
      <c r="V41" s="185"/>
      <c r="W41" s="273"/>
      <c r="X41" s="107"/>
      <c r="Y41" s="107"/>
      <c r="Z41" s="107"/>
      <c r="AA41" s="107"/>
      <c r="AB41" s="107"/>
      <c r="AC41" s="107"/>
      <c r="AD41" s="107"/>
      <c r="AE41" s="107"/>
      <c r="AF41" s="107"/>
      <c r="AG41" s="107"/>
      <c r="AH41" s="107"/>
      <c r="AI41" s="107"/>
      <c r="AJ41" s="107"/>
      <c r="AK41" s="107"/>
      <c r="AL41" s="107"/>
      <c r="AM41" s="107"/>
      <c r="AN41" s="107"/>
      <c r="AO41" s="107"/>
      <c r="AP41" s="107"/>
      <c r="AQ41" s="107"/>
      <c r="AR41" s="185">
        <v>0</v>
      </c>
    </row>
    <row r="42" s="185" customFormat="1" ht="17.25" hidden="1" customHeight="1">
      <c r="A42" s="254"/>
      <c r="C42" s="185"/>
      <c r="D42" s="275"/>
      <c r="E42" s="276"/>
      <c r="F42" s="277"/>
      <c r="G42" s="276"/>
      <c r="H42" s="278"/>
      <c r="I42" s="279"/>
      <c r="J42" s="279"/>
      <c r="K42" s="279"/>
      <c r="L42" s="279"/>
      <c r="M42" s="279"/>
      <c r="N42" s="279"/>
      <c r="O42" s="279"/>
      <c r="P42" s="279"/>
      <c r="Q42" s="279"/>
      <c r="R42" s="279"/>
      <c r="S42" s="280"/>
      <c r="T42" s="280"/>
      <c r="U42" s="280"/>
      <c r="V42" s="280"/>
      <c r="W42" s="281"/>
      <c r="X42" s="107"/>
      <c r="Y42" s="107"/>
      <c r="Z42" s="107"/>
      <c r="AA42" s="107"/>
      <c r="AB42" s="107"/>
      <c r="AC42" s="107"/>
      <c r="AD42" s="107"/>
      <c r="AE42" s="107"/>
      <c r="AF42" s="107"/>
      <c r="AG42" s="107"/>
      <c r="AH42" s="107"/>
      <c r="AI42" s="107"/>
      <c r="AJ42" s="107"/>
      <c r="AK42" s="107"/>
      <c r="AL42" s="107"/>
      <c r="AM42" s="107"/>
      <c r="AN42" s="107"/>
      <c r="AO42" s="107"/>
      <c r="AP42" s="107"/>
      <c r="AQ42" s="107"/>
      <c r="AR42" s="185">
        <v>0</v>
      </c>
    </row>
    <row r="43" s="185" customFormat="1" ht="17.25" hidden="1" customHeight="1">
      <c r="A43" s="254"/>
      <c r="C43" s="129"/>
      <c r="D43" s="255">
        <v>6</v>
      </c>
      <c r="E43" s="256" t="s">
        <v>180</v>
      </c>
      <c r="F43" s="257" t="s">
        <v>19</v>
      </c>
      <c r="G43" s="256"/>
      <c r="H43" s="258"/>
      <c r="I43" s="259"/>
      <c r="J43" s="260"/>
      <c r="K43" s="261"/>
      <c r="L43" s="261"/>
      <c r="M43" s="261"/>
      <c r="N43" s="262"/>
      <c r="O43" s="261"/>
      <c r="P43" s="261"/>
      <c r="Q43" s="261"/>
      <c r="R43" s="263"/>
      <c r="S43" s="261"/>
      <c r="T43" s="261"/>
      <c r="U43" s="261"/>
      <c r="V43" s="263"/>
      <c r="W43" s="264"/>
      <c r="X43" s="265"/>
      <c r="Y43" s="265"/>
      <c r="Z43" s="265"/>
      <c r="AA43" s="265"/>
      <c r="AB43" s="265"/>
      <c r="AC43" s="265" t="s">
        <v>181</v>
      </c>
      <c r="AD43" s="265" t="s">
        <v>182</v>
      </c>
      <c r="AE43" s="265" t="s">
        <v>183</v>
      </c>
      <c r="AF43" s="265" t="s">
        <v>184</v>
      </c>
      <c r="AG43" s="265" t="s">
        <v>185</v>
      </c>
      <c r="AH43" s="265" t="str">
        <f>IF($E$43=0,"",$E$43)</f>
        <v xml:space="preserve">Тарифы на услуги по передаче теплоносителя</v>
      </c>
      <c r="AI43" s="265" t="str">
        <f>IF($G$43=0,"",$G$43)</f>
        <v/>
      </c>
      <c r="AJ43" s="265" t="str">
        <f>IF($J$43=0,"",$J$43)</f>
        <v/>
      </c>
      <c r="AK43" s="265" t="str">
        <f>IF($K$43="нет","без дифференциации",IF($N$43=0,"",$N$43))</f>
        <v/>
      </c>
      <c r="AL43" s="265" t="str">
        <f>IF($O$43="нет","без дифференциации",IF($R$43=0,"",$R$43))</f>
        <v/>
      </c>
      <c r="AM43" s="265" t="str">
        <f>IF($S$43="нет","без дифференциации",IF($V$43=0,"",$V$43))</f>
        <v/>
      </c>
      <c r="AN43" s="283">
        <f>$I$43</f>
        <v>0</v>
      </c>
      <c r="AO43" s="265" t="str">
        <f>$I$43&amp;"."&amp;$M$43</f>
        <v>.</v>
      </c>
      <c r="AP43" s="107" t="str">
        <f>$I$43&amp;"."&amp;$M$43&amp;"."&amp;$Q$43</f>
        <v>..</v>
      </c>
      <c r="AQ43" s="107" t="str">
        <f>$I$43&amp;"."&amp;$M$43&amp;"."&amp;$Q$43&amp;"."&amp;$U$43</f>
        <v>...</v>
      </c>
      <c r="AR43" s="185">
        <v>0</v>
      </c>
    </row>
    <row r="44" s="185" customFormat="1" ht="17.25" hidden="1" customHeight="1">
      <c r="A44" s="254"/>
      <c r="C44" s="185"/>
      <c r="D44" s="255"/>
      <c r="E44" s="256"/>
      <c r="F44" s="266"/>
      <c r="G44" s="256"/>
      <c r="H44" s="267"/>
      <c r="I44" s="268"/>
      <c r="J44" s="269"/>
      <c r="K44" s="126"/>
      <c r="L44" s="126"/>
      <c r="M44" s="126"/>
      <c r="N44" s="270"/>
      <c r="O44" s="126"/>
      <c r="P44" s="126"/>
      <c r="Q44" s="126"/>
      <c r="R44" s="271"/>
      <c r="S44" s="126"/>
      <c r="T44" s="272"/>
      <c r="U44" s="272"/>
      <c r="V44" s="272"/>
      <c r="W44" s="273"/>
      <c r="X44" s="107"/>
      <c r="Y44" s="107"/>
      <c r="Z44" s="107"/>
      <c r="AA44" s="107"/>
      <c r="AB44" s="107"/>
      <c r="AC44" s="107"/>
      <c r="AD44" s="107"/>
      <c r="AE44" s="107"/>
      <c r="AF44" s="107"/>
      <c r="AG44" s="107"/>
      <c r="AH44" s="107"/>
      <c r="AI44" s="107"/>
      <c r="AJ44" s="107"/>
      <c r="AK44" s="107"/>
      <c r="AL44" s="107"/>
      <c r="AM44" s="107"/>
      <c r="AN44" s="107"/>
      <c r="AO44" s="107"/>
      <c r="AP44" s="107"/>
      <c r="AQ44" s="107"/>
      <c r="AR44" s="185">
        <v>0</v>
      </c>
    </row>
    <row r="45" s="185" customFormat="1" ht="17.25" hidden="1" customHeight="1">
      <c r="A45" s="254"/>
      <c r="C45" s="185"/>
      <c r="D45" s="275"/>
      <c r="E45" s="276"/>
      <c r="F45" s="266"/>
      <c r="G45" s="276"/>
      <c r="H45" s="267"/>
      <c r="I45" s="268"/>
      <c r="J45" s="274"/>
      <c r="K45" s="126"/>
      <c r="L45" s="126"/>
      <c r="M45" s="126"/>
      <c r="N45" s="271"/>
      <c r="O45" s="126"/>
      <c r="P45" s="126"/>
      <c r="Q45" s="272"/>
      <c r="R45" s="272"/>
      <c r="S45" s="185"/>
      <c r="T45" s="185"/>
      <c r="U45" s="185"/>
      <c r="V45" s="185"/>
      <c r="W45" s="273"/>
      <c r="X45" s="107"/>
      <c r="Y45" s="107"/>
      <c r="Z45" s="107"/>
      <c r="AA45" s="107"/>
      <c r="AB45" s="107"/>
      <c r="AC45" s="107"/>
      <c r="AD45" s="107"/>
      <c r="AE45" s="107"/>
      <c r="AF45" s="107"/>
      <c r="AG45" s="107"/>
      <c r="AH45" s="107"/>
      <c r="AI45" s="107"/>
      <c r="AJ45" s="107"/>
      <c r="AK45" s="107"/>
      <c r="AL45" s="107"/>
      <c r="AM45" s="107"/>
      <c r="AN45" s="107"/>
      <c r="AO45" s="107"/>
      <c r="AP45" s="107"/>
      <c r="AQ45" s="107"/>
      <c r="AR45" s="185">
        <v>0</v>
      </c>
    </row>
    <row r="46" s="185" customFormat="1" ht="17.25" hidden="1" customHeight="1">
      <c r="A46" s="254"/>
      <c r="C46" s="129"/>
      <c r="D46" s="275"/>
      <c r="E46" s="276"/>
      <c r="F46" s="266"/>
      <c r="G46" s="276"/>
      <c r="H46" s="267"/>
      <c r="I46" s="268"/>
      <c r="J46" s="274"/>
      <c r="K46" s="126"/>
      <c r="L46" s="272"/>
      <c r="M46" s="272"/>
      <c r="N46" s="272"/>
      <c r="O46" s="272"/>
      <c r="P46" s="272"/>
      <c r="Q46" s="272"/>
      <c r="R46" s="272"/>
      <c r="S46" s="185"/>
      <c r="T46" s="185"/>
      <c r="U46" s="185"/>
      <c r="V46" s="185"/>
      <c r="W46" s="273"/>
      <c r="Y46" s="265"/>
      <c r="Z46" s="265"/>
      <c r="AA46" s="265"/>
      <c r="AB46" s="265"/>
      <c r="AC46" s="265"/>
      <c r="AD46" s="265"/>
      <c r="AE46" s="265"/>
      <c r="AF46" s="265"/>
      <c r="AG46" s="265"/>
      <c r="AH46" s="265"/>
      <c r="AI46" s="265"/>
      <c r="AJ46" s="265"/>
      <c r="AK46" s="265"/>
      <c r="AL46" s="265"/>
      <c r="AM46" s="265"/>
      <c r="AN46" s="265"/>
      <c r="AO46" s="265"/>
      <c r="AP46" s="265"/>
      <c r="AQ46" s="265"/>
      <c r="AR46" s="185">
        <v>0</v>
      </c>
    </row>
    <row r="47" s="185" customFormat="1" ht="17.25" hidden="1" customHeight="1">
      <c r="A47" s="254"/>
      <c r="C47" s="185"/>
      <c r="D47" s="275"/>
      <c r="E47" s="276"/>
      <c r="F47" s="277"/>
      <c r="G47" s="276"/>
      <c r="H47" s="278"/>
      <c r="I47" s="279"/>
      <c r="J47" s="279"/>
      <c r="K47" s="279"/>
      <c r="L47" s="279"/>
      <c r="M47" s="279"/>
      <c r="N47" s="279"/>
      <c r="O47" s="279"/>
      <c r="P47" s="279"/>
      <c r="Q47" s="279"/>
      <c r="R47" s="279"/>
      <c r="S47" s="280"/>
      <c r="T47" s="280"/>
      <c r="U47" s="280"/>
      <c r="V47" s="280"/>
      <c r="W47" s="281"/>
      <c r="X47" s="107"/>
      <c r="Y47" s="107"/>
      <c r="Z47" s="107"/>
      <c r="AA47" s="107"/>
      <c r="AB47" s="107"/>
      <c r="AC47" s="107"/>
      <c r="AD47" s="107"/>
      <c r="AE47" s="107"/>
      <c r="AF47" s="107"/>
      <c r="AG47" s="107"/>
      <c r="AH47" s="107"/>
      <c r="AI47" s="107"/>
      <c r="AJ47" s="107"/>
      <c r="AK47" s="107"/>
      <c r="AL47" s="107"/>
      <c r="AM47" s="107"/>
      <c r="AN47" s="107"/>
      <c r="AO47" s="107"/>
      <c r="AP47" s="107"/>
      <c r="AQ47" s="107"/>
      <c r="AR47" s="185">
        <v>0</v>
      </c>
    </row>
    <row r="48" s="185" customFormat="1" ht="17.25" hidden="1" customHeight="1">
      <c r="A48" s="254"/>
      <c r="C48" s="129"/>
      <c r="D48" s="285">
        <v>7</v>
      </c>
      <c r="E48" s="286" t="s">
        <v>186</v>
      </c>
      <c r="F48" s="257" t="s">
        <v>19</v>
      </c>
      <c r="G48" s="286"/>
      <c r="H48" s="258"/>
      <c r="I48" s="259"/>
      <c r="J48" s="260"/>
      <c r="K48" s="261"/>
      <c r="L48" s="261"/>
      <c r="M48" s="261"/>
      <c r="N48" s="262"/>
      <c r="O48" s="261"/>
      <c r="P48" s="261"/>
      <c r="Q48" s="261"/>
      <c r="R48" s="263"/>
      <c r="S48" s="261"/>
      <c r="T48" s="261"/>
      <c r="U48" s="261"/>
      <c r="V48" s="263"/>
      <c r="W48" s="264"/>
      <c r="X48" s="265"/>
      <c r="Y48" s="265"/>
      <c r="Z48" s="265"/>
      <c r="AA48" s="265"/>
      <c r="AB48" s="265"/>
      <c r="AC48" s="265" t="s">
        <v>187</v>
      </c>
      <c r="AD48" s="265" t="s">
        <v>188</v>
      </c>
      <c r="AE48" s="265" t="s">
        <v>189</v>
      </c>
      <c r="AF48" s="265" t="s">
        <v>190</v>
      </c>
      <c r="AG48" s="265" t="s">
        <v>191</v>
      </c>
      <c r="AH48" s="265" t="str">
        <f>IF($E$48=0,"",$E$48)</f>
        <v xml:space="preserve">Плата за услуги по поддержанию резервной тепловой мощности при отсутствии потребления тепловой энергии</v>
      </c>
      <c r="AI48" s="265" t="str">
        <f>IF($G$48=0,"",$G$48)</f>
        <v/>
      </c>
      <c r="AJ48" s="265" t="str">
        <f>IF($J$48=0,"",$J$48)</f>
        <v/>
      </c>
      <c r="AK48" s="265" t="str">
        <f>IF($K$48="нет","без дифференциации",IF($N$48=0,"",$N$48))</f>
        <v/>
      </c>
      <c r="AL48" s="265" t="str">
        <f>IF($O$48="нет","без дифференциации",IF($R$48=0,"",$R$48))</f>
        <v/>
      </c>
      <c r="AM48" s="265" t="str">
        <f>IF($S$48="нет","без дифференциации",IF($V$48=0,"",$V$48))</f>
        <v/>
      </c>
      <c r="AN48" s="283">
        <f>$I$48</f>
        <v>0</v>
      </c>
      <c r="AO48" s="265" t="str">
        <f>$I$48&amp;"."&amp;$M$48</f>
        <v>.</v>
      </c>
      <c r="AP48" s="107" t="str">
        <f>$I$48&amp;"."&amp;$M$48&amp;"."&amp;$Q$48</f>
        <v>..</v>
      </c>
      <c r="AQ48" s="107" t="str">
        <f>$I$48&amp;"."&amp;$M$48&amp;"."&amp;$Q$48&amp;"."&amp;$U$48</f>
        <v>...</v>
      </c>
      <c r="AR48" s="185">
        <v>0</v>
      </c>
    </row>
    <row r="49" s="185" customFormat="1" ht="17.25" hidden="1" customHeight="1">
      <c r="A49" s="254"/>
      <c r="C49" s="185"/>
      <c r="D49" s="287"/>
      <c r="E49" s="288"/>
      <c r="F49" s="266"/>
      <c r="G49" s="288"/>
      <c r="H49" s="267"/>
      <c r="I49" s="268"/>
      <c r="J49" s="269"/>
      <c r="K49" s="126"/>
      <c r="L49" s="126"/>
      <c r="M49" s="126"/>
      <c r="N49" s="270"/>
      <c r="O49" s="126"/>
      <c r="P49" s="126"/>
      <c r="Q49" s="126"/>
      <c r="R49" s="271"/>
      <c r="S49" s="126"/>
      <c r="T49" s="272"/>
      <c r="U49" s="272"/>
      <c r="V49" s="272"/>
      <c r="W49" s="273"/>
      <c r="X49" s="107"/>
      <c r="Y49" s="107"/>
      <c r="Z49" s="107"/>
      <c r="AA49" s="107"/>
      <c r="AB49" s="107"/>
      <c r="AC49" s="107"/>
      <c r="AD49" s="107"/>
      <c r="AE49" s="107"/>
      <c r="AF49" s="107"/>
      <c r="AG49" s="107"/>
      <c r="AH49" s="107"/>
      <c r="AI49" s="107"/>
      <c r="AJ49" s="107"/>
      <c r="AK49" s="107"/>
      <c r="AL49" s="107"/>
      <c r="AM49" s="107"/>
      <c r="AN49" s="107"/>
      <c r="AO49" s="107"/>
      <c r="AP49" s="107"/>
      <c r="AQ49" s="107"/>
      <c r="AR49" s="185">
        <v>0</v>
      </c>
    </row>
    <row r="50" s="185" customFormat="1" ht="17.25" hidden="1" customHeight="1">
      <c r="A50" s="254"/>
      <c r="C50" s="185"/>
      <c r="D50" s="287"/>
      <c r="E50" s="288"/>
      <c r="F50" s="266"/>
      <c r="G50" s="288"/>
      <c r="H50" s="267"/>
      <c r="I50" s="268"/>
      <c r="J50" s="274"/>
      <c r="K50" s="126"/>
      <c r="L50" s="126"/>
      <c r="M50" s="126"/>
      <c r="N50" s="271"/>
      <c r="O50" s="126"/>
      <c r="P50" s="126"/>
      <c r="Q50" s="272"/>
      <c r="R50" s="272"/>
      <c r="S50" s="185"/>
      <c r="T50" s="185"/>
      <c r="U50" s="185"/>
      <c r="V50" s="185"/>
      <c r="W50" s="273"/>
      <c r="X50" s="107"/>
      <c r="Y50" s="107"/>
      <c r="Z50" s="107"/>
      <c r="AA50" s="107"/>
      <c r="AB50" s="107"/>
      <c r="AC50" s="107"/>
      <c r="AD50" s="107"/>
      <c r="AE50" s="107"/>
      <c r="AF50" s="107"/>
      <c r="AG50" s="107"/>
      <c r="AH50" s="107"/>
      <c r="AI50" s="107"/>
      <c r="AJ50" s="107"/>
      <c r="AK50" s="107"/>
      <c r="AL50" s="107"/>
      <c r="AM50" s="107"/>
      <c r="AN50" s="107"/>
      <c r="AO50" s="107"/>
      <c r="AP50" s="107"/>
      <c r="AQ50" s="107"/>
      <c r="AR50" s="185">
        <v>0</v>
      </c>
    </row>
    <row r="51" s="185" customFormat="1" ht="17.25" hidden="1" customHeight="1">
      <c r="A51" s="254"/>
      <c r="C51" s="129"/>
      <c r="D51" s="287"/>
      <c r="E51" s="288"/>
      <c r="F51" s="266"/>
      <c r="G51" s="288"/>
      <c r="H51" s="267"/>
      <c r="I51" s="268"/>
      <c r="J51" s="274"/>
      <c r="K51" s="126"/>
      <c r="L51" s="272"/>
      <c r="M51" s="272"/>
      <c r="N51" s="272"/>
      <c r="O51" s="272"/>
      <c r="P51" s="272"/>
      <c r="Q51" s="272"/>
      <c r="R51" s="272"/>
      <c r="S51" s="185"/>
      <c r="T51" s="185"/>
      <c r="U51" s="185"/>
      <c r="V51" s="185"/>
      <c r="W51" s="273"/>
      <c r="Y51" s="265"/>
      <c r="Z51" s="265"/>
      <c r="AA51" s="265"/>
      <c r="AB51" s="265"/>
      <c r="AC51" s="265"/>
      <c r="AD51" s="265"/>
      <c r="AE51" s="265"/>
      <c r="AF51" s="265"/>
      <c r="AG51" s="265"/>
      <c r="AH51" s="265"/>
      <c r="AI51" s="265"/>
      <c r="AJ51" s="265"/>
      <c r="AK51" s="265"/>
      <c r="AL51" s="265"/>
      <c r="AM51" s="265"/>
      <c r="AN51" s="265"/>
      <c r="AO51" s="265"/>
      <c r="AP51" s="265"/>
      <c r="AQ51" s="265"/>
      <c r="AR51" s="185">
        <v>0</v>
      </c>
    </row>
    <row r="52" s="185" customFormat="1" ht="17.25" hidden="1" customHeight="1">
      <c r="A52" s="254"/>
      <c r="C52" s="185"/>
      <c r="D52" s="289"/>
      <c r="E52" s="290"/>
      <c r="F52" s="277"/>
      <c r="G52" s="290"/>
      <c r="H52" s="278"/>
      <c r="I52" s="279"/>
      <c r="J52" s="279"/>
      <c r="K52" s="279"/>
      <c r="L52" s="279"/>
      <c r="M52" s="279"/>
      <c r="N52" s="279"/>
      <c r="O52" s="279"/>
      <c r="P52" s="279"/>
      <c r="Q52" s="279"/>
      <c r="R52" s="279"/>
      <c r="S52" s="280"/>
      <c r="T52" s="280"/>
      <c r="U52" s="280"/>
      <c r="V52" s="280"/>
      <c r="W52" s="281"/>
      <c r="X52" s="107"/>
      <c r="Y52" s="107"/>
      <c r="Z52" s="107"/>
      <c r="AA52" s="107"/>
      <c r="AB52" s="107"/>
      <c r="AC52" s="107"/>
      <c r="AD52" s="107"/>
      <c r="AE52" s="107"/>
      <c r="AF52" s="107"/>
      <c r="AG52" s="107"/>
      <c r="AH52" s="107"/>
      <c r="AI52" s="107"/>
      <c r="AJ52" s="107"/>
      <c r="AK52" s="107"/>
      <c r="AL52" s="107"/>
      <c r="AM52" s="107"/>
      <c r="AN52" s="107"/>
      <c r="AO52" s="107"/>
      <c r="AP52" s="107"/>
      <c r="AQ52" s="107"/>
      <c r="AR52" s="185">
        <v>0</v>
      </c>
    </row>
    <row r="53" s="185" customFormat="1" ht="17.25" hidden="1" customHeight="1">
      <c r="A53" s="254"/>
      <c r="C53" s="129"/>
      <c r="D53" s="255">
        <v>8</v>
      </c>
      <c r="E53" s="256" t="s">
        <v>192</v>
      </c>
      <c r="F53" s="257" t="s">
        <v>19</v>
      </c>
      <c r="G53" s="256"/>
      <c r="H53" s="258"/>
      <c r="I53" s="259"/>
      <c r="J53" s="260"/>
      <c r="K53" s="261"/>
      <c r="L53" s="261"/>
      <c r="M53" s="261"/>
      <c r="N53" s="262"/>
      <c r="O53" s="261"/>
      <c r="P53" s="261"/>
      <c r="Q53" s="261"/>
      <c r="R53" s="263"/>
      <c r="S53" s="261"/>
      <c r="T53" s="261"/>
      <c r="U53" s="261"/>
      <c r="V53" s="263"/>
      <c r="W53" s="264"/>
      <c r="X53" s="265"/>
      <c r="Y53" s="265"/>
      <c r="Z53" s="265"/>
      <c r="AA53" s="265"/>
      <c r="AB53" s="265"/>
      <c r="AC53" s="265" t="s">
        <v>193</v>
      </c>
      <c r="AD53" s="265" t="s">
        <v>194</v>
      </c>
      <c r="AE53" s="265" t="s">
        <v>195</v>
      </c>
      <c r="AF53" s="265" t="s">
        <v>196</v>
      </c>
      <c r="AG53" s="265" t="s">
        <v>197</v>
      </c>
      <c r="AH53" s="265" t="str">
        <f>IF($E$53=0,"",$E$53)</f>
        <v xml:space="preserve">Плата за подключение (технологическое присоединение) к системе теплоснабжения</v>
      </c>
      <c r="AI53" s="265" t="str">
        <f>IF($G$53=0,"",$G$53)</f>
        <v/>
      </c>
      <c r="AJ53" s="265" t="str">
        <f>IF($J$53=0,"",$J$53)</f>
        <v/>
      </c>
      <c r="AK53" s="265" t="str">
        <f>IF($K$53="нет","без дифференциации",IF($N$53=0,"",$N$53))</f>
        <v/>
      </c>
      <c r="AL53" s="265" t="str">
        <f>IF($O$53="нет","без дифференциации",IF($R$53=0,"",$R$53))</f>
        <v/>
      </c>
      <c r="AM53" s="265" t="str">
        <f>IF($S$53="нет","без дифференциации",IF($V$53=0,"",$V$53))</f>
        <v/>
      </c>
      <c r="AN53" s="283">
        <f>$I$53</f>
        <v>0</v>
      </c>
      <c r="AO53" s="265" t="str">
        <f>$I$53&amp;"."&amp;$M$53</f>
        <v>.</v>
      </c>
      <c r="AP53" s="107" t="str">
        <f>$I$53&amp;"."&amp;$M$53&amp;"."&amp;$Q$53</f>
        <v>..</v>
      </c>
      <c r="AQ53" s="107" t="str">
        <f>$I$53&amp;"."&amp;$M$53&amp;"."&amp;$Q$53&amp;"."&amp;$U$53</f>
        <v>...</v>
      </c>
      <c r="AR53" s="185">
        <v>0</v>
      </c>
    </row>
    <row r="54" s="185" customFormat="1" ht="17.25" hidden="1" customHeight="1">
      <c r="A54" s="254"/>
      <c r="C54" s="185"/>
      <c r="D54" s="255"/>
      <c r="E54" s="256"/>
      <c r="F54" s="266"/>
      <c r="G54" s="256"/>
      <c r="H54" s="267"/>
      <c r="I54" s="268"/>
      <c r="J54" s="269"/>
      <c r="K54" s="126"/>
      <c r="L54" s="126"/>
      <c r="M54" s="126"/>
      <c r="N54" s="270"/>
      <c r="O54" s="126"/>
      <c r="P54" s="126"/>
      <c r="Q54" s="126"/>
      <c r="R54" s="271"/>
      <c r="S54" s="126"/>
      <c r="T54" s="272"/>
      <c r="U54" s="272"/>
      <c r="V54" s="272"/>
      <c r="W54" s="273"/>
      <c r="X54" s="107"/>
      <c r="Y54" s="107"/>
      <c r="Z54" s="107"/>
      <c r="AA54" s="107"/>
      <c r="AB54" s="107"/>
      <c r="AC54" s="107"/>
      <c r="AD54" s="107"/>
      <c r="AE54" s="107"/>
      <c r="AF54" s="107"/>
      <c r="AG54" s="107"/>
      <c r="AH54" s="107"/>
      <c r="AI54" s="107"/>
      <c r="AJ54" s="107"/>
      <c r="AK54" s="107"/>
      <c r="AL54" s="107"/>
      <c r="AM54" s="107"/>
      <c r="AN54" s="107"/>
      <c r="AO54" s="107"/>
      <c r="AP54" s="107"/>
      <c r="AQ54" s="107"/>
      <c r="AR54" s="185">
        <v>0</v>
      </c>
    </row>
    <row r="55" s="185" customFormat="1" ht="17.25" hidden="1" customHeight="1">
      <c r="A55" s="254"/>
      <c r="C55" s="185"/>
      <c r="D55" s="275"/>
      <c r="E55" s="276"/>
      <c r="F55" s="266"/>
      <c r="G55" s="276"/>
      <c r="H55" s="267"/>
      <c r="I55" s="268"/>
      <c r="J55" s="274"/>
      <c r="K55" s="126"/>
      <c r="L55" s="126"/>
      <c r="M55" s="126"/>
      <c r="N55" s="271"/>
      <c r="O55" s="126"/>
      <c r="P55" s="126"/>
      <c r="Q55" s="272"/>
      <c r="R55" s="272"/>
      <c r="S55" s="185"/>
      <c r="T55" s="185"/>
      <c r="U55" s="185"/>
      <c r="V55" s="185"/>
      <c r="W55" s="273"/>
      <c r="X55" s="107"/>
      <c r="Y55" s="107"/>
      <c r="Z55" s="107"/>
      <c r="AA55" s="107"/>
      <c r="AB55" s="107"/>
      <c r="AC55" s="107"/>
      <c r="AD55" s="107"/>
      <c r="AE55" s="107"/>
      <c r="AF55" s="107"/>
      <c r="AG55" s="107"/>
      <c r="AH55" s="107"/>
      <c r="AI55" s="107"/>
      <c r="AJ55" s="107"/>
      <c r="AK55" s="107"/>
      <c r="AL55" s="107"/>
      <c r="AM55" s="107"/>
      <c r="AN55" s="107"/>
      <c r="AO55" s="107"/>
      <c r="AP55" s="107"/>
      <c r="AQ55" s="107"/>
      <c r="AR55" s="185">
        <v>0</v>
      </c>
    </row>
    <row r="56" s="185" customFormat="1" ht="17.25" hidden="1" customHeight="1">
      <c r="A56" s="254"/>
      <c r="C56" s="129"/>
      <c r="D56" s="275"/>
      <c r="E56" s="276"/>
      <c r="F56" s="266"/>
      <c r="G56" s="276"/>
      <c r="H56" s="267"/>
      <c r="I56" s="268"/>
      <c r="J56" s="274"/>
      <c r="K56" s="126"/>
      <c r="L56" s="272"/>
      <c r="M56" s="272"/>
      <c r="N56" s="272"/>
      <c r="O56" s="272"/>
      <c r="P56" s="272"/>
      <c r="Q56" s="272"/>
      <c r="R56" s="272"/>
      <c r="S56" s="185"/>
      <c r="T56" s="185"/>
      <c r="U56" s="185"/>
      <c r="V56" s="185"/>
      <c r="W56" s="273"/>
      <c r="Y56" s="265"/>
      <c r="Z56" s="265"/>
      <c r="AA56" s="265"/>
      <c r="AB56" s="265"/>
      <c r="AC56" s="265"/>
      <c r="AD56" s="265"/>
      <c r="AE56" s="265"/>
      <c r="AF56" s="265"/>
      <c r="AG56" s="265"/>
      <c r="AH56" s="265"/>
      <c r="AI56" s="265"/>
      <c r="AJ56" s="265"/>
      <c r="AK56" s="265"/>
      <c r="AL56" s="265"/>
      <c r="AM56" s="265"/>
      <c r="AN56" s="265"/>
      <c r="AO56" s="265"/>
      <c r="AP56" s="265"/>
      <c r="AQ56" s="265"/>
      <c r="AR56" s="185">
        <v>0</v>
      </c>
    </row>
    <row r="57" s="185" customFormat="1" ht="17.25" hidden="1" customHeight="1">
      <c r="A57" s="254"/>
      <c r="C57" s="185"/>
      <c r="D57" s="275"/>
      <c r="E57" s="276"/>
      <c r="F57" s="277"/>
      <c r="G57" s="276"/>
      <c r="H57" s="278"/>
      <c r="I57" s="279"/>
      <c r="J57" s="279"/>
      <c r="K57" s="279"/>
      <c r="L57" s="279"/>
      <c r="M57" s="279"/>
      <c r="N57" s="279"/>
      <c r="O57" s="279"/>
      <c r="P57" s="279"/>
      <c r="Q57" s="279"/>
      <c r="R57" s="279"/>
      <c r="S57" s="280"/>
      <c r="T57" s="280"/>
      <c r="U57" s="280"/>
      <c r="V57" s="280"/>
      <c r="W57" s="281"/>
      <c r="X57" s="107"/>
      <c r="Y57" s="107"/>
      <c r="Z57" s="107"/>
      <c r="AA57" s="107"/>
      <c r="AB57" s="107"/>
      <c r="AC57" s="107"/>
      <c r="AD57" s="107"/>
      <c r="AE57" s="107"/>
      <c r="AF57" s="107"/>
      <c r="AG57" s="107"/>
      <c r="AH57" s="107"/>
      <c r="AI57" s="107"/>
      <c r="AJ57" s="107"/>
      <c r="AK57" s="107"/>
      <c r="AL57" s="107"/>
      <c r="AM57" s="107"/>
      <c r="AN57" s="107"/>
      <c r="AO57" s="107"/>
      <c r="AP57" s="107"/>
      <c r="AQ57" s="107"/>
      <c r="AR57" s="185">
        <v>0</v>
      </c>
    </row>
    <row r="58" s="185" customFormat="1" ht="17.25" hidden="1" customHeight="1">
      <c r="A58" s="254"/>
      <c r="C58" s="129"/>
      <c r="D58" s="255">
        <v>9</v>
      </c>
      <c r="E58" s="256" t="s">
        <v>198</v>
      </c>
      <c r="F58" s="257" t="s">
        <v>19</v>
      </c>
      <c r="G58" s="256"/>
      <c r="H58" s="258"/>
      <c r="I58" s="259"/>
      <c r="J58" s="260"/>
      <c r="K58" s="261"/>
      <c r="L58" s="261"/>
      <c r="M58" s="261"/>
      <c r="N58" s="262"/>
      <c r="O58" s="261"/>
      <c r="P58" s="261"/>
      <c r="Q58" s="261"/>
      <c r="R58" s="263"/>
      <c r="S58" s="261"/>
      <c r="T58" s="261"/>
      <c r="U58" s="261"/>
      <c r="V58" s="263"/>
      <c r="W58" s="264"/>
      <c r="X58" s="265"/>
      <c r="Y58" s="265"/>
      <c r="Z58" s="265"/>
      <c r="AA58" s="265"/>
      <c r="AB58" s="265"/>
      <c r="AC58" s="265" t="s">
        <v>199</v>
      </c>
      <c r="AD58" s="265" t="s">
        <v>200</v>
      </c>
      <c r="AE58" s="265" t="s">
        <v>201</v>
      </c>
      <c r="AF58" s="265" t="s">
        <v>202</v>
      </c>
      <c r="AG58" s="265" t="s">
        <v>203</v>
      </c>
      <c r="AH58" s="265" t="str">
        <f>IF($E$58=0,"",$E$58)</f>
        <v xml:space="preserve">Плата за подключение (технологическое присоединение) к системе теплоснабжения (индивидуальная)</v>
      </c>
      <c r="AI58" s="265" t="str">
        <f>IF($G$58=0,"",$G$58)</f>
        <v/>
      </c>
      <c r="AJ58" s="265" t="str">
        <f>IF($J$58=0,"",$J$58)</f>
        <v/>
      </c>
      <c r="AK58" s="265" t="str">
        <f>IF($K$58="нет","без дифференциации",IF($N$58=0,"",$N$58))</f>
        <v/>
      </c>
      <c r="AL58" s="265" t="str">
        <f>IF($O$58="нет","без дифференциации",IF($R$58=0,"",$R$58))</f>
        <v/>
      </c>
      <c r="AM58" s="265" t="str">
        <f>IF($S$58="нет","без дифференциации",IF($V$58=0,"",$V$58))</f>
        <v/>
      </c>
      <c r="AN58" s="283">
        <f>$I$58</f>
        <v>0</v>
      </c>
      <c r="AO58" s="265" t="str">
        <f>$I$58&amp;"."&amp;$M$58</f>
        <v>.</v>
      </c>
      <c r="AP58" s="107" t="str">
        <f>$I$58&amp;"."&amp;$M$58&amp;"."&amp;$Q$58</f>
        <v>..</v>
      </c>
      <c r="AQ58" s="107" t="str">
        <f>$I$58&amp;"."&amp;$M$58&amp;"."&amp;$Q$58&amp;"."&amp;$U$58</f>
        <v>...</v>
      </c>
      <c r="AR58" s="185">
        <v>0</v>
      </c>
    </row>
    <row r="59" s="185" customFormat="1" ht="17.25" hidden="1" customHeight="1">
      <c r="A59" s="254"/>
      <c r="C59" s="185"/>
      <c r="D59" s="255"/>
      <c r="E59" s="256"/>
      <c r="F59" s="266"/>
      <c r="G59" s="256"/>
      <c r="H59" s="267"/>
      <c r="I59" s="268"/>
      <c r="J59" s="269"/>
      <c r="K59" s="126"/>
      <c r="L59" s="126"/>
      <c r="M59" s="126"/>
      <c r="N59" s="270"/>
      <c r="O59" s="126"/>
      <c r="P59" s="126"/>
      <c r="Q59" s="126"/>
      <c r="R59" s="271"/>
      <c r="S59" s="126"/>
      <c r="T59" s="272"/>
      <c r="U59" s="272"/>
      <c r="V59" s="272"/>
      <c r="W59" s="273"/>
      <c r="X59" s="107"/>
      <c r="Y59" s="107"/>
      <c r="Z59" s="107"/>
      <c r="AA59" s="107"/>
      <c r="AB59" s="107"/>
      <c r="AC59" s="107"/>
      <c r="AD59" s="107"/>
      <c r="AE59" s="107"/>
      <c r="AF59" s="107"/>
      <c r="AG59" s="107"/>
      <c r="AH59" s="107"/>
      <c r="AI59" s="107"/>
      <c r="AJ59" s="107"/>
      <c r="AK59" s="107"/>
      <c r="AL59" s="107"/>
      <c r="AM59" s="107"/>
      <c r="AN59" s="107"/>
      <c r="AO59" s="107"/>
      <c r="AP59" s="107"/>
      <c r="AQ59" s="107"/>
      <c r="AR59" s="185">
        <v>0</v>
      </c>
    </row>
    <row r="60" s="185" customFormat="1" ht="17.25" hidden="1" customHeight="1">
      <c r="A60" s="254"/>
      <c r="C60" s="185"/>
      <c r="D60" s="275"/>
      <c r="E60" s="276"/>
      <c r="F60" s="266"/>
      <c r="G60" s="276"/>
      <c r="H60" s="267"/>
      <c r="I60" s="268"/>
      <c r="J60" s="274"/>
      <c r="K60" s="126"/>
      <c r="L60" s="126"/>
      <c r="M60" s="126"/>
      <c r="N60" s="271"/>
      <c r="O60" s="126"/>
      <c r="P60" s="126"/>
      <c r="Q60" s="272"/>
      <c r="R60" s="272"/>
      <c r="S60" s="185"/>
      <c r="T60" s="185"/>
      <c r="U60" s="185"/>
      <c r="V60" s="185"/>
      <c r="W60" s="273"/>
      <c r="X60" s="107"/>
      <c r="Y60" s="107"/>
      <c r="Z60" s="107"/>
      <c r="AA60" s="107"/>
      <c r="AB60" s="107"/>
      <c r="AC60" s="107"/>
      <c r="AD60" s="107"/>
      <c r="AE60" s="107"/>
      <c r="AF60" s="107"/>
      <c r="AG60" s="107"/>
      <c r="AH60" s="107"/>
      <c r="AI60" s="107"/>
      <c r="AJ60" s="107"/>
      <c r="AK60" s="107"/>
      <c r="AL60" s="107"/>
      <c r="AM60" s="107"/>
      <c r="AN60" s="107"/>
      <c r="AO60" s="107"/>
      <c r="AP60" s="107"/>
      <c r="AQ60" s="107"/>
      <c r="AR60" s="185">
        <v>0</v>
      </c>
    </row>
    <row r="61" s="185" customFormat="1" ht="17.25" hidden="1" customHeight="1">
      <c r="A61" s="254"/>
      <c r="C61" s="129"/>
      <c r="D61" s="275"/>
      <c r="E61" s="276"/>
      <c r="F61" s="266"/>
      <c r="G61" s="276"/>
      <c r="H61" s="267"/>
      <c r="I61" s="268"/>
      <c r="J61" s="274"/>
      <c r="K61" s="126"/>
      <c r="L61" s="272"/>
      <c r="M61" s="272"/>
      <c r="N61" s="272"/>
      <c r="O61" s="272"/>
      <c r="P61" s="272"/>
      <c r="Q61" s="272"/>
      <c r="R61" s="272"/>
      <c r="S61" s="185"/>
      <c r="T61" s="185"/>
      <c r="U61" s="185"/>
      <c r="V61" s="185"/>
      <c r="W61" s="273"/>
      <c r="Y61" s="265"/>
      <c r="Z61" s="265"/>
      <c r="AA61" s="265"/>
      <c r="AB61" s="265"/>
      <c r="AC61" s="265"/>
      <c r="AD61" s="265"/>
      <c r="AE61" s="265"/>
      <c r="AF61" s="265"/>
      <c r="AG61" s="265"/>
      <c r="AH61" s="265"/>
      <c r="AI61" s="265"/>
      <c r="AJ61" s="265"/>
      <c r="AK61" s="265"/>
      <c r="AL61" s="265"/>
      <c r="AM61" s="265"/>
      <c r="AN61" s="265"/>
      <c r="AO61" s="265"/>
      <c r="AP61" s="265"/>
      <c r="AQ61" s="265"/>
      <c r="AR61" s="185">
        <v>0</v>
      </c>
    </row>
    <row r="62" s="185" customFormat="1" ht="17.25" hidden="1" customHeight="1">
      <c r="A62" s="254"/>
      <c r="C62" s="185"/>
      <c r="D62" s="275"/>
      <c r="E62" s="276"/>
      <c r="F62" s="277"/>
      <c r="G62" s="276"/>
      <c r="H62" s="278"/>
      <c r="I62" s="279"/>
      <c r="J62" s="279"/>
      <c r="K62" s="279"/>
      <c r="L62" s="279"/>
      <c r="M62" s="279"/>
      <c r="N62" s="279"/>
      <c r="O62" s="279"/>
      <c r="P62" s="279"/>
      <c r="Q62" s="279"/>
      <c r="R62" s="279"/>
      <c r="S62" s="280"/>
      <c r="T62" s="280"/>
      <c r="U62" s="280"/>
      <c r="V62" s="280"/>
      <c r="W62" s="281"/>
      <c r="X62" s="107"/>
      <c r="Y62" s="107"/>
      <c r="Z62" s="107"/>
      <c r="AA62" s="107"/>
      <c r="AB62" s="107"/>
      <c r="AC62" s="107"/>
      <c r="AD62" s="107"/>
      <c r="AE62" s="107"/>
      <c r="AF62" s="107"/>
      <c r="AG62" s="107"/>
      <c r="AH62" s="107"/>
      <c r="AI62" s="107"/>
      <c r="AJ62" s="107"/>
      <c r="AK62" s="107"/>
      <c r="AL62" s="107"/>
      <c r="AM62" s="107"/>
      <c r="AN62" s="107"/>
      <c r="AO62" s="107"/>
      <c r="AP62" s="107"/>
      <c r="AQ62" s="107"/>
      <c r="AR62" s="185">
        <v>0</v>
      </c>
    </row>
    <row r="63" s="185" customFormat="1" ht="17.25" hidden="1" customHeight="1">
      <c r="A63" s="254"/>
      <c r="C63" s="129"/>
      <c r="D63" s="255">
        <v>10</v>
      </c>
      <c r="E63" s="256" t="s">
        <v>204</v>
      </c>
      <c r="F63" s="257" t="s">
        <v>19</v>
      </c>
      <c r="G63" s="256"/>
      <c r="H63" s="258"/>
      <c r="I63" s="259"/>
      <c r="J63" s="260"/>
      <c r="K63" s="261"/>
      <c r="L63" s="261"/>
      <c r="M63" s="261"/>
      <c r="N63" s="262"/>
      <c r="O63" s="261"/>
      <c r="P63" s="261"/>
      <c r="Q63" s="261"/>
      <c r="R63" s="263"/>
      <c r="S63" s="261"/>
      <c r="T63" s="261"/>
      <c r="U63" s="261"/>
      <c r="V63" s="263"/>
      <c r="W63" s="264"/>
      <c r="X63" s="265"/>
      <c r="Y63" s="265"/>
      <c r="Z63" s="265"/>
      <c r="AA63" s="265"/>
      <c r="AB63" s="265"/>
      <c r="AC63" s="265" t="s">
        <v>205</v>
      </c>
      <c r="AD63" s="265" t="s">
        <v>206</v>
      </c>
      <c r="AE63" s="265" t="s">
        <v>207</v>
      </c>
      <c r="AF63" s="265" t="s">
        <v>208</v>
      </c>
      <c r="AG63" s="265" t="s">
        <v>209</v>
      </c>
      <c r="AH63" s="265" t="str">
        <f>IF($E$63=0,"",$E$63)</f>
        <v xml:space="preserve">Предельный уровень цены на тепловую энергию (мощность), поставляемую теплоснабжающими организациями потребителям</v>
      </c>
      <c r="AI63" s="265" t="str">
        <f>IF($G$63=0,"",$G$63)</f>
        <v/>
      </c>
      <c r="AJ63" s="265" t="str">
        <f>IF($J$63=0,"",$J$63)</f>
        <v/>
      </c>
      <c r="AK63" s="265" t="str">
        <f>IF($K$63="нет","без дифференциации",IF($N$63=0,"",$N$63))</f>
        <v/>
      </c>
      <c r="AL63" s="265" t="str">
        <f>IF($O$63="нет","без дифференциации",IF($R$63=0,"",$R$63))</f>
        <v/>
      </c>
      <c r="AM63" s="265" t="str">
        <f>IF($S$63="нет","без дифференциации",IF($V$63=0,"",$V$63))</f>
        <v/>
      </c>
      <c r="AN63" s="283">
        <f>$I$63</f>
        <v>0</v>
      </c>
      <c r="AO63" s="265" t="str">
        <f>$I$63&amp;"."&amp;$M$63</f>
        <v>.</v>
      </c>
      <c r="AP63" s="107" t="str">
        <f>$I$63&amp;"."&amp;$M$63&amp;"."&amp;$Q$63</f>
        <v>..</v>
      </c>
      <c r="AQ63" s="107" t="str">
        <f>$I$63&amp;"."&amp;$M$63&amp;"."&amp;$Q$63&amp;"."&amp;$U$63</f>
        <v>...</v>
      </c>
      <c r="AR63" s="185">
        <v>0</v>
      </c>
    </row>
    <row r="64" s="185" customFormat="1" ht="17.25" hidden="1" customHeight="1">
      <c r="A64" s="254"/>
      <c r="C64" s="185"/>
      <c r="D64" s="255"/>
      <c r="E64" s="256"/>
      <c r="F64" s="266"/>
      <c r="G64" s="256"/>
      <c r="H64" s="267"/>
      <c r="I64" s="268"/>
      <c r="J64" s="269"/>
      <c r="K64" s="126"/>
      <c r="L64" s="126"/>
      <c r="M64" s="126"/>
      <c r="N64" s="270"/>
      <c r="O64" s="126"/>
      <c r="P64" s="126"/>
      <c r="Q64" s="126"/>
      <c r="R64" s="271"/>
      <c r="S64" s="126"/>
      <c r="T64" s="272"/>
      <c r="U64" s="272"/>
      <c r="V64" s="272"/>
      <c r="W64" s="273"/>
      <c r="X64" s="107"/>
      <c r="Y64" s="107"/>
      <c r="Z64" s="107"/>
      <c r="AA64" s="107"/>
      <c r="AB64" s="107"/>
      <c r="AC64" s="107"/>
      <c r="AD64" s="107"/>
      <c r="AE64" s="107"/>
      <c r="AF64" s="107"/>
      <c r="AG64" s="107"/>
      <c r="AH64" s="107"/>
      <c r="AI64" s="107"/>
      <c r="AJ64" s="107"/>
      <c r="AK64" s="107"/>
      <c r="AL64" s="107"/>
      <c r="AM64" s="107"/>
      <c r="AN64" s="107"/>
      <c r="AO64" s="107"/>
      <c r="AP64" s="107"/>
      <c r="AQ64" s="107"/>
      <c r="AR64" s="185">
        <v>0</v>
      </c>
    </row>
    <row r="65" s="185" customFormat="1" ht="17.25" hidden="1" customHeight="1">
      <c r="A65" s="254"/>
      <c r="C65" s="185"/>
      <c r="D65" s="275"/>
      <c r="E65" s="276"/>
      <c r="F65" s="266"/>
      <c r="G65" s="276"/>
      <c r="H65" s="267"/>
      <c r="I65" s="268"/>
      <c r="J65" s="274"/>
      <c r="K65" s="126"/>
      <c r="L65" s="126"/>
      <c r="M65" s="126"/>
      <c r="N65" s="271"/>
      <c r="O65" s="126"/>
      <c r="P65" s="126"/>
      <c r="Q65" s="272"/>
      <c r="R65" s="272"/>
      <c r="S65" s="185"/>
      <c r="T65" s="185"/>
      <c r="U65" s="185"/>
      <c r="V65" s="185"/>
      <c r="W65" s="273"/>
      <c r="X65" s="107"/>
      <c r="Y65" s="107"/>
      <c r="Z65" s="107"/>
      <c r="AA65" s="107"/>
      <c r="AB65" s="107"/>
      <c r="AC65" s="107"/>
      <c r="AD65" s="107"/>
      <c r="AE65" s="107"/>
      <c r="AF65" s="107"/>
      <c r="AG65" s="107"/>
      <c r="AH65" s="107"/>
      <c r="AI65" s="107"/>
      <c r="AJ65" s="107"/>
      <c r="AK65" s="107"/>
      <c r="AL65" s="107"/>
      <c r="AM65" s="107"/>
      <c r="AN65" s="107"/>
      <c r="AO65" s="107"/>
      <c r="AP65" s="107"/>
      <c r="AQ65" s="107"/>
      <c r="AR65" s="185">
        <v>0</v>
      </c>
    </row>
    <row r="66" s="185" customFormat="1" ht="17.25" hidden="1" customHeight="1">
      <c r="A66" s="254"/>
      <c r="C66" s="129"/>
      <c r="D66" s="275"/>
      <c r="E66" s="276"/>
      <c r="F66" s="266"/>
      <c r="G66" s="276"/>
      <c r="H66" s="267"/>
      <c r="I66" s="268"/>
      <c r="J66" s="274"/>
      <c r="K66" s="126"/>
      <c r="L66" s="272"/>
      <c r="M66" s="272"/>
      <c r="N66" s="272"/>
      <c r="O66" s="272"/>
      <c r="P66" s="272"/>
      <c r="Q66" s="272"/>
      <c r="R66" s="272"/>
      <c r="S66" s="185"/>
      <c r="T66" s="185"/>
      <c r="U66" s="185"/>
      <c r="V66" s="185"/>
      <c r="W66" s="273"/>
      <c r="Y66" s="265"/>
      <c r="Z66" s="265"/>
      <c r="AA66" s="265"/>
      <c r="AB66" s="265"/>
      <c r="AC66" s="265"/>
      <c r="AD66" s="265"/>
      <c r="AE66" s="265"/>
      <c r="AF66" s="265"/>
      <c r="AG66" s="265"/>
      <c r="AH66" s="265"/>
      <c r="AI66" s="265"/>
      <c r="AJ66" s="265"/>
      <c r="AK66" s="265"/>
      <c r="AL66" s="265"/>
      <c r="AM66" s="265"/>
      <c r="AN66" s="265"/>
      <c r="AO66" s="265"/>
      <c r="AP66" s="265"/>
      <c r="AQ66" s="265"/>
      <c r="AR66" s="185">
        <v>0</v>
      </c>
    </row>
    <row r="67" s="185" customFormat="1" ht="17.25" hidden="1" customHeight="1">
      <c r="A67" s="254"/>
      <c r="C67" s="185"/>
      <c r="D67" s="275"/>
      <c r="E67" s="276"/>
      <c r="F67" s="277"/>
      <c r="G67" s="276"/>
      <c r="H67" s="278"/>
      <c r="I67" s="279"/>
      <c r="J67" s="279"/>
      <c r="K67" s="279"/>
      <c r="L67" s="279"/>
      <c r="M67" s="279"/>
      <c r="N67" s="279"/>
      <c r="O67" s="279"/>
      <c r="P67" s="279"/>
      <c r="Q67" s="279"/>
      <c r="R67" s="279"/>
      <c r="S67" s="280"/>
      <c r="T67" s="280"/>
      <c r="U67" s="280"/>
      <c r="V67" s="280"/>
      <c r="W67" s="281"/>
      <c r="X67" s="107"/>
      <c r="Y67" s="107"/>
      <c r="Z67" s="107"/>
      <c r="AA67" s="107"/>
      <c r="AB67" s="107"/>
      <c r="AC67" s="107"/>
      <c r="AD67" s="107"/>
      <c r="AE67" s="107"/>
      <c r="AF67" s="107"/>
      <c r="AG67" s="107"/>
      <c r="AH67" s="107"/>
      <c r="AI67" s="107"/>
      <c r="AJ67" s="107"/>
      <c r="AK67" s="107"/>
      <c r="AL67" s="107"/>
      <c r="AM67" s="107"/>
      <c r="AN67" s="107"/>
      <c r="AO67" s="107"/>
      <c r="AP67" s="107"/>
      <c r="AQ67" s="107"/>
      <c r="AR67" s="185">
        <v>0</v>
      </c>
    </row>
    <row r="68" ht="11.25" hidden="1" customHeight="1">
      <c r="AR68" s="185">
        <v>0</v>
      </c>
    </row>
    <row r="69" ht="11.25" hidden="1" customHeight="1">
      <c r="E69" s="291" t="s">
        <v>210</v>
      </c>
      <c r="F69" s="291"/>
      <c r="G69" s="291"/>
      <c r="H69" s="291"/>
      <c r="I69" s="291"/>
      <c r="J69" s="291"/>
      <c r="K69" s="291"/>
      <c r="L69" s="291"/>
      <c r="M69" s="291"/>
      <c r="N69" s="291"/>
      <c r="O69" s="291"/>
      <c r="P69" s="291"/>
      <c r="Q69" s="291"/>
      <c r="R69" s="291"/>
      <c r="S69" s="291"/>
      <c r="T69" s="291"/>
      <c r="U69" s="291"/>
      <c r="V69" s="291"/>
      <c r="W69" s="291"/>
      <c r="AR69" s="185">
        <v>0</v>
      </c>
    </row>
    <row r="70" ht="36.75" hidden="1" customHeight="1">
      <c r="E70" s="292" t="s">
        <v>211</v>
      </c>
      <c r="F70" s="292"/>
      <c r="G70" s="293"/>
      <c r="H70" s="293"/>
      <c r="I70" s="293"/>
      <c r="J70" s="293"/>
      <c r="K70" s="293"/>
      <c r="L70" s="293"/>
      <c r="M70" s="293"/>
      <c r="N70" s="293"/>
      <c r="O70" s="293"/>
      <c r="P70" s="293"/>
      <c r="Q70" s="293"/>
      <c r="R70" s="293"/>
      <c r="S70" s="293"/>
      <c r="T70" s="293"/>
      <c r="U70" s="293"/>
      <c r="V70" s="293"/>
      <c r="W70" s="293"/>
      <c r="AR70" s="185">
        <v>0</v>
      </c>
    </row>
    <row r="71" ht="28.5" hidden="1" customHeight="1">
      <c r="E71" s="292" t="s">
        <v>212</v>
      </c>
      <c r="F71" s="292"/>
      <c r="G71" s="293"/>
      <c r="H71" s="293"/>
      <c r="I71" s="293"/>
      <c r="J71" s="293"/>
      <c r="K71" s="293"/>
      <c r="L71" s="293"/>
      <c r="M71" s="293"/>
      <c r="N71" s="293"/>
      <c r="O71" s="293"/>
      <c r="P71" s="293"/>
      <c r="Q71" s="293"/>
      <c r="R71" s="293"/>
      <c r="S71" s="293"/>
      <c r="T71" s="293"/>
      <c r="U71" s="293"/>
      <c r="V71" s="293"/>
      <c r="W71" s="293"/>
      <c r="AR71" s="185">
        <v>0</v>
      </c>
    </row>
    <row r="72" ht="27" hidden="1" customHeight="1">
      <c r="E72" s="292" t="s">
        <v>213</v>
      </c>
      <c r="F72" s="292"/>
      <c r="G72" s="293"/>
      <c r="H72" s="293"/>
      <c r="I72" s="293"/>
      <c r="J72" s="293"/>
      <c r="K72" s="293"/>
      <c r="L72" s="293"/>
      <c r="M72" s="293"/>
      <c r="N72" s="293"/>
      <c r="O72" s="293"/>
      <c r="P72" s="293"/>
      <c r="Q72" s="293"/>
      <c r="R72" s="293"/>
      <c r="S72" s="293"/>
      <c r="T72" s="293"/>
      <c r="U72" s="293"/>
      <c r="V72" s="293"/>
      <c r="W72" s="293"/>
      <c r="AR72" s="185">
        <v>0</v>
      </c>
    </row>
    <row r="73" ht="17.25" hidden="1" customHeight="1">
      <c r="E73" s="292" t="s">
        <v>214</v>
      </c>
      <c r="F73" s="292"/>
      <c r="G73" s="293"/>
      <c r="H73" s="293"/>
      <c r="I73" s="293"/>
      <c r="J73" s="293"/>
      <c r="K73" s="293"/>
      <c r="L73" s="293"/>
      <c r="M73" s="293"/>
      <c r="N73" s="293"/>
      <c r="O73" s="293"/>
      <c r="P73" s="293"/>
      <c r="Q73" s="293"/>
      <c r="R73" s="293"/>
      <c r="S73" s="293"/>
      <c r="T73" s="293"/>
      <c r="U73" s="293"/>
      <c r="V73" s="293"/>
      <c r="W73" s="293"/>
      <c r="AR73" s="185">
        <v>0</v>
      </c>
    </row>
    <row r="74" ht="15" hidden="1" customHeight="1">
      <c r="E74" s="291"/>
      <c r="F74" s="291"/>
      <c r="G74" s="294"/>
      <c r="H74" s="294"/>
      <c r="I74" s="294"/>
      <c r="J74" s="294"/>
      <c r="K74" s="294"/>
      <c r="L74" s="294"/>
      <c r="M74" s="294"/>
      <c r="N74" s="294"/>
      <c r="O74" s="294"/>
      <c r="P74" s="294"/>
      <c r="Q74" s="294"/>
      <c r="R74" s="294"/>
      <c r="S74" s="294"/>
      <c r="T74" s="294"/>
      <c r="U74" s="294"/>
      <c r="V74" s="294"/>
      <c r="W74" s="294"/>
      <c r="AR74" s="185">
        <v>0</v>
      </c>
    </row>
    <row r="75" ht="15" hidden="1" customHeight="1">
      <c r="E75" s="291" t="s">
        <v>215</v>
      </c>
      <c r="F75" s="291"/>
      <c r="G75" s="291"/>
      <c r="H75" s="291"/>
      <c r="I75" s="291"/>
      <c r="J75" s="291"/>
      <c r="K75" s="291"/>
      <c r="L75" s="291"/>
      <c r="M75" s="291"/>
      <c r="N75" s="291"/>
      <c r="O75" s="291"/>
      <c r="P75" s="291"/>
      <c r="Q75" s="291"/>
      <c r="R75" s="291"/>
      <c r="S75" s="291"/>
      <c r="T75" s="291"/>
      <c r="U75" s="291"/>
      <c r="V75" s="291"/>
      <c r="W75" s="291"/>
      <c r="AR75" s="185">
        <v>0</v>
      </c>
    </row>
    <row r="76" ht="17.25" hidden="1" customHeight="1">
      <c r="E76" s="292" t="s">
        <v>216</v>
      </c>
      <c r="F76" s="292"/>
      <c r="G76" s="293"/>
      <c r="H76" s="293"/>
      <c r="I76" s="293"/>
      <c r="J76" s="293"/>
      <c r="K76" s="293"/>
      <c r="L76" s="293"/>
      <c r="M76" s="293"/>
      <c r="N76" s="293"/>
      <c r="O76" s="293"/>
      <c r="P76" s="293"/>
      <c r="Q76" s="293"/>
      <c r="R76" s="293"/>
      <c r="S76" s="293"/>
      <c r="T76" s="293"/>
      <c r="U76" s="293"/>
      <c r="V76" s="293"/>
      <c r="W76" s="293"/>
      <c r="AR76" s="185">
        <v>0</v>
      </c>
    </row>
    <row r="77" ht="17.25" hidden="1" customHeight="1">
      <c r="E77" s="292" t="s">
        <v>217</v>
      </c>
      <c r="F77" s="292"/>
      <c r="G77" s="293"/>
      <c r="H77" s="293"/>
      <c r="I77" s="293"/>
      <c r="J77" s="293"/>
      <c r="K77" s="293"/>
      <c r="L77" s="293"/>
      <c r="M77" s="293"/>
      <c r="N77" s="293"/>
      <c r="O77" s="293"/>
      <c r="P77" s="293"/>
      <c r="Q77" s="293"/>
      <c r="R77" s="293"/>
      <c r="S77" s="293"/>
      <c r="T77" s="293"/>
      <c r="U77" s="293"/>
      <c r="V77" s="293"/>
      <c r="W77" s="293"/>
      <c r="AR77" s="185">
        <v>0</v>
      </c>
    </row>
    <row r="78" s="185" customFormat="1" ht="11.25" hidden="1" customHeight="1">
      <c r="A78" s="130"/>
      <c r="B78" s="130"/>
      <c r="Y78" s="107"/>
      <c r="Z78" s="107"/>
      <c r="AA78" s="107"/>
      <c r="AB78" s="107"/>
      <c r="AC78" s="107"/>
      <c r="AD78" s="107"/>
      <c r="AE78" s="107"/>
      <c r="AF78" s="107"/>
      <c r="AG78" s="107"/>
      <c r="AH78" s="107"/>
      <c r="AI78" s="107"/>
      <c r="AJ78" s="107"/>
      <c r="AK78" s="107"/>
      <c r="AL78" s="107"/>
      <c r="AM78" s="107"/>
      <c r="AN78" s="107"/>
      <c r="AO78" s="107"/>
      <c r="AP78" s="107"/>
      <c r="AQ78" s="107"/>
      <c r="AR78" s="185">
        <v>0</v>
      </c>
    </row>
    <row r="79" s="185" customFormat="1" ht="17.25" hidden="1" customHeight="1">
      <c r="A79" s="254"/>
      <c r="C79" s="129"/>
      <c r="D79" s="255">
        <v>1</v>
      </c>
      <c r="E79" s="256" t="s">
        <v>218</v>
      </c>
      <c r="F79" s="257" t="s">
        <v>19</v>
      </c>
      <c r="G79" s="256"/>
      <c r="H79" s="258"/>
      <c r="I79" s="259"/>
      <c r="J79" s="260"/>
      <c r="K79" s="261"/>
      <c r="L79" s="261"/>
      <c r="M79" s="261"/>
      <c r="N79" s="262"/>
      <c r="O79" s="261"/>
      <c r="P79" s="261"/>
      <c r="Q79" s="261"/>
      <c r="R79" s="263"/>
      <c r="S79" s="261"/>
      <c r="T79" s="261"/>
      <c r="U79" s="261"/>
      <c r="V79" s="263"/>
      <c r="W79" s="264"/>
      <c r="Y79" s="265"/>
      <c r="Z79" s="265"/>
      <c r="AA79" s="265"/>
      <c r="AB79" s="265"/>
      <c r="AC79" s="265" t="s">
        <v>219</v>
      </c>
      <c r="AD79" s="265" t="s">
        <v>220</v>
      </c>
      <c r="AE79" s="265" t="s">
        <v>221</v>
      </c>
      <c r="AF79" s="265" t="s">
        <v>222</v>
      </c>
      <c r="AG79" s="265"/>
      <c r="AH79" s="265" t="str">
        <f>IF($E$79=0,"",$E$79)</f>
        <v xml:space="preserve">Тариф на питьевую воду (питьевое водоснабжение)</v>
      </c>
      <c r="AI79" s="265" t="str">
        <f>IF($G$79=0,"",$G$79)</f>
        <v/>
      </c>
      <c r="AJ79" s="265" t="str">
        <f>IF($J$79=0,"",$J$79)</f>
        <v/>
      </c>
      <c r="AK79" s="265" t="str">
        <f>IF($K$79="нет","без дифференциации",IF($N$79=0,"",$N$79))</f>
        <v/>
      </c>
      <c r="AL79" s="265" t="str">
        <f>IF($O$79="нет","без дифференциации",IF($R$79=0,"",$R$79))</f>
        <v/>
      </c>
      <c r="AM79" s="265" t="str">
        <f>IF($S$79="нет","без дифференциации",IF($V$79=0,"",$V$79))</f>
        <v/>
      </c>
      <c r="AN79" s="265">
        <f>$I$79</f>
        <v>0</v>
      </c>
      <c r="AO79" s="265" t="str">
        <f>$I$79&amp;"."&amp;$M$79</f>
        <v>.</v>
      </c>
      <c r="AP79" s="265" t="str">
        <f>$I$79&amp;"."&amp;$M$79&amp;"."&amp;$Q$79</f>
        <v>..</v>
      </c>
      <c r="AQ79" s="265" t="str">
        <f>$I$79&amp;"."&amp;$M$79&amp;"."&amp;$Q$79&amp;"."&amp;$U$79</f>
        <v>...</v>
      </c>
      <c r="AR79" s="185">
        <v>0</v>
      </c>
    </row>
    <row r="80" s="185" customFormat="1" ht="17.25" hidden="1" customHeight="1">
      <c r="A80" s="254"/>
      <c r="C80" s="185"/>
      <c r="D80" s="255"/>
      <c r="E80" s="256"/>
      <c r="F80" s="266"/>
      <c r="G80" s="256"/>
      <c r="H80" s="267"/>
      <c r="I80" s="268"/>
      <c r="J80" s="269"/>
      <c r="K80" s="126"/>
      <c r="L80" s="126"/>
      <c r="M80" s="126"/>
      <c r="N80" s="270"/>
      <c r="O80" s="126"/>
      <c r="P80" s="126"/>
      <c r="Q80" s="126"/>
      <c r="R80" s="271"/>
      <c r="S80" s="126"/>
      <c r="T80" s="272"/>
      <c r="U80" s="272"/>
      <c r="V80" s="272"/>
      <c r="W80" s="273"/>
      <c r="Y80" s="107"/>
      <c r="Z80" s="107"/>
      <c r="AA80" s="107"/>
      <c r="AB80" s="107"/>
      <c r="AC80" s="107"/>
      <c r="AD80" s="107"/>
      <c r="AE80" s="107"/>
      <c r="AF80" s="107"/>
      <c r="AG80" s="107"/>
      <c r="AH80" s="107"/>
      <c r="AI80" s="107"/>
      <c r="AJ80" s="107"/>
      <c r="AK80" s="107"/>
      <c r="AL80" s="107"/>
      <c r="AM80" s="107"/>
      <c r="AN80" s="107"/>
      <c r="AO80" s="107"/>
      <c r="AP80" s="107"/>
      <c r="AQ80" s="107"/>
      <c r="AR80" s="185">
        <v>0</v>
      </c>
    </row>
    <row r="81" s="185" customFormat="1" ht="17.25" hidden="1" customHeight="1">
      <c r="A81" s="254"/>
      <c r="C81" s="129"/>
      <c r="D81" s="255"/>
      <c r="E81" s="256"/>
      <c r="F81" s="266"/>
      <c r="G81" s="256"/>
      <c r="H81" s="267"/>
      <c r="I81" s="268"/>
      <c r="J81" s="274"/>
      <c r="K81" s="126"/>
      <c r="L81" s="126"/>
      <c r="M81" s="126"/>
      <c r="N81" s="271"/>
      <c r="O81" s="126"/>
      <c r="P81" s="126"/>
      <c r="Q81" s="272"/>
      <c r="R81" s="272"/>
      <c r="S81" s="185"/>
      <c r="T81" s="185"/>
      <c r="U81" s="185"/>
      <c r="V81" s="185"/>
      <c r="W81" s="273"/>
      <c r="Y81" s="265"/>
      <c r="Z81" s="265"/>
      <c r="AA81" s="265"/>
      <c r="AB81" s="265"/>
      <c r="AC81" s="265"/>
      <c r="AD81" s="265"/>
      <c r="AE81" s="265"/>
      <c r="AF81" s="265"/>
      <c r="AG81" s="265"/>
      <c r="AH81" s="265"/>
      <c r="AI81" s="265"/>
      <c r="AJ81" s="265"/>
      <c r="AK81" s="265"/>
      <c r="AL81" s="265"/>
      <c r="AM81" s="265"/>
      <c r="AN81" s="265"/>
      <c r="AO81" s="265"/>
      <c r="AP81" s="265"/>
      <c r="AQ81" s="265"/>
      <c r="AR81" s="185">
        <v>0</v>
      </c>
    </row>
    <row r="82" s="185" customFormat="1" ht="17.25" hidden="1" customHeight="1">
      <c r="A82" s="254"/>
      <c r="C82" s="185"/>
      <c r="D82" s="255"/>
      <c r="E82" s="256"/>
      <c r="F82" s="266"/>
      <c r="G82" s="256"/>
      <c r="H82" s="267"/>
      <c r="I82" s="268"/>
      <c r="J82" s="274"/>
      <c r="K82" s="126"/>
      <c r="L82" s="272"/>
      <c r="M82" s="272"/>
      <c r="N82" s="272"/>
      <c r="O82" s="272"/>
      <c r="P82" s="272"/>
      <c r="Q82" s="272"/>
      <c r="R82" s="272"/>
      <c r="S82" s="185"/>
      <c r="T82" s="185"/>
      <c r="U82" s="185"/>
      <c r="V82" s="185"/>
      <c r="W82" s="273"/>
      <c r="Y82" s="107"/>
      <c r="Z82" s="107"/>
      <c r="AA82" s="107"/>
      <c r="AB82" s="107"/>
      <c r="AC82" s="107"/>
      <c r="AD82" s="107"/>
      <c r="AE82" s="107"/>
      <c r="AF82" s="107"/>
      <c r="AG82" s="107"/>
      <c r="AH82" s="107"/>
      <c r="AI82" s="107"/>
      <c r="AJ82" s="107"/>
      <c r="AK82" s="107"/>
      <c r="AL82" s="107"/>
      <c r="AM82" s="107"/>
      <c r="AN82" s="107"/>
      <c r="AO82" s="107"/>
      <c r="AP82" s="107"/>
      <c r="AQ82" s="107"/>
      <c r="AR82" s="185">
        <v>0</v>
      </c>
    </row>
    <row r="83" s="185" customFormat="1" ht="17.25" hidden="1" customHeight="1">
      <c r="A83" s="254"/>
      <c r="C83" s="185"/>
      <c r="D83" s="275"/>
      <c r="E83" s="276"/>
      <c r="F83" s="277"/>
      <c r="G83" s="276"/>
      <c r="H83" s="278"/>
      <c r="I83" s="279"/>
      <c r="J83" s="279"/>
      <c r="K83" s="279"/>
      <c r="L83" s="279"/>
      <c r="M83" s="279"/>
      <c r="N83" s="279"/>
      <c r="O83" s="279"/>
      <c r="P83" s="279"/>
      <c r="Q83" s="279"/>
      <c r="R83" s="279"/>
      <c r="S83" s="280"/>
      <c r="T83" s="280"/>
      <c r="U83" s="280"/>
      <c r="V83" s="280"/>
      <c r="W83" s="281"/>
      <c r="Y83" s="107"/>
      <c r="Z83" s="107"/>
      <c r="AA83" s="107"/>
      <c r="AB83" s="107"/>
      <c r="AC83" s="107"/>
      <c r="AD83" s="107"/>
      <c r="AE83" s="107"/>
      <c r="AF83" s="107"/>
      <c r="AG83" s="107"/>
      <c r="AH83" s="107"/>
      <c r="AI83" s="107"/>
      <c r="AJ83" s="107"/>
      <c r="AK83" s="107"/>
      <c r="AL83" s="107"/>
      <c r="AM83" s="107"/>
      <c r="AN83" s="107"/>
      <c r="AO83" s="107"/>
      <c r="AP83" s="107"/>
      <c r="AQ83" s="107"/>
      <c r="AR83" s="185">
        <v>0</v>
      </c>
    </row>
    <row r="84" s="185" customFormat="1" ht="17.25" hidden="1" customHeight="1">
      <c r="A84" s="254"/>
      <c r="C84" s="129"/>
      <c r="D84" s="255">
        <v>2</v>
      </c>
      <c r="E84" s="256" t="s">
        <v>223</v>
      </c>
      <c r="F84" s="257" t="s">
        <v>19</v>
      </c>
      <c r="G84" s="256"/>
      <c r="H84" s="258"/>
      <c r="I84" s="259"/>
      <c r="J84" s="260"/>
      <c r="K84" s="261"/>
      <c r="L84" s="261"/>
      <c r="M84" s="261"/>
      <c r="N84" s="262"/>
      <c r="O84" s="261"/>
      <c r="P84" s="261"/>
      <c r="Q84" s="261"/>
      <c r="R84" s="263"/>
      <c r="S84" s="261"/>
      <c r="T84" s="261"/>
      <c r="U84" s="261"/>
      <c r="V84" s="263"/>
      <c r="W84" s="264"/>
      <c r="X84" s="265"/>
      <c r="Y84" s="265"/>
      <c r="Z84" s="265"/>
      <c r="AA84" s="265"/>
      <c r="AB84" s="265"/>
      <c r="AC84" s="265" t="s">
        <v>224</v>
      </c>
      <c r="AD84" s="265" t="s">
        <v>225</v>
      </c>
      <c r="AE84" s="265" t="s">
        <v>226</v>
      </c>
      <c r="AF84" s="265" t="s">
        <v>227</v>
      </c>
      <c r="AG84" s="265"/>
      <c r="AH84" s="265" t="str">
        <f>IF($E$84=0,"",$E$84)</f>
        <v xml:space="preserve">Тариф на техническую воду</v>
      </c>
      <c r="AI84" s="265" t="str">
        <f>IF($G$84=0,"",$G$84)</f>
        <v/>
      </c>
      <c r="AJ84" s="265" t="str">
        <f>IF($J$84=0,"",$J$84)</f>
        <v/>
      </c>
      <c r="AK84" s="265" t="str">
        <f>IF($K$84="нет","без дифференциации",IF($N$84=0,"",$N$84))</f>
        <v/>
      </c>
      <c r="AL84" s="265" t="str">
        <f>IF($O$84="нет","без дифференциации",IF($R$84=0,"",$R$84))</f>
        <v/>
      </c>
      <c r="AM84" s="265" t="str">
        <f>IF($S$84="нет","без дифференциации",IF($V$84=0,"",$V$84))</f>
        <v/>
      </c>
      <c r="AN84" s="283">
        <f>$I$84</f>
        <v>0</v>
      </c>
      <c r="AO84" s="265" t="str">
        <f>$I$84&amp;"."&amp;$M$84</f>
        <v>.</v>
      </c>
      <c r="AP84" s="107" t="str">
        <f>$I$84&amp;"."&amp;$M$84&amp;"."&amp;$Q$84</f>
        <v>..</v>
      </c>
      <c r="AQ84" s="107" t="str">
        <f>$I$84&amp;"."&amp;$M$84&amp;"."&amp;$Q$84&amp;"."&amp;$U$84</f>
        <v>...</v>
      </c>
      <c r="AR84" s="185">
        <v>0</v>
      </c>
    </row>
    <row r="85" s="185" customFormat="1" ht="17.25" hidden="1" customHeight="1">
      <c r="A85" s="254"/>
      <c r="C85" s="185"/>
      <c r="D85" s="255"/>
      <c r="E85" s="256"/>
      <c r="F85" s="266"/>
      <c r="G85" s="256"/>
      <c r="H85" s="267"/>
      <c r="I85" s="268"/>
      <c r="J85" s="269"/>
      <c r="K85" s="126"/>
      <c r="L85" s="126"/>
      <c r="M85" s="126"/>
      <c r="N85" s="270"/>
      <c r="O85" s="126"/>
      <c r="P85" s="126"/>
      <c r="Q85" s="126"/>
      <c r="R85" s="271"/>
      <c r="S85" s="126"/>
      <c r="T85" s="272"/>
      <c r="U85" s="272"/>
      <c r="V85" s="272"/>
      <c r="W85" s="273"/>
      <c r="X85" s="107"/>
      <c r="Y85" s="107"/>
      <c r="Z85" s="107"/>
      <c r="AA85" s="107"/>
      <c r="AB85" s="107"/>
      <c r="AC85" s="107"/>
      <c r="AD85" s="107"/>
      <c r="AE85" s="107"/>
      <c r="AF85" s="107"/>
      <c r="AG85" s="107"/>
      <c r="AH85" s="107"/>
      <c r="AI85" s="107"/>
      <c r="AJ85" s="107"/>
      <c r="AK85" s="107"/>
      <c r="AL85" s="107"/>
      <c r="AM85" s="107"/>
      <c r="AN85" s="107"/>
      <c r="AO85" s="107"/>
      <c r="AP85" s="107"/>
      <c r="AQ85" s="107"/>
      <c r="AR85" s="185">
        <v>0</v>
      </c>
    </row>
    <row r="86" s="185" customFormat="1" ht="17.25" hidden="1" customHeight="1">
      <c r="A86" s="254"/>
      <c r="C86" s="185"/>
      <c r="D86" s="275"/>
      <c r="E86" s="276"/>
      <c r="F86" s="266"/>
      <c r="G86" s="276"/>
      <c r="H86" s="267"/>
      <c r="I86" s="268"/>
      <c r="J86" s="274"/>
      <c r="K86" s="126"/>
      <c r="L86" s="126"/>
      <c r="M86" s="126"/>
      <c r="N86" s="271"/>
      <c r="O86" s="126"/>
      <c r="P86" s="126"/>
      <c r="Q86" s="272"/>
      <c r="R86" s="272"/>
      <c r="S86" s="185"/>
      <c r="T86" s="185"/>
      <c r="U86" s="185"/>
      <c r="V86" s="185"/>
      <c r="W86" s="273"/>
      <c r="X86" s="107"/>
      <c r="Y86" s="107"/>
      <c r="Z86" s="107"/>
      <c r="AA86" s="107"/>
      <c r="AB86" s="107"/>
      <c r="AC86" s="107"/>
      <c r="AD86" s="107"/>
      <c r="AE86" s="107"/>
      <c r="AF86" s="107"/>
      <c r="AG86" s="107"/>
      <c r="AH86" s="107"/>
      <c r="AI86" s="107"/>
      <c r="AJ86" s="107"/>
      <c r="AK86" s="107"/>
      <c r="AL86" s="107"/>
      <c r="AM86" s="107"/>
      <c r="AN86" s="107"/>
      <c r="AO86" s="107"/>
      <c r="AP86" s="107"/>
      <c r="AQ86" s="107"/>
      <c r="AR86" s="185">
        <v>0</v>
      </c>
    </row>
    <row r="87" s="185" customFormat="1" ht="17.25" hidden="1" customHeight="1">
      <c r="A87" s="254"/>
      <c r="C87" s="185"/>
      <c r="D87" s="275"/>
      <c r="E87" s="276"/>
      <c r="F87" s="266"/>
      <c r="G87" s="276"/>
      <c r="H87" s="267"/>
      <c r="I87" s="268"/>
      <c r="J87" s="274"/>
      <c r="K87" s="126"/>
      <c r="L87" s="272"/>
      <c r="M87" s="272"/>
      <c r="N87" s="272"/>
      <c r="O87" s="272"/>
      <c r="P87" s="272"/>
      <c r="Q87" s="272"/>
      <c r="R87" s="272"/>
      <c r="S87" s="185"/>
      <c r="T87" s="185"/>
      <c r="U87" s="185"/>
      <c r="V87" s="185"/>
      <c r="W87" s="273"/>
      <c r="X87" s="107"/>
      <c r="Y87" s="107"/>
      <c r="Z87" s="107"/>
      <c r="AA87" s="107"/>
      <c r="AB87" s="107"/>
      <c r="AC87" s="107"/>
      <c r="AD87" s="107"/>
      <c r="AE87" s="107"/>
      <c r="AF87" s="107"/>
      <c r="AG87" s="107"/>
      <c r="AH87" s="107"/>
      <c r="AI87" s="107"/>
      <c r="AJ87" s="107"/>
      <c r="AK87" s="107"/>
      <c r="AL87" s="107"/>
      <c r="AM87" s="107"/>
      <c r="AN87" s="107"/>
      <c r="AO87" s="107"/>
      <c r="AP87" s="107"/>
      <c r="AQ87" s="107"/>
      <c r="AR87" s="185">
        <v>0</v>
      </c>
    </row>
    <row r="88" s="185" customFormat="1" ht="17.25" hidden="1" customHeight="1">
      <c r="A88" s="254"/>
      <c r="C88" s="185"/>
      <c r="D88" s="275"/>
      <c r="E88" s="276"/>
      <c r="F88" s="277"/>
      <c r="G88" s="276"/>
      <c r="H88" s="278"/>
      <c r="I88" s="279"/>
      <c r="J88" s="279"/>
      <c r="K88" s="279"/>
      <c r="L88" s="279"/>
      <c r="M88" s="279"/>
      <c r="N88" s="279"/>
      <c r="O88" s="279"/>
      <c r="P88" s="279"/>
      <c r="Q88" s="279"/>
      <c r="R88" s="279"/>
      <c r="S88" s="280"/>
      <c r="T88" s="280"/>
      <c r="U88" s="280"/>
      <c r="V88" s="280"/>
      <c r="W88" s="281"/>
      <c r="X88" s="107"/>
      <c r="Y88" s="107"/>
      <c r="Z88" s="107"/>
      <c r="AA88" s="107"/>
      <c r="AB88" s="107"/>
      <c r="AC88" s="107"/>
      <c r="AD88" s="107"/>
      <c r="AE88" s="107"/>
      <c r="AF88" s="107"/>
      <c r="AG88" s="107"/>
      <c r="AH88" s="107"/>
      <c r="AI88" s="107"/>
      <c r="AJ88" s="107"/>
      <c r="AK88" s="107"/>
      <c r="AL88" s="107"/>
      <c r="AM88" s="107"/>
      <c r="AN88" s="107"/>
      <c r="AO88" s="107"/>
      <c r="AP88" s="107"/>
      <c r="AQ88" s="107"/>
      <c r="AR88" s="185">
        <v>0</v>
      </c>
    </row>
    <row r="89" s="185" customFormat="1" ht="17.25" hidden="1" customHeight="1">
      <c r="A89" s="254"/>
      <c r="C89" s="129"/>
      <c r="D89" s="255">
        <v>3</v>
      </c>
      <c r="E89" s="256" t="s">
        <v>228</v>
      </c>
      <c r="F89" s="257" t="s">
        <v>19</v>
      </c>
      <c r="G89" s="256"/>
      <c r="H89" s="258"/>
      <c r="I89" s="259"/>
      <c r="J89" s="260"/>
      <c r="K89" s="261"/>
      <c r="L89" s="261"/>
      <c r="M89" s="261"/>
      <c r="N89" s="262"/>
      <c r="O89" s="261"/>
      <c r="P89" s="261"/>
      <c r="Q89" s="261"/>
      <c r="R89" s="263"/>
      <c r="S89" s="261"/>
      <c r="T89" s="261"/>
      <c r="U89" s="261"/>
      <c r="V89" s="263"/>
      <c r="W89" s="264"/>
      <c r="X89" s="265"/>
      <c r="Y89" s="265"/>
      <c r="Z89" s="265"/>
      <c r="AA89" s="265"/>
      <c r="AB89" s="265"/>
      <c r="AC89" s="265" t="s">
        <v>229</v>
      </c>
      <c r="AD89" s="265" t="s">
        <v>230</v>
      </c>
      <c r="AE89" s="265" t="s">
        <v>231</v>
      </c>
      <c r="AF89" s="265" t="s">
        <v>232</v>
      </c>
      <c r="AG89" s="265"/>
      <c r="AH89" s="265" t="str">
        <f>IF($E$89=0,"",$E$89)</f>
        <v xml:space="preserve">Тариф на транспортировку воды</v>
      </c>
      <c r="AI89" s="265" t="str">
        <f>IF($G$89=0,"",$G$89)</f>
        <v/>
      </c>
      <c r="AJ89" s="265" t="str">
        <f>IF($J$89=0,"",$J$89)</f>
        <v/>
      </c>
      <c r="AK89" s="265" t="str">
        <f>IF($K$89="нет","без дифференциации",IF($N$89=0,"",$N$89))</f>
        <v/>
      </c>
      <c r="AL89" s="265" t="str">
        <f>IF($O$89="нет","без дифференциации",IF($R$89=0,"",$R$89))</f>
        <v/>
      </c>
      <c r="AM89" s="265" t="str">
        <f>IF($S$89="нет","без дифференциации",IF($V$89=0,"",$V$89))</f>
        <v/>
      </c>
      <c r="AN89" s="283">
        <f>$I$89</f>
        <v>0</v>
      </c>
      <c r="AO89" s="265" t="str">
        <f>$I$89&amp;"."&amp;$M$89</f>
        <v>.</v>
      </c>
      <c r="AP89" s="107" t="str">
        <f>$I$89&amp;"."&amp;$M$89&amp;"."&amp;$Q$89</f>
        <v>..</v>
      </c>
      <c r="AQ89" s="107" t="str">
        <f>$I$89&amp;"."&amp;$M$89&amp;"."&amp;$Q$89&amp;"."&amp;$U$89</f>
        <v>...</v>
      </c>
      <c r="AR89" s="185">
        <v>0</v>
      </c>
    </row>
    <row r="90" s="185" customFormat="1" ht="17.25" hidden="1" customHeight="1">
      <c r="A90" s="254"/>
      <c r="C90" s="185"/>
      <c r="D90" s="255"/>
      <c r="E90" s="256"/>
      <c r="F90" s="266"/>
      <c r="G90" s="256"/>
      <c r="H90" s="267"/>
      <c r="I90" s="268"/>
      <c r="J90" s="269"/>
      <c r="K90" s="126"/>
      <c r="L90" s="126"/>
      <c r="M90" s="126"/>
      <c r="N90" s="270"/>
      <c r="O90" s="126"/>
      <c r="P90" s="126"/>
      <c r="Q90" s="126"/>
      <c r="R90" s="271"/>
      <c r="S90" s="126"/>
      <c r="T90" s="272"/>
      <c r="U90" s="272"/>
      <c r="V90" s="272"/>
      <c r="W90" s="273"/>
      <c r="X90" s="107"/>
      <c r="Y90" s="107"/>
      <c r="Z90" s="107"/>
      <c r="AA90" s="107"/>
      <c r="AB90" s="107"/>
      <c r="AC90" s="107"/>
      <c r="AD90" s="107"/>
      <c r="AE90" s="107"/>
      <c r="AF90" s="107"/>
      <c r="AG90" s="107"/>
      <c r="AH90" s="107"/>
      <c r="AI90" s="107"/>
      <c r="AJ90" s="107"/>
      <c r="AK90" s="107"/>
      <c r="AL90" s="107"/>
      <c r="AM90" s="107"/>
      <c r="AN90" s="107"/>
      <c r="AO90" s="107"/>
      <c r="AP90" s="107"/>
      <c r="AQ90" s="107"/>
      <c r="AR90" s="185">
        <v>0</v>
      </c>
    </row>
    <row r="91" s="185" customFormat="1" ht="17.25" hidden="1" customHeight="1">
      <c r="A91" s="254"/>
      <c r="C91" s="185"/>
      <c r="D91" s="275"/>
      <c r="E91" s="276"/>
      <c r="F91" s="266"/>
      <c r="G91" s="276"/>
      <c r="H91" s="267"/>
      <c r="I91" s="268"/>
      <c r="J91" s="274"/>
      <c r="K91" s="126"/>
      <c r="L91" s="126"/>
      <c r="M91" s="126"/>
      <c r="N91" s="271"/>
      <c r="O91" s="126"/>
      <c r="P91" s="126"/>
      <c r="Q91" s="272"/>
      <c r="R91" s="272"/>
      <c r="S91" s="185"/>
      <c r="T91" s="185"/>
      <c r="U91" s="185"/>
      <c r="V91" s="185"/>
      <c r="W91" s="273"/>
      <c r="X91" s="107"/>
      <c r="Y91" s="107"/>
      <c r="Z91" s="107"/>
      <c r="AA91" s="107"/>
      <c r="AB91" s="107"/>
      <c r="AC91" s="107"/>
      <c r="AD91" s="107"/>
      <c r="AE91" s="107"/>
      <c r="AF91" s="107"/>
      <c r="AG91" s="107"/>
      <c r="AH91" s="107"/>
      <c r="AI91" s="107"/>
      <c r="AJ91" s="107"/>
      <c r="AK91" s="107"/>
      <c r="AL91" s="107"/>
      <c r="AM91" s="107"/>
      <c r="AN91" s="107"/>
      <c r="AO91" s="107"/>
      <c r="AP91" s="107"/>
      <c r="AQ91" s="107"/>
      <c r="AR91" s="185">
        <v>0</v>
      </c>
    </row>
    <row r="92" s="185" customFormat="1" ht="17.25" hidden="1" customHeight="1">
      <c r="A92" s="254"/>
      <c r="C92" s="185"/>
      <c r="D92" s="275"/>
      <c r="E92" s="276"/>
      <c r="F92" s="266"/>
      <c r="G92" s="276"/>
      <c r="H92" s="267"/>
      <c r="I92" s="268"/>
      <c r="J92" s="274"/>
      <c r="K92" s="126"/>
      <c r="L92" s="272"/>
      <c r="M92" s="272"/>
      <c r="N92" s="272"/>
      <c r="O92" s="272"/>
      <c r="P92" s="272"/>
      <c r="Q92" s="272"/>
      <c r="R92" s="272"/>
      <c r="S92" s="185"/>
      <c r="T92" s="185"/>
      <c r="U92" s="185"/>
      <c r="V92" s="185"/>
      <c r="W92" s="273"/>
      <c r="X92" s="107"/>
      <c r="Y92" s="107"/>
      <c r="Z92" s="107"/>
      <c r="AA92" s="107"/>
      <c r="AB92" s="107"/>
      <c r="AC92" s="107"/>
      <c r="AD92" s="107"/>
      <c r="AE92" s="107"/>
      <c r="AF92" s="107"/>
      <c r="AG92" s="107"/>
      <c r="AH92" s="107"/>
      <c r="AI92" s="107"/>
      <c r="AJ92" s="107"/>
      <c r="AK92" s="107"/>
      <c r="AL92" s="107"/>
      <c r="AM92" s="107"/>
      <c r="AN92" s="107"/>
      <c r="AO92" s="107"/>
      <c r="AP92" s="107"/>
      <c r="AQ92" s="107"/>
      <c r="AR92" s="185">
        <v>0</v>
      </c>
    </row>
    <row r="93" s="185" customFormat="1" ht="17.25" hidden="1" customHeight="1">
      <c r="A93" s="254"/>
      <c r="C93" s="185"/>
      <c r="D93" s="275"/>
      <c r="E93" s="276"/>
      <c r="F93" s="277"/>
      <c r="G93" s="276"/>
      <c r="H93" s="278"/>
      <c r="I93" s="279"/>
      <c r="J93" s="279"/>
      <c r="K93" s="279"/>
      <c r="L93" s="279"/>
      <c r="M93" s="279"/>
      <c r="N93" s="279"/>
      <c r="O93" s="279"/>
      <c r="P93" s="279"/>
      <c r="Q93" s="279"/>
      <c r="R93" s="279"/>
      <c r="S93" s="280"/>
      <c r="T93" s="280"/>
      <c r="U93" s="280"/>
      <c r="V93" s="280"/>
      <c r="W93" s="281"/>
      <c r="X93" s="107"/>
      <c r="Y93" s="107"/>
      <c r="Z93" s="107"/>
      <c r="AA93" s="107"/>
      <c r="AB93" s="107"/>
      <c r="AC93" s="107"/>
      <c r="AD93" s="107"/>
      <c r="AE93" s="107"/>
      <c r="AF93" s="107"/>
      <c r="AG93" s="107"/>
      <c r="AH93" s="107"/>
      <c r="AI93" s="107"/>
      <c r="AJ93" s="107"/>
      <c r="AK93" s="107"/>
      <c r="AL93" s="107"/>
      <c r="AM93" s="107"/>
      <c r="AN93" s="107"/>
      <c r="AO93" s="107"/>
      <c r="AP93" s="107"/>
      <c r="AQ93" s="107"/>
      <c r="AR93" s="185">
        <v>0</v>
      </c>
    </row>
    <row r="94" s="185" customFormat="1" ht="17.25" hidden="1" customHeight="1">
      <c r="A94" s="254"/>
      <c r="C94" s="129"/>
      <c r="D94" s="255">
        <v>4</v>
      </c>
      <c r="E94" s="256" t="s">
        <v>233</v>
      </c>
      <c r="F94" s="257" t="s">
        <v>19</v>
      </c>
      <c r="G94" s="256"/>
      <c r="H94" s="258"/>
      <c r="I94" s="259"/>
      <c r="J94" s="260"/>
      <c r="K94" s="261"/>
      <c r="L94" s="261"/>
      <c r="M94" s="261"/>
      <c r="N94" s="262"/>
      <c r="O94" s="261"/>
      <c r="P94" s="261"/>
      <c r="Q94" s="261"/>
      <c r="R94" s="263"/>
      <c r="S94" s="261"/>
      <c r="T94" s="261"/>
      <c r="U94" s="261"/>
      <c r="V94" s="263"/>
      <c r="W94" s="264"/>
      <c r="X94" s="265"/>
      <c r="Y94" s="265"/>
      <c r="Z94" s="265"/>
      <c r="AA94" s="265"/>
      <c r="AB94" s="265"/>
      <c r="AC94" s="265" t="s">
        <v>234</v>
      </c>
      <c r="AD94" s="265" t="s">
        <v>235</v>
      </c>
      <c r="AE94" s="265" t="s">
        <v>236</v>
      </c>
      <c r="AF94" s="265" t="s">
        <v>237</v>
      </c>
      <c r="AG94" s="265"/>
      <c r="AH94" s="265" t="str">
        <f>IF($E$94=0,"",$E$94)</f>
        <v xml:space="preserve">Тариф на подвоз воды</v>
      </c>
      <c r="AI94" s="265" t="str">
        <f>IF($G$94=0,"",$G$94)</f>
        <v/>
      </c>
      <c r="AJ94" s="265" t="str">
        <f>IF($J$94=0,"",$J$94)</f>
        <v/>
      </c>
      <c r="AK94" s="265" t="str">
        <f>IF($K$94="нет","без дифференциации",IF($N$94=0,"",$N$94))</f>
        <v/>
      </c>
      <c r="AL94" s="265" t="str">
        <f>IF($O$94="нет","без дифференциации",IF($R$94=0,"",$R$94))</f>
        <v/>
      </c>
      <c r="AM94" s="265" t="str">
        <f>IF($S$94="нет","без дифференциации",IF($V$94=0,"",$V$94))</f>
        <v/>
      </c>
      <c r="AN94" s="283">
        <f>$I$94</f>
        <v>0</v>
      </c>
      <c r="AO94" s="265" t="str">
        <f>$I$94&amp;"."&amp;$M$94</f>
        <v>.</v>
      </c>
      <c r="AP94" s="107" t="str">
        <f>$I$94&amp;"."&amp;$M$94&amp;"."&amp;$Q$94</f>
        <v>..</v>
      </c>
      <c r="AQ94" s="107" t="str">
        <f>$I$94&amp;"."&amp;$M$94&amp;"."&amp;$Q$94&amp;"."&amp;$U$94</f>
        <v>...</v>
      </c>
      <c r="AR94" s="185">
        <v>0</v>
      </c>
    </row>
    <row r="95" s="185" customFormat="1" ht="17.25" hidden="1" customHeight="1">
      <c r="A95" s="254"/>
      <c r="C95" s="185"/>
      <c r="D95" s="255"/>
      <c r="E95" s="256"/>
      <c r="F95" s="266"/>
      <c r="G95" s="256"/>
      <c r="H95" s="267"/>
      <c r="I95" s="268"/>
      <c r="J95" s="269"/>
      <c r="K95" s="126"/>
      <c r="L95" s="126"/>
      <c r="M95" s="126"/>
      <c r="N95" s="270"/>
      <c r="O95" s="126"/>
      <c r="P95" s="126"/>
      <c r="Q95" s="126"/>
      <c r="R95" s="271"/>
      <c r="S95" s="126"/>
      <c r="T95" s="272"/>
      <c r="U95" s="272"/>
      <c r="V95" s="272"/>
      <c r="W95" s="273"/>
      <c r="X95" s="107"/>
      <c r="Y95" s="107"/>
      <c r="Z95" s="107"/>
      <c r="AA95" s="107"/>
      <c r="AB95" s="107"/>
      <c r="AC95" s="107"/>
      <c r="AD95" s="107"/>
      <c r="AE95" s="107"/>
      <c r="AF95" s="107"/>
      <c r="AG95" s="107"/>
      <c r="AH95" s="107"/>
      <c r="AI95" s="107"/>
      <c r="AJ95" s="107"/>
      <c r="AK95" s="107"/>
      <c r="AL95" s="107"/>
      <c r="AM95" s="107"/>
      <c r="AN95" s="107"/>
      <c r="AO95" s="107"/>
      <c r="AP95" s="107"/>
      <c r="AQ95" s="107"/>
      <c r="AR95" s="185">
        <v>0</v>
      </c>
    </row>
    <row r="96" s="185" customFormat="1" ht="17.25" hidden="1" customHeight="1">
      <c r="A96" s="254"/>
      <c r="C96" s="185"/>
      <c r="D96" s="275"/>
      <c r="E96" s="276"/>
      <c r="F96" s="266"/>
      <c r="G96" s="276"/>
      <c r="H96" s="267"/>
      <c r="I96" s="268"/>
      <c r="J96" s="274"/>
      <c r="K96" s="126"/>
      <c r="L96" s="126"/>
      <c r="M96" s="126"/>
      <c r="N96" s="271"/>
      <c r="O96" s="126"/>
      <c r="P96" s="126"/>
      <c r="Q96" s="272"/>
      <c r="R96" s="272"/>
      <c r="S96" s="185"/>
      <c r="T96" s="185"/>
      <c r="U96" s="185"/>
      <c r="V96" s="185"/>
      <c r="W96" s="273"/>
      <c r="X96" s="107"/>
      <c r="Y96" s="107"/>
      <c r="Z96" s="107"/>
      <c r="AA96" s="107"/>
      <c r="AB96" s="107"/>
      <c r="AC96" s="107"/>
      <c r="AD96" s="107"/>
      <c r="AE96" s="107"/>
      <c r="AF96" s="107"/>
      <c r="AG96" s="107"/>
      <c r="AH96" s="107"/>
      <c r="AI96" s="107"/>
      <c r="AJ96" s="107"/>
      <c r="AK96" s="107"/>
      <c r="AL96" s="107"/>
      <c r="AM96" s="107"/>
      <c r="AN96" s="107"/>
      <c r="AO96" s="107"/>
      <c r="AP96" s="107"/>
      <c r="AQ96" s="107"/>
      <c r="AR96" s="185">
        <v>0</v>
      </c>
    </row>
    <row r="97" s="185" customFormat="1" ht="17.25" hidden="1" customHeight="1">
      <c r="A97" s="254"/>
      <c r="C97" s="185"/>
      <c r="D97" s="275"/>
      <c r="E97" s="276"/>
      <c r="F97" s="266"/>
      <c r="G97" s="276"/>
      <c r="H97" s="267"/>
      <c r="I97" s="268"/>
      <c r="J97" s="274"/>
      <c r="K97" s="126"/>
      <c r="L97" s="272"/>
      <c r="M97" s="272"/>
      <c r="N97" s="272"/>
      <c r="O97" s="272"/>
      <c r="P97" s="272"/>
      <c r="Q97" s="272"/>
      <c r="R97" s="272"/>
      <c r="S97" s="185"/>
      <c r="T97" s="185"/>
      <c r="U97" s="185"/>
      <c r="V97" s="185"/>
      <c r="W97" s="273"/>
      <c r="X97" s="107"/>
      <c r="Y97" s="107"/>
      <c r="Z97" s="107"/>
      <c r="AA97" s="107"/>
      <c r="AB97" s="107"/>
      <c r="AC97" s="107"/>
      <c r="AD97" s="107"/>
      <c r="AE97" s="107"/>
      <c r="AF97" s="107"/>
      <c r="AG97" s="107"/>
      <c r="AH97" s="107"/>
      <c r="AI97" s="107"/>
      <c r="AJ97" s="107"/>
      <c r="AK97" s="107"/>
      <c r="AL97" s="107"/>
      <c r="AM97" s="107"/>
      <c r="AN97" s="107"/>
      <c r="AO97" s="107"/>
      <c r="AP97" s="107"/>
      <c r="AQ97" s="107"/>
      <c r="AR97" s="185">
        <v>0</v>
      </c>
    </row>
    <row r="98" s="185" customFormat="1" ht="17.25" hidden="1" customHeight="1">
      <c r="A98" s="254"/>
      <c r="C98" s="185"/>
      <c r="D98" s="275"/>
      <c r="E98" s="276"/>
      <c r="F98" s="277"/>
      <c r="G98" s="276"/>
      <c r="H98" s="278"/>
      <c r="I98" s="279"/>
      <c r="J98" s="279"/>
      <c r="K98" s="279"/>
      <c r="L98" s="279"/>
      <c r="M98" s="279"/>
      <c r="N98" s="279"/>
      <c r="O98" s="279"/>
      <c r="P98" s="279"/>
      <c r="Q98" s="279"/>
      <c r="R98" s="279"/>
      <c r="S98" s="280"/>
      <c r="T98" s="280"/>
      <c r="U98" s="280"/>
      <c r="V98" s="280"/>
      <c r="W98" s="281"/>
      <c r="X98" s="107"/>
      <c r="Y98" s="107"/>
      <c r="Z98" s="107"/>
      <c r="AA98" s="107"/>
      <c r="AB98" s="107"/>
      <c r="AC98" s="107"/>
      <c r="AD98" s="107"/>
      <c r="AE98" s="107"/>
      <c r="AF98" s="107"/>
      <c r="AG98" s="107"/>
      <c r="AH98" s="107"/>
      <c r="AI98" s="107"/>
      <c r="AJ98" s="107"/>
      <c r="AK98" s="107"/>
      <c r="AL98" s="107"/>
      <c r="AM98" s="107"/>
      <c r="AN98" s="107"/>
      <c r="AO98" s="107"/>
      <c r="AP98" s="107"/>
      <c r="AQ98" s="107"/>
      <c r="AR98" s="185">
        <v>0</v>
      </c>
    </row>
    <row r="99" s="185" customFormat="1" ht="17.25" hidden="1" customHeight="1">
      <c r="A99" s="254"/>
      <c r="C99" s="129"/>
      <c r="D99" s="255">
        <v>5</v>
      </c>
      <c r="E99" s="256" t="s">
        <v>238</v>
      </c>
      <c r="F99" s="257" t="s">
        <v>19</v>
      </c>
      <c r="G99" s="256"/>
      <c r="H99" s="258"/>
      <c r="I99" s="259"/>
      <c r="J99" s="260"/>
      <c r="K99" s="261"/>
      <c r="L99" s="261"/>
      <c r="M99" s="261"/>
      <c r="N99" s="262"/>
      <c r="O99" s="261"/>
      <c r="P99" s="261"/>
      <c r="Q99" s="261"/>
      <c r="R99" s="263"/>
      <c r="S99" s="261"/>
      <c r="T99" s="261"/>
      <c r="U99" s="261"/>
      <c r="V99" s="263"/>
      <c r="W99" s="264"/>
      <c r="X99" s="265"/>
      <c r="Y99" s="265"/>
      <c r="Z99" s="265"/>
      <c r="AA99" s="265"/>
      <c r="AB99" s="265"/>
      <c r="AC99" s="265" t="s">
        <v>239</v>
      </c>
      <c r="AD99" s="265" t="s">
        <v>240</v>
      </c>
      <c r="AE99" s="265" t="s">
        <v>241</v>
      </c>
      <c r="AF99" s="265" t="s">
        <v>242</v>
      </c>
      <c r="AG99" s="265"/>
      <c r="AH99" s="265" t="str">
        <f>IF($E$99=0,"",$E$99)</f>
        <v xml:space="preserve">Тариф на подключение (технологическое присоединение) к централизованной системе холодного водоснабжения</v>
      </c>
      <c r="AI99" s="265" t="str">
        <f>IF($G$99=0,"",$G$99)</f>
        <v/>
      </c>
      <c r="AJ99" s="265" t="str">
        <f>IF($J$99=0,"",$J$99)</f>
        <v/>
      </c>
      <c r="AK99" s="265" t="str">
        <f>IF($K$99="нет","без дифференциации",IF($N$99=0,"",$N$99))</f>
        <v/>
      </c>
      <c r="AL99" s="265" t="str">
        <f>IF($O$99="нет","без дифференциации",IF($R$99=0,"",$R$99))</f>
        <v/>
      </c>
      <c r="AM99" s="265" t="str">
        <f>IF($S$99="нет","без дифференциации",IF($V$99=0,"",$V$99))</f>
        <v/>
      </c>
      <c r="AN99" s="283">
        <f>$I$99</f>
        <v>0</v>
      </c>
      <c r="AO99" s="265" t="str">
        <f>$I$99&amp;"."&amp;$M$99</f>
        <v>.</v>
      </c>
      <c r="AP99" s="107" t="str">
        <f>$I$99&amp;"."&amp;$M$99&amp;"."&amp;$Q$99</f>
        <v>..</v>
      </c>
      <c r="AQ99" s="107" t="str">
        <f>$I$99&amp;"."&amp;$M$99&amp;"."&amp;$Q$99&amp;"."&amp;$U$99</f>
        <v>...</v>
      </c>
      <c r="AR99" s="185">
        <v>0</v>
      </c>
    </row>
    <row r="100" s="185" customFormat="1" ht="17.25" hidden="1" customHeight="1">
      <c r="A100" s="254"/>
      <c r="C100" s="185"/>
      <c r="D100" s="255"/>
      <c r="E100" s="256"/>
      <c r="F100" s="266"/>
      <c r="G100" s="256"/>
      <c r="H100" s="267"/>
      <c r="I100" s="268"/>
      <c r="J100" s="269"/>
      <c r="K100" s="126"/>
      <c r="L100" s="126"/>
      <c r="M100" s="126"/>
      <c r="N100" s="270"/>
      <c r="O100" s="126"/>
      <c r="P100" s="126"/>
      <c r="Q100" s="126"/>
      <c r="R100" s="271"/>
      <c r="S100" s="126"/>
      <c r="T100" s="272"/>
      <c r="U100" s="272"/>
      <c r="V100" s="272"/>
      <c r="W100" s="273"/>
      <c r="X100" s="107"/>
      <c r="Y100" s="107"/>
      <c r="Z100" s="107"/>
      <c r="AA100" s="107"/>
      <c r="AB100" s="107"/>
      <c r="AC100" s="107"/>
      <c r="AD100" s="107"/>
      <c r="AE100" s="107"/>
      <c r="AF100" s="107"/>
      <c r="AG100" s="107"/>
      <c r="AH100" s="107"/>
      <c r="AI100" s="107"/>
      <c r="AJ100" s="107"/>
      <c r="AK100" s="107"/>
      <c r="AL100" s="107"/>
      <c r="AM100" s="107"/>
      <c r="AN100" s="107"/>
      <c r="AO100" s="107"/>
      <c r="AP100" s="107"/>
      <c r="AQ100" s="107"/>
      <c r="AR100" s="185">
        <v>0</v>
      </c>
    </row>
    <row r="101" s="185" customFormat="1" ht="17.25" hidden="1" customHeight="1">
      <c r="A101" s="254"/>
      <c r="C101" s="185"/>
      <c r="D101" s="275"/>
      <c r="E101" s="276"/>
      <c r="F101" s="266"/>
      <c r="G101" s="276"/>
      <c r="H101" s="267"/>
      <c r="I101" s="268"/>
      <c r="J101" s="274"/>
      <c r="K101" s="126"/>
      <c r="L101" s="126"/>
      <c r="M101" s="126"/>
      <c r="N101" s="271"/>
      <c r="O101" s="126"/>
      <c r="P101" s="126"/>
      <c r="Q101" s="272"/>
      <c r="R101" s="272"/>
      <c r="S101" s="185"/>
      <c r="T101" s="185"/>
      <c r="U101" s="185"/>
      <c r="V101" s="185"/>
      <c r="W101" s="273"/>
      <c r="X101" s="107"/>
      <c r="Y101" s="107"/>
      <c r="Z101" s="107"/>
      <c r="AA101" s="107"/>
      <c r="AB101" s="107"/>
      <c r="AC101" s="107"/>
      <c r="AD101" s="107"/>
      <c r="AE101" s="107"/>
      <c r="AF101" s="107"/>
      <c r="AG101" s="107"/>
      <c r="AH101" s="107"/>
      <c r="AI101" s="107"/>
      <c r="AJ101" s="107"/>
      <c r="AK101" s="107"/>
      <c r="AL101" s="107"/>
      <c r="AM101" s="107"/>
      <c r="AN101" s="107"/>
      <c r="AO101" s="107"/>
      <c r="AP101" s="107"/>
      <c r="AQ101" s="107"/>
      <c r="AR101" s="185">
        <v>0</v>
      </c>
    </row>
    <row r="102" s="185" customFormat="1" ht="17.25" hidden="1" customHeight="1">
      <c r="A102" s="254"/>
      <c r="C102" s="185"/>
      <c r="D102" s="275"/>
      <c r="E102" s="276"/>
      <c r="F102" s="266"/>
      <c r="G102" s="276"/>
      <c r="H102" s="267"/>
      <c r="I102" s="268"/>
      <c r="J102" s="274"/>
      <c r="K102" s="126"/>
      <c r="L102" s="272"/>
      <c r="M102" s="272"/>
      <c r="N102" s="272"/>
      <c r="O102" s="272"/>
      <c r="P102" s="272"/>
      <c r="Q102" s="272"/>
      <c r="R102" s="272"/>
      <c r="S102" s="185"/>
      <c r="T102" s="185"/>
      <c r="U102" s="185"/>
      <c r="V102" s="185"/>
      <c r="W102" s="273"/>
      <c r="X102" s="107"/>
      <c r="Y102" s="107"/>
      <c r="Z102" s="107"/>
      <c r="AA102" s="107"/>
      <c r="AB102" s="107"/>
      <c r="AC102" s="107"/>
      <c r="AD102" s="107"/>
      <c r="AE102" s="107"/>
      <c r="AF102" s="107"/>
      <c r="AG102" s="107"/>
      <c r="AH102" s="107"/>
      <c r="AI102" s="107"/>
      <c r="AJ102" s="107"/>
      <c r="AK102" s="107"/>
      <c r="AL102" s="107"/>
      <c r="AM102" s="107"/>
      <c r="AN102" s="107"/>
      <c r="AO102" s="107"/>
      <c r="AP102" s="107"/>
      <c r="AQ102" s="107"/>
      <c r="AR102" s="185">
        <v>0</v>
      </c>
    </row>
    <row r="103" s="185" customFormat="1" ht="17.25" hidden="1" customHeight="1">
      <c r="A103" s="254"/>
      <c r="C103" s="185"/>
      <c r="D103" s="275"/>
      <c r="E103" s="276"/>
      <c r="F103" s="277"/>
      <c r="G103" s="276"/>
      <c r="H103" s="278"/>
      <c r="I103" s="279"/>
      <c r="J103" s="279"/>
      <c r="K103" s="279"/>
      <c r="L103" s="279"/>
      <c r="M103" s="279"/>
      <c r="N103" s="279"/>
      <c r="O103" s="279"/>
      <c r="P103" s="279"/>
      <c r="Q103" s="279"/>
      <c r="R103" s="279"/>
      <c r="S103" s="280"/>
      <c r="T103" s="280"/>
      <c r="U103" s="280"/>
      <c r="V103" s="280"/>
      <c r="W103" s="281"/>
      <c r="X103" s="107"/>
      <c r="Y103" s="107"/>
      <c r="Z103" s="107"/>
      <c r="AA103" s="107"/>
      <c r="AB103" s="107"/>
      <c r="AC103" s="107"/>
      <c r="AD103" s="107"/>
      <c r="AE103" s="107"/>
      <c r="AF103" s="107"/>
      <c r="AG103" s="107"/>
      <c r="AH103" s="107"/>
      <c r="AI103" s="107"/>
      <c r="AJ103" s="107"/>
      <c r="AK103" s="107"/>
      <c r="AL103" s="107"/>
      <c r="AM103" s="107"/>
      <c r="AN103" s="107"/>
      <c r="AO103" s="107"/>
      <c r="AP103" s="107"/>
      <c r="AQ103" s="107"/>
      <c r="AR103" s="185">
        <v>0</v>
      </c>
    </row>
    <row r="104" s="185" customFormat="1" ht="11.25" hidden="1" customHeight="1">
      <c r="A104" s="130"/>
      <c r="B104" s="130"/>
      <c r="Y104" s="107"/>
      <c r="Z104" s="107"/>
      <c r="AA104" s="107"/>
      <c r="AB104" s="107"/>
      <c r="AC104" s="107"/>
      <c r="AD104" s="107"/>
      <c r="AE104" s="107"/>
      <c r="AF104" s="107"/>
      <c r="AG104" s="107"/>
      <c r="AH104" s="107"/>
      <c r="AI104" s="107"/>
      <c r="AJ104" s="107"/>
      <c r="AK104" s="107"/>
      <c r="AL104" s="107"/>
      <c r="AM104" s="107"/>
      <c r="AN104" s="107"/>
      <c r="AO104" s="107"/>
      <c r="AP104" s="107"/>
      <c r="AQ104" s="107"/>
      <c r="AR104" s="185">
        <v>0</v>
      </c>
    </row>
    <row r="105" s="185" customFormat="1" ht="17.25" hidden="1" customHeight="1">
      <c r="A105" s="254"/>
      <c r="C105" s="129"/>
      <c r="D105" s="255">
        <v>1</v>
      </c>
      <c r="E105" s="256" t="s">
        <v>243</v>
      </c>
      <c r="F105" s="257" t="s">
        <v>19</v>
      </c>
      <c r="G105" s="256"/>
      <c r="H105" s="258"/>
      <c r="I105" s="259"/>
      <c r="J105" s="260"/>
      <c r="K105" s="261"/>
      <c r="L105" s="261"/>
      <c r="M105" s="261"/>
      <c r="N105" s="262"/>
      <c r="O105" s="261"/>
      <c r="P105" s="261"/>
      <c r="Q105" s="261"/>
      <c r="R105" s="263"/>
      <c r="S105" s="261"/>
      <c r="T105" s="261"/>
      <c r="U105" s="261"/>
      <c r="V105" s="263"/>
      <c r="W105" s="264"/>
      <c r="Y105" s="265"/>
      <c r="Z105" s="265"/>
      <c r="AA105" s="265"/>
      <c r="AB105" s="265"/>
      <c r="AC105" s="265" t="s">
        <v>244</v>
      </c>
      <c r="AD105" s="265" t="s">
        <v>245</v>
      </c>
      <c r="AE105" s="265" t="s">
        <v>246</v>
      </c>
      <c r="AF105" s="265" t="s">
        <v>247</v>
      </c>
      <c r="AG105" s="265"/>
      <c r="AH105" s="265" t="str">
        <f>IF($E$105=0,"",$E$105)</f>
        <v xml:space="preserve">Тариф на горячую воду (горячее водоснабжение)</v>
      </c>
      <c r="AI105" s="265" t="str">
        <f>IF($G$105=0,"",$G$105)</f>
        <v/>
      </c>
      <c r="AJ105" s="265" t="str">
        <f>IF($J$105=0,"",$J$105)</f>
        <v/>
      </c>
      <c r="AK105" s="265" t="str">
        <f>IF($K$105="нет","без дифференциации",IF($N$105=0,"",$N$105))</f>
        <v/>
      </c>
      <c r="AL105" s="265" t="str">
        <f>IF($O$105="нет","без дифференциации",IF($R$105=0,"",$R$105))</f>
        <v/>
      </c>
      <c r="AM105" s="265" t="str">
        <f>IF($S$105="нет","без дифференциации",IF($V$105=0,"",$V$105))</f>
        <v/>
      </c>
      <c r="AN105" s="265">
        <f>$I$105</f>
        <v>0</v>
      </c>
      <c r="AO105" s="265" t="str">
        <f>$I$105&amp;"."&amp;$M$105</f>
        <v>.</v>
      </c>
      <c r="AP105" s="265" t="str">
        <f>$I$105&amp;"."&amp;$M$105&amp;"."&amp;$Q$105</f>
        <v>..</v>
      </c>
      <c r="AQ105" s="265" t="str">
        <f>$I$105&amp;"."&amp;$M$105&amp;"."&amp;$Q$105&amp;"."&amp;$U$105</f>
        <v>...</v>
      </c>
      <c r="AR105" s="185">
        <v>0</v>
      </c>
    </row>
    <row r="106" s="185" customFormat="1" ht="17.25" hidden="1" customHeight="1">
      <c r="A106" s="254"/>
      <c r="C106" s="185"/>
      <c r="D106" s="255"/>
      <c r="E106" s="256"/>
      <c r="F106" s="266"/>
      <c r="G106" s="256"/>
      <c r="H106" s="267"/>
      <c r="I106" s="268"/>
      <c r="J106" s="269"/>
      <c r="K106" s="126"/>
      <c r="L106" s="126"/>
      <c r="M106" s="126"/>
      <c r="N106" s="270"/>
      <c r="O106" s="126"/>
      <c r="P106" s="126"/>
      <c r="Q106" s="126"/>
      <c r="R106" s="271"/>
      <c r="S106" s="126"/>
      <c r="T106" s="272"/>
      <c r="U106" s="272"/>
      <c r="V106" s="272"/>
      <c r="W106" s="273"/>
      <c r="Y106" s="107"/>
      <c r="Z106" s="107"/>
      <c r="AA106" s="107"/>
      <c r="AB106" s="107"/>
      <c r="AC106" s="107"/>
      <c r="AD106" s="107"/>
      <c r="AE106" s="107"/>
      <c r="AF106" s="107"/>
      <c r="AG106" s="107"/>
      <c r="AH106" s="107"/>
      <c r="AI106" s="107"/>
      <c r="AJ106" s="107"/>
      <c r="AK106" s="107"/>
      <c r="AL106" s="107"/>
      <c r="AM106" s="107"/>
      <c r="AN106" s="107"/>
      <c r="AO106" s="107"/>
      <c r="AP106" s="107"/>
      <c r="AQ106" s="107"/>
      <c r="AR106" s="185">
        <v>0</v>
      </c>
    </row>
    <row r="107" s="185" customFormat="1" ht="17.25" hidden="1" customHeight="1">
      <c r="A107" s="254"/>
      <c r="C107" s="129"/>
      <c r="D107" s="255"/>
      <c r="E107" s="256"/>
      <c r="F107" s="266"/>
      <c r="G107" s="256"/>
      <c r="H107" s="267"/>
      <c r="I107" s="268"/>
      <c r="J107" s="274"/>
      <c r="K107" s="126"/>
      <c r="L107" s="126"/>
      <c r="M107" s="126"/>
      <c r="N107" s="271"/>
      <c r="O107" s="126"/>
      <c r="P107" s="126"/>
      <c r="Q107" s="272"/>
      <c r="R107" s="272"/>
      <c r="S107" s="185"/>
      <c r="T107" s="185"/>
      <c r="U107" s="185"/>
      <c r="V107" s="185"/>
      <c r="W107" s="273"/>
      <c r="Y107" s="265"/>
      <c r="Z107" s="265"/>
      <c r="AA107" s="265"/>
      <c r="AB107" s="265"/>
      <c r="AC107" s="265"/>
      <c r="AD107" s="265"/>
      <c r="AE107" s="265"/>
      <c r="AF107" s="265"/>
      <c r="AG107" s="265"/>
      <c r="AH107" s="265"/>
      <c r="AI107" s="265"/>
      <c r="AJ107" s="265"/>
      <c r="AK107" s="265"/>
      <c r="AL107" s="265"/>
      <c r="AM107" s="265"/>
      <c r="AN107" s="265"/>
      <c r="AO107" s="265"/>
      <c r="AP107" s="265"/>
      <c r="AQ107" s="265"/>
      <c r="AR107" s="185">
        <v>0</v>
      </c>
    </row>
    <row r="108" s="185" customFormat="1" ht="17.25" hidden="1" customHeight="1">
      <c r="A108" s="254"/>
      <c r="C108" s="185"/>
      <c r="D108" s="255"/>
      <c r="E108" s="256"/>
      <c r="F108" s="266"/>
      <c r="G108" s="256"/>
      <c r="H108" s="267"/>
      <c r="I108" s="268"/>
      <c r="J108" s="274"/>
      <c r="K108" s="126"/>
      <c r="L108" s="272"/>
      <c r="M108" s="272"/>
      <c r="N108" s="272"/>
      <c r="O108" s="272"/>
      <c r="P108" s="272"/>
      <c r="Q108" s="272"/>
      <c r="R108" s="272"/>
      <c r="S108" s="185"/>
      <c r="T108" s="185"/>
      <c r="U108" s="185"/>
      <c r="V108" s="185"/>
      <c r="W108" s="273"/>
      <c r="Y108" s="107"/>
      <c r="Z108" s="107"/>
      <c r="AA108" s="107"/>
      <c r="AB108" s="107"/>
      <c r="AC108" s="107"/>
      <c r="AD108" s="107"/>
      <c r="AE108" s="107"/>
      <c r="AF108" s="107"/>
      <c r="AG108" s="107"/>
      <c r="AH108" s="107"/>
      <c r="AI108" s="107"/>
      <c r="AJ108" s="107"/>
      <c r="AK108" s="107"/>
      <c r="AL108" s="107"/>
      <c r="AM108" s="107"/>
      <c r="AN108" s="107"/>
      <c r="AO108" s="107"/>
      <c r="AP108" s="107"/>
      <c r="AQ108" s="107"/>
      <c r="AR108" s="185">
        <v>0</v>
      </c>
    </row>
    <row r="109" s="185" customFormat="1" ht="17.25" hidden="1" customHeight="1">
      <c r="A109" s="254"/>
      <c r="C109" s="185"/>
      <c r="D109" s="275"/>
      <c r="E109" s="276"/>
      <c r="F109" s="277"/>
      <c r="G109" s="276"/>
      <c r="H109" s="278"/>
      <c r="I109" s="279"/>
      <c r="J109" s="279"/>
      <c r="K109" s="279"/>
      <c r="L109" s="279"/>
      <c r="M109" s="279"/>
      <c r="N109" s="279"/>
      <c r="O109" s="279"/>
      <c r="P109" s="279"/>
      <c r="Q109" s="279"/>
      <c r="R109" s="279"/>
      <c r="S109" s="280"/>
      <c r="T109" s="280"/>
      <c r="U109" s="280"/>
      <c r="V109" s="280"/>
      <c r="W109" s="281"/>
      <c r="Y109" s="107"/>
      <c r="Z109" s="107"/>
      <c r="AA109" s="107"/>
      <c r="AB109" s="107"/>
      <c r="AC109" s="107"/>
      <c r="AD109" s="107"/>
      <c r="AE109" s="107"/>
      <c r="AF109" s="107"/>
      <c r="AG109" s="107"/>
      <c r="AH109" s="107"/>
      <c r="AI109" s="107"/>
      <c r="AJ109" s="107"/>
      <c r="AK109" s="107"/>
      <c r="AL109" s="107"/>
      <c r="AM109" s="107"/>
      <c r="AN109" s="107"/>
      <c r="AO109" s="107"/>
      <c r="AP109" s="107"/>
      <c r="AQ109" s="107"/>
      <c r="AR109" s="185">
        <v>0</v>
      </c>
    </row>
    <row r="110" s="185" customFormat="1" ht="17.25" hidden="1" customHeight="1">
      <c r="A110" s="254"/>
      <c r="C110" s="129"/>
      <c r="D110" s="255">
        <v>2</v>
      </c>
      <c r="E110" s="256" t="s">
        <v>248</v>
      </c>
      <c r="F110" s="257" t="s">
        <v>19</v>
      </c>
      <c r="G110" s="256"/>
      <c r="H110" s="258"/>
      <c r="I110" s="259"/>
      <c r="J110" s="260"/>
      <c r="K110" s="261"/>
      <c r="L110" s="261"/>
      <c r="M110" s="261"/>
      <c r="N110" s="262"/>
      <c r="O110" s="261"/>
      <c r="P110" s="261"/>
      <c r="Q110" s="261"/>
      <c r="R110" s="263"/>
      <c r="S110" s="261"/>
      <c r="T110" s="261"/>
      <c r="U110" s="261"/>
      <c r="V110" s="263"/>
      <c r="W110" s="264"/>
      <c r="X110" s="265"/>
      <c r="Y110" s="265"/>
      <c r="Z110" s="265"/>
      <c r="AA110" s="265"/>
      <c r="AB110" s="265"/>
      <c r="AC110" s="265" t="s">
        <v>249</v>
      </c>
      <c r="AD110" s="265" t="s">
        <v>250</v>
      </c>
      <c r="AE110" s="265" t="s">
        <v>251</v>
      </c>
      <c r="AF110" s="265" t="s">
        <v>252</v>
      </c>
      <c r="AG110" s="265"/>
      <c r="AH110" s="265" t="str">
        <f>IF($E$110=0,"",$E$110)</f>
        <v xml:space="preserve">Тариф на транспортировку горячей воды</v>
      </c>
      <c r="AI110" s="265" t="str">
        <f>IF($G$110=0,"",$G$110)</f>
        <v/>
      </c>
      <c r="AJ110" s="265" t="str">
        <f>IF($J$110=0,"",$J$110)</f>
        <v/>
      </c>
      <c r="AK110" s="265" t="str">
        <f>IF($K$110="нет","без дифференциации",IF($N$110=0,"",$N$110))</f>
        <v/>
      </c>
      <c r="AL110" s="265" t="str">
        <f>IF($O$110="нет","без дифференциации",IF($R$110=0,"",$R$110))</f>
        <v/>
      </c>
      <c r="AM110" s="265" t="str">
        <f>IF($S$110="нет","без дифференциации",IF($V$110=0,"",$V$110))</f>
        <v/>
      </c>
      <c r="AN110" s="283">
        <f>$I$110</f>
        <v>0</v>
      </c>
      <c r="AO110" s="265" t="str">
        <f>$I$110&amp;"."&amp;$M$110</f>
        <v>.</v>
      </c>
      <c r="AP110" s="107" t="str">
        <f>$I$110&amp;"."&amp;$M$110&amp;"."&amp;$Q$110</f>
        <v>..</v>
      </c>
      <c r="AQ110" s="107" t="str">
        <f>$I$110&amp;"."&amp;$M$110&amp;"."&amp;$Q$110&amp;"."&amp;$U$110</f>
        <v>...</v>
      </c>
      <c r="AR110" s="185">
        <v>0</v>
      </c>
    </row>
    <row r="111" s="185" customFormat="1" ht="17.25" hidden="1" customHeight="1">
      <c r="A111" s="254"/>
      <c r="C111" s="185"/>
      <c r="D111" s="255"/>
      <c r="E111" s="256"/>
      <c r="F111" s="266"/>
      <c r="G111" s="256"/>
      <c r="H111" s="267"/>
      <c r="I111" s="268"/>
      <c r="J111" s="269"/>
      <c r="K111" s="126"/>
      <c r="L111" s="126"/>
      <c r="M111" s="126"/>
      <c r="N111" s="270"/>
      <c r="O111" s="126"/>
      <c r="P111" s="126"/>
      <c r="Q111" s="126"/>
      <c r="R111" s="271"/>
      <c r="S111" s="126"/>
      <c r="T111" s="272"/>
      <c r="U111" s="272"/>
      <c r="V111" s="272"/>
      <c r="W111" s="273"/>
      <c r="X111" s="107"/>
      <c r="Y111" s="107"/>
      <c r="Z111" s="107"/>
      <c r="AA111" s="107"/>
      <c r="AB111" s="107"/>
      <c r="AC111" s="107"/>
      <c r="AD111" s="107"/>
      <c r="AE111" s="107"/>
      <c r="AF111" s="107"/>
      <c r="AG111" s="107"/>
      <c r="AH111" s="107"/>
      <c r="AI111" s="107"/>
      <c r="AJ111" s="107"/>
      <c r="AK111" s="107"/>
      <c r="AL111" s="107"/>
      <c r="AM111" s="107"/>
      <c r="AN111" s="107"/>
      <c r="AO111" s="107"/>
      <c r="AP111" s="107"/>
      <c r="AQ111" s="107"/>
      <c r="AR111" s="185">
        <v>0</v>
      </c>
    </row>
    <row r="112" s="185" customFormat="1" ht="17.25" hidden="1" customHeight="1">
      <c r="A112" s="254"/>
      <c r="C112" s="185"/>
      <c r="D112" s="275"/>
      <c r="E112" s="276"/>
      <c r="F112" s="266"/>
      <c r="G112" s="276"/>
      <c r="H112" s="267"/>
      <c r="I112" s="268"/>
      <c r="J112" s="274"/>
      <c r="K112" s="126"/>
      <c r="L112" s="126"/>
      <c r="M112" s="126"/>
      <c r="N112" s="271"/>
      <c r="O112" s="126"/>
      <c r="P112" s="126"/>
      <c r="Q112" s="272"/>
      <c r="R112" s="272"/>
      <c r="S112" s="185"/>
      <c r="T112" s="185"/>
      <c r="U112" s="185"/>
      <c r="V112" s="185"/>
      <c r="W112" s="273"/>
      <c r="X112" s="107"/>
      <c r="Y112" s="107"/>
      <c r="Z112" s="107"/>
      <c r="AA112" s="107"/>
      <c r="AB112" s="107"/>
      <c r="AC112" s="107"/>
      <c r="AD112" s="107"/>
      <c r="AE112" s="107"/>
      <c r="AF112" s="107"/>
      <c r="AG112" s="107"/>
      <c r="AH112" s="107"/>
      <c r="AI112" s="107"/>
      <c r="AJ112" s="107"/>
      <c r="AK112" s="107"/>
      <c r="AL112" s="107"/>
      <c r="AM112" s="107"/>
      <c r="AN112" s="107"/>
      <c r="AO112" s="107"/>
      <c r="AP112" s="107"/>
      <c r="AQ112" s="107"/>
      <c r="AR112" s="185">
        <v>0</v>
      </c>
    </row>
    <row r="113" s="185" customFormat="1" ht="17.25" hidden="1" customHeight="1">
      <c r="A113" s="254"/>
      <c r="C113" s="185"/>
      <c r="D113" s="275"/>
      <c r="E113" s="276"/>
      <c r="F113" s="266"/>
      <c r="G113" s="276"/>
      <c r="H113" s="267"/>
      <c r="I113" s="268"/>
      <c r="J113" s="274"/>
      <c r="K113" s="126"/>
      <c r="L113" s="272"/>
      <c r="M113" s="272"/>
      <c r="N113" s="272"/>
      <c r="O113" s="272"/>
      <c r="P113" s="272"/>
      <c r="Q113" s="272"/>
      <c r="R113" s="272"/>
      <c r="S113" s="185"/>
      <c r="T113" s="185"/>
      <c r="U113" s="185"/>
      <c r="V113" s="185"/>
      <c r="W113" s="273"/>
      <c r="X113" s="107"/>
      <c r="Y113" s="107"/>
      <c r="Z113" s="107"/>
      <c r="AA113" s="107"/>
      <c r="AB113" s="107"/>
      <c r="AC113" s="107"/>
      <c r="AD113" s="107"/>
      <c r="AE113" s="107"/>
      <c r="AF113" s="107"/>
      <c r="AG113" s="107"/>
      <c r="AH113" s="107"/>
      <c r="AI113" s="107"/>
      <c r="AJ113" s="107"/>
      <c r="AK113" s="107"/>
      <c r="AL113" s="107"/>
      <c r="AM113" s="107"/>
      <c r="AN113" s="107"/>
      <c r="AO113" s="107"/>
      <c r="AP113" s="107"/>
      <c r="AQ113" s="107"/>
      <c r="AR113" s="185">
        <v>0</v>
      </c>
    </row>
    <row r="114" s="185" customFormat="1" ht="17.25" hidden="1" customHeight="1">
      <c r="A114" s="254"/>
      <c r="C114" s="185"/>
      <c r="D114" s="275"/>
      <c r="E114" s="276"/>
      <c r="F114" s="277"/>
      <c r="G114" s="276"/>
      <c r="H114" s="278"/>
      <c r="I114" s="279"/>
      <c r="J114" s="279"/>
      <c r="K114" s="279"/>
      <c r="L114" s="279"/>
      <c r="M114" s="279"/>
      <c r="N114" s="279"/>
      <c r="O114" s="279"/>
      <c r="P114" s="279"/>
      <c r="Q114" s="279"/>
      <c r="R114" s="279"/>
      <c r="S114" s="280"/>
      <c r="T114" s="280"/>
      <c r="U114" s="280"/>
      <c r="V114" s="280"/>
      <c r="W114" s="281"/>
      <c r="X114" s="107"/>
      <c r="Y114" s="107"/>
      <c r="Z114" s="107"/>
      <c r="AA114" s="107"/>
      <c r="AB114" s="107"/>
      <c r="AC114" s="107"/>
      <c r="AD114" s="107"/>
      <c r="AE114" s="107"/>
      <c r="AF114" s="107"/>
      <c r="AG114" s="107"/>
      <c r="AH114" s="107"/>
      <c r="AI114" s="107"/>
      <c r="AJ114" s="107"/>
      <c r="AK114" s="107"/>
      <c r="AL114" s="107"/>
      <c r="AM114" s="107"/>
      <c r="AN114" s="107"/>
      <c r="AO114" s="107"/>
      <c r="AP114" s="107"/>
      <c r="AQ114" s="107"/>
      <c r="AR114" s="185">
        <v>0</v>
      </c>
    </row>
    <row r="115" s="185" customFormat="1" ht="17.25" hidden="1" customHeight="1">
      <c r="A115" s="254"/>
      <c r="C115" s="129"/>
      <c r="D115" s="255">
        <v>3</v>
      </c>
      <c r="E115" s="256" t="s">
        <v>253</v>
      </c>
      <c r="F115" s="257" t="s">
        <v>19</v>
      </c>
      <c r="G115" s="256"/>
      <c r="H115" s="258"/>
      <c r="I115" s="259"/>
      <c r="J115" s="260"/>
      <c r="K115" s="261"/>
      <c r="L115" s="261"/>
      <c r="M115" s="261"/>
      <c r="N115" s="262"/>
      <c r="O115" s="261"/>
      <c r="P115" s="261"/>
      <c r="Q115" s="261"/>
      <c r="R115" s="263"/>
      <c r="S115" s="261"/>
      <c r="T115" s="261"/>
      <c r="U115" s="261"/>
      <c r="V115" s="263"/>
      <c r="W115" s="264"/>
      <c r="X115" s="265"/>
      <c r="Y115" s="265"/>
      <c r="Z115" s="265"/>
      <c r="AA115" s="265"/>
      <c r="AB115" s="265"/>
      <c r="AC115" s="265" t="s">
        <v>254</v>
      </c>
      <c r="AD115" s="265" t="s">
        <v>255</v>
      </c>
      <c r="AE115" s="265" t="s">
        <v>256</v>
      </c>
      <c r="AF115" s="265" t="s">
        <v>257</v>
      </c>
      <c r="AG115" s="265"/>
      <c r="AH115" s="265" t="str">
        <f>IF($E$115=0,"",$E$115)</f>
        <v xml:space="preserve">Тариф на подключение (технологическое присоединение) к централизованной системе горячего водоснабжения</v>
      </c>
      <c r="AI115" s="265" t="str">
        <f>IF($G$115=0,"",$G$115)</f>
        <v/>
      </c>
      <c r="AJ115" s="265" t="str">
        <f>IF($J$115=0,"",$J$115)</f>
        <v/>
      </c>
      <c r="AK115" s="265" t="str">
        <f>IF($K$115="нет","без дифференциации",IF($N$115=0,"",$N$115))</f>
        <v/>
      </c>
      <c r="AL115" s="265" t="str">
        <f>IF($O$115="нет","без дифференциации",IF($R$115=0,"",$R$115))</f>
        <v/>
      </c>
      <c r="AM115" s="265" t="str">
        <f>IF($S$115="нет","без дифференциации",IF($V$115=0,"",$V$115))</f>
        <v/>
      </c>
      <c r="AN115" s="283">
        <f>$I$115</f>
        <v>0</v>
      </c>
      <c r="AO115" s="265" t="str">
        <f>$I$115&amp;"."&amp;$M$115</f>
        <v>.</v>
      </c>
      <c r="AP115" s="107" t="str">
        <f>$I$115&amp;"."&amp;$M$115&amp;"."&amp;$Q$115</f>
        <v>..</v>
      </c>
      <c r="AQ115" s="107" t="str">
        <f>$I$115&amp;"."&amp;$M$115&amp;"."&amp;$Q$115&amp;"."&amp;$U$115</f>
        <v>...</v>
      </c>
      <c r="AR115" s="185">
        <v>0</v>
      </c>
    </row>
    <row r="116" s="185" customFormat="1" ht="17.25" hidden="1" customHeight="1">
      <c r="A116" s="254"/>
      <c r="C116" s="185"/>
      <c r="D116" s="255"/>
      <c r="E116" s="256"/>
      <c r="F116" s="266"/>
      <c r="G116" s="256"/>
      <c r="H116" s="267"/>
      <c r="I116" s="268"/>
      <c r="J116" s="269"/>
      <c r="K116" s="126"/>
      <c r="L116" s="126"/>
      <c r="M116" s="126"/>
      <c r="N116" s="270"/>
      <c r="O116" s="126"/>
      <c r="P116" s="126"/>
      <c r="Q116" s="126"/>
      <c r="R116" s="271"/>
      <c r="S116" s="126"/>
      <c r="T116" s="272"/>
      <c r="U116" s="272"/>
      <c r="V116" s="272"/>
      <c r="W116" s="273"/>
      <c r="X116" s="107"/>
      <c r="Y116" s="107"/>
      <c r="Z116" s="107"/>
      <c r="AA116" s="107"/>
      <c r="AB116" s="107"/>
      <c r="AC116" s="107"/>
      <c r="AD116" s="107"/>
      <c r="AE116" s="107"/>
      <c r="AF116" s="107"/>
      <c r="AG116" s="107"/>
      <c r="AH116" s="107"/>
      <c r="AI116" s="107"/>
      <c r="AJ116" s="107"/>
      <c r="AK116" s="107"/>
      <c r="AL116" s="107"/>
      <c r="AM116" s="107"/>
      <c r="AN116" s="107"/>
      <c r="AO116" s="107"/>
      <c r="AP116" s="107"/>
      <c r="AQ116" s="107"/>
      <c r="AR116" s="185">
        <v>0</v>
      </c>
    </row>
    <row r="117" s="185" customFormat="1" ht="17.25" hidden="1" customHeight="1">
      <c r="A117" s="254"/>
      <c r="C117" s="185"/>
      <c r="D117" s="275"/>
      <c r="E117" s="276"/>
      <c r="F117" s="266"/>
      <c r="G117" s="276"/>
      <c r="H117" s="267"/>
      <c r="I117" s="268"/>
      <c r="J117" s="274"/>
      <c r="K117" s="126"/>
      <c r="L117" s="126"/>
      <c r="M117" s="126"/>
      <c r="N117" s="271"/>
      <c r="O117" s="126"/>
      <c r="P117" s="126"/>
      <c r="Q117" s="272"/>
      <c r="R117" s="272"/>
      <c r="S117" s="185"/>
      <c r="T117" s="185"/>
      <c r="U117" s="185"/>
      <c r="V117" s="185"/>
      <c r="W117" s="273"/>
      <c r="X117" s="107"/>
      <c r="Y117" s="107"/>
      <c r="Z117" s="107"/>
      <c r="AA117" s="107"/>
      <c r="AB117" s="107"/>
      <c r="AC117" s="107"/>
      <c r="AD117" s="107"/>
      <c r="AE117" s="107"/>
      <c r="AF117" s="107"/>
      <c r="AG117" s="107"/>
      <c r="AH117" s="107"/>
      <c r="AI117" s="107"/>
      <c r="AJ117" s="107"/>
      <c r="AK117" s="107"/>
      <c r="AL117" s="107"/>
      <c r="AM117" s="107"/>
      <c r="AN117" s="107"/>
      <c r="AO117" s="107"/>
      <c r="AP117" s="107"/>
      <c r="AQ117" s="107"/>
      <c r="AR117" s="185">
        <v>0</v>
      </c>
    </row>
    <row r="118" s="185" customFormat="1" ht="17.25" hidden="1" customHeight="1">
      <c r="A118" s="254"/>
      <c r="C118" s="185"/>
      <c r="D118" s="275"/>
      <c r="E118" s="276"/>
      <c r="F118" s="266"/>
      <c r="G118" s="276"/>
      <c r="H118" s="267"/>
      <c r="I118" s="268"/>
      <c r="J118" s="274"/>
      <c r="K118" s="126"/>
      <c r="L118" s="272"/>
      <c r="M118" s="272"/>
      <c r="N118" s="272"/>
      <c r="O118" s="272"/>
      <c r="P118" s="272"/>
      <c r="Q118" s="272"/>
      <c r="R118" s="272"/>
      <c r="S118" s="185"/>
      <c r="T118" s="185"/>
      <c r="U118" s="185"/>
      <c r="V118" s="185"/>
      <c r="W118" s="273"/>
      <c r="X118" s="107"/>
      <c r="Y118" s="107"/>
      <c r="Z118" s="107"/>
      <c r="AA118" s="107"/>
      <c r="AB118" s="107"/>
      <c r="AC118" s="107"/>
      <c r="AD118" s="107"/>
      <c r="AE118" s="107"/>
      <c r="AF118" s="107"/>
      <c r="AG118" s="107"/>
      <c r="AH118" s="107"/>
      <c r="AI118" s="107"/>
      <c r="AJ118" s="107"/>
      <c r="AK118" s="107"/>
      <c r="AL118" s="107"/>
      <c r="AM118" s="107"/>
      <c r="AN118" s="107"/>
      <c r="AO118" s="107"/>
      <c r="AP118" s="107"/>
      <c r="AQ118" s="107"/>
      <c r="AR118" s="185">
        <v>0</v>
      </c>
    </row>
    <row r="119" s="185" customFormat="1" ht="17.25" hidden="1" customHeight="1">
      <c r="A119" s="254"/>
      <c r="C119" s="185"/>
      <c r="D119" s="275"/>
      <c r="E119" s="276"/>
      <c r="F119" s="277"/>
      <c r="G119" s="276"/>
      <c r="H119" s="278"/>
      <c r="I119" s="279"/>
      <c r="J119" s="279"/>
      <c r="K119" s="279"/>
      <c r="L119" s="279"/>
      <c r="M119" s="279"/>
      <c r="N119" s="279"/>
      <c r="O119" s="279"/>
      <c r="P119" s="279"/>
      <c r="Q119" s="279"/>
      <c r="R119" s="279"/>
      <c r="S119" s="280"/>
      <c r="T119" s="280"/>
      <c r="U119" s="280"/>
      <c r="V119" s="280"/>
      <c r="W119" s="281"/>
      <c r="X119" s="107"/>
      <c r="Y119" s="107"/>
      <c r="Z119" s="107"/>
      <c r="AA119" s="107"/>
      <c r="AB119" s="107"/>
      <c r="AC119" s="107"/>
      <c r="AD119" s="107"/>
      <c r="AE119" s="107"/>
      <c r="AF119" s="107"/>
      <c r="AG119" s="107"/>
      <c r="AH119" s="107"/>
      <c r="AI119" s="107"/>
      <c r="AJ119" s="107"/>
      <c r="AK119" s="107"/>
      <c r="AL119" s="107"/>
      <c r="AM119" s="107"/>
      <c r="AN119" s="107"/>
      <c r="AO119" s="107"/>
      <c r="AP119" s="107"/>
      <c r="AQ119" s="107"/>
      <c r="AR119" s="185">
        <v>0</v>
      </c>
    </row>
    <row r="120" s="185" customFormat="1" ht="11.25" hidden="1" customHeight="1">
      <c r="A120" s="130"/>
      <c r="B120" s="130"/>
      <c r="Y120" s="107"/>
      <c r="Z120" s="107"/>
      <c r="AA120" s="107"/>
      <c r="AB120" s="107"/>
      <c r="AC120" s="107"/>
      <c r="AD120" s="107"/>
      <c r="AE120" s="107"/>
      <c r="AF120" s="107"/>
      <c r="AG120" s="107"/>
      <c r="AH120" s="107"/>
      <c r="AI120" s="107"/>
      <c r="AJ120" s="107"/>
      <c r="AK120" s="107"/>
      <c r="AL120" s="107"/>
      <c r="AM120" s="107"/>
      <c r="AN120" s="107"/>
      <c r="AO120" s="107"/>
      <c r="AP120" s="107"/>
      <c r="AQ120" s="107"/>
      <c r="AR120" s="185">
        <v>0</v>
      </c>
    </row>
    <row r="121" s="185" customFormat="1" ht="17.25" hidden="1" customHeight="1">
      <c r="A121" s="254"/>
      <c r="C121" s="129"/>
      <c r="D121" s="255">
        <v>1</v>
      </c>
      <c r="E121" s="256" t="s">
        <v>258</v>
      </c>
      <c r="F121" s="257" t="s">
        <v>19</v>
      </c>
      <c r="G121" s="256"/>
      <c r="H121" s="258"/>
      <c r="I121" s="259"/>
      <c r="J121" s="260"/>
      <c r="K121" s="261"/>
      <c r="L121" s="261"/>
      <c r="M121" s="261"/>
      <c r="N121" s="262"/>
      <c r="O121" s="261"/>
      <c r="P121" s="261"/>
      <c r="Q121" s="261"/>
      <c r="R121" s="263"/>
      <c r="S121" s="261"/>
      <c r="T121" s="261"/>
      <c r="U121" s="261"/>
      <c r="V121" s="263"/>
      <c r="W121" s="264"/>
      <c r="Y121" s="265"/>
      <c r="Z121" s="265"/>
      <c r="AA121" s="265"/>
      <c r="AB121" s="265"/>
      <c r="AC121" s="265" t="s">
        <v>259</v>
      </c>
      <c r="AD121" s="265" t="s">
        <v>260</v>
      </c>
      <c r="AE121" s="265" t="s">
        <v>261</v>
      </c>
      <c r="AF121" s="265" t="s">
        <v>262</v>
      </c>
      <c r="AG121" s="265"/>
      <c r="AH121" s="265" t="str">
        <f>IF($E$121=0,"",$E$121)</f>
        <v xml:space="preserve">Тариф на водоотведение</v>
      </c>
      <c r="AI121" s="265" t="str">
        <f>IF($G$121=0,"",$G$121)</f>
        <v/>
      </c>
      <c r="AJ121" s="265" t="str">
        <f>IF($J$121=0,"",$J$121)</f>
        <v/>
      </c>
      <c r="AK121" s="265" t="str">
        <f>IF($K$121="нет","без дифференциации",IF($N$121=0,"",$N$121))</f>
        <v/>
      </c>
      <c r="AL121" s="265" t="str">
        <f>IF($O$121="нет","без дифференциации",IF($R$121=0,"",$R$121))</f>
        <v/>
      </c>
      <c r="AM121" s="265" t="str">
        <f>IF($S$121="нет","без дифференциации",IF($V$121=0,"",$V$121))</f>
        <v/>
      </c>
      <c r="AN121" s="265">
        <f>$I$121</f>
        <v>0</v>
      </c>
      <c r="AO121" s="265" t="str">
        <f>$I$121&amp;"."&amp;$M$121</f>
        <v>.</v>
      </c>
      <c r="AP121" s="265" t="str">
        <f>$I$121&amp;"."&amp;$M$121&amp;"."&amp;$Q$121</f>
        <v>..</v>
      </c>
      <c r="AQ121" s="265" t="str">
        <f>$I$121&amp;"."&amp;$M$121&amp;"."&amp;$Q$121&amp;"."&amp;$U$121</f>
        <v>...</v>
      </c>
      <c r="AR121" s="185">
        <v>0</v>
      </c>
    </row>
    <row r="122" s="185" customFormat="1" ht="17.25" hidden="1" customHeight="1">
      <c r="A122" s="254"/>
      <c r="C122" s="185"/>
      <c r="D122" s="255"/>
      <c r="E122" s="256"/>
      <c r="F122" s="266"/>
      <c r="G122" s="256"/>
      <c r="H122" s="267"/>
      <c r="I122" s="268"/>
      <c r="J122" s="269"/>
      <c r="K122" s="126"/>
      <c r="L122" s="126"/>
      <c r="M122" s="126"/>
      <c r="N122" s="270"/>
      <c r="O122" s="126"/>
      <c r="P122" s="126"/>
      <c r="Q122" s="126"/>
      <c r="R122" s="271"/>
      <c r="S122" s="126"/>
      <c r="T122" s="272"/>
      <c r="U122" s="272"/>
      <c r="V122" s="272"/>
      <c r="W122" s="273"/>
      <c r="Y122" s="107"/>
      <c r="Z122" s="107"/>
      <c r="AA122" s="107"/>
      <c r="AB122" s="107"/>
      <c r="AC122" s="107"/>
      <c r="AD122" s="107"/>
      <c r="AE122" s="107"/>
      <c r="AF122" s="107"/>
      <c r="AG122" s="107"/>
      <c r="AH122" s="107"/>
      <c r="AI122" s="107"/>
      <c r="AJ122" s="107"/>
      <c r="AK122" s="107"/>
      <c r="AL122" s="107"/>
      <c r="AM122" s="107"/>
      <c r="AN122" s="107"/>
      <c r="AO122" s="107"/>
      <c r="AP122" s="107"/>
      <c r="AQ122" s="107"/>
      <c r="AR122" s="185">
        <v>0</v>
      </c>
    </row>
    <row r="123" s="185" customFormat="1" ht="17.25" hidden="1" customHeight="1">
      <c r="A123" s="254"/>
      <c r="C123" s="129"/>
      <c r="D123" s="255"/>
      <c r="E123" s="256"/>
      <c r="F123" s="266"/>
      <c r="G123" s="256"/>
      <c r="H123" s="267"/>
      <c r="I123" s="268"/>
      <c r="J123" s="274"/>
      <c r="K123" s="126"/>
      <c r="L123" s="126"/>
      <c r="M123" s="126"/>
      <c r="N123" s="271"/>
      <c r="O123" s="126"/>
      <c r="P123" s="126"/>
      <c r="Q123" s="272"/>
      <c r="R123" s="272"/>
      <c r="S123" s="185"/>
      <c r="T123" s="185"/>
      <c r="U123" s="185"/>
      <c r="V123" s="185"/>
      <c r="W123" s="273"/>
      <c r="Y123" s="265"/>
      <c r="Z123" s="265"/>
      <c r="AA123" s="265"/>
      <c r="AB123" s="265"/>
      <c r="AC123" s="265"/>
      <c r="AD123" s="265"/>
      <c r="AE123" s="265"/>
      <c r="AF123" s="265"/>
      <c r="AG123" s="265"/>
      <c r="AH123" s="265"/>
      <c r="AI123" s="265"/>
      <c r="AJ123" s="265"/>
      <c r="AK123" s="265"/>
      <c r="AL123" s="265"/>
      <c r="AM123" s="265"/>
      <c r="AN123" s="265"/>
      <c r="AO123" s="265"/>
      <c r="AP123" s="265"/>
      <c r="AQ123" s="265"/>
      <c r="AR123" s="185">
        <v>0</v>
      </c>
    </row>
    <row r="124" s="185" customFormat="1" ht="17.25" hidden="1" customHeight="1">
      <c r="A124" s="254"/>
      <c r="C124" s="185"/>
      <c r="D124" s="255"/>
      <c r="E124" s="256"/>
      <c r="F124" s="266"/>
      <c r="G124" s="256"/>
      <c r="H124" s="267"/>
      <c r="I124" s="268"/>
      <c r="J124" s="274"/>
      <c r="K124" s="126"/>
      <c r="L124" s="272"/>
      <c r="M124" s="272"/>
      <c r="N124" s="272"/>
      <c r="O124" s="272"/>
      <c r="P124" s="272"/>
      <c r="Q124" s="272"/>
      <c r="R124" s="272"/>
      <c r="S124" s="185"/>
      <c r="T124" s="185"/>
      <c r="U124" s="185"/>
      <c r="V124" s="185"/>
      <c r="W124" s="273"/>
      <c r="Y124" s="107"/>
      <c r="Z124" s="107"/>
      <c r="AA124" s="107"/>
      <c r="AB124" s="107"/>
      <c r="AC124" s="107"/>
      <c r="AD124" s="107"/>
      <c r="AE124" s="107"/>
      <c r="AF124" s="107"/>
      <c r="AG124" s="107"/>
      <c r="AH124" s="107"/>
      <c r="AI124" s="107"/>
      <c r="AJ124" s="107"/>
      <c r="AK124" s="107"/>
      <c r="AL124" s="107"/>
      <c r="AM124" s="107"/>
      <c r="AN124" s="107"/>
      <c r="AO124" s="107"/>
      <c r="AP124" s="107"/>
      <c r="AQ124" s="107"/>
      <c r="AR124" s="185">
        <v>0</v>
      </c>
    </row>
    <row r="125" s="185" customFormat="1" ht="17.25" hidden="1" customHeight="1">
      <c r="A125" s="254"/>
      <c r="C125" s="185"/>
      <c r="D125" s="275"/>
      <c r="E125" s="276"/>
      <c r="F125" s="277"/>
      <c r="G125" s="276"/>
      <c r="H125" s="278"/>
      <c r="I125" s="279"/>
      <c r="J125" s="279"/>
      <c r="K125" s="279"/>
      <c r="L125" s="279"/>
      <c r="M125" s="279"/>
      <c r="N125" s="279"/>
      <c r="O125" s="279"/>
      <c r="P125" s="279"/>
      <c r="Q125" s="279"/>
      <c r="R125" s="279"/>
      <c r="S125" s="280"/>
      <c r="T125" s="280"/>
      <c r="U125" s="280"/>
      <c r="V125" s="280"/>
      <c r="W125" s="281"/>
      <c r="Y125" s="107"/>
      <c r="Z125" s="107"/>
      <c r="AA125" s="107"/>
      <c r="AB125" s="107"/>
      <c r="AC125" s="107"/>
      <c r="AD125" s="107"/>
      <c r="AE125" s="107"/>
      <c r="AF125" s="107"/>
      <c r="AG125" s="107"/>
      <c r="AH125" s="107"/>
      <c r="AI125" s="107"/>
      <c r="AJ125" s="107"/>
      <c r="AK125" s="107"/>
      <c r="AL125" s="107"/>
      <c r="AM125" s="107"/>
      <c r="AN125" s="107"/>
      <c r="AO125" s="107"/>
      <c r="AP125" s="107"/>
      <c r="AQ125" s="107"/>
      <c r="AR125" s="185">
        <v>0</v>
      </c>
    </row>
    <row r="126" s="185" customFormat="1" ht="17.25" hidden="1" customHeight="1">
      <c r="A126" s="254"/>
      <c r="C126" s="129"/>
      <c r="D126" s="255">
        <v>2</v>
      </c>
      <c r="E126" s="256" t="s">
        <v>263</v>
      </c>
      <c r="F126" s="257" t="s">
        <v>19</v>
      </c>
      <c r="G126" s="256"/>
      <c r="H126" s="258"/>
      <c r="I126" s="259"/>
      <c r="J126" s="260"/>
      <c r="K126" s="261"/>
      <c r="L126" s="261"/>
      <c r="M126" s="261"/>
      <c r="N126" s="262"/>
      <c r="O126" s="261"/>
      <c r="P126" s="261"/>
      <c r="Q126" s="261"/>
      <c r="R126" s="263"/>
      <c r="S126" s="261"/>
      <c r="T126" s="261"/>
      <c r="U126" s="261"/>
      <c r="V126" s="263"/>
      <c r="W126" s="264"/>
      <c r="X126" s="265"/>
      <c r="Y126" s="265"/>
      <c r="Z126" s="265"/>
      <c r="AA126" s="265"/>
      <c r="AB126" s="265"/>
      <c r="AC126" s="265" t="s">
        <v>264</v>
      </c>
      <c r="AD126" s="265" t="s">
        <v>265</v>
      </c>
      <c r="AE126" s="265" t="s">
        <v>266</v>
      </c>
      <c r="AF126" s="265" t="s">
        <v>267</v>
      </c>
      <c r="AG126" s="265"/>
      <c r="AH126" s="265" t="str">
        <f>IF($E$126=0,"",$E$126)</f>
        <v xml:space="preserve">Тариф на транспортировку сточных вод</v>
      </c>
      <c r="AI126" s="265" t="str">
        <f>IF($G$126=0,"",$G$126)</f>
        <v/>
      </c>
      <c r="AJ126" s="265" t="str">
        <f>IF($J$126=0,"",$J$126)</f>
        <v/>
      </c>
      <c r="AK126" s="265" t="str">
        <f>IF($K$126="нет","без дифференциации",IF($N$126=0,"",$N$126))</f>
        <v/>
      </c>
      <c r="AL126" s="265" t="str">
        <f>IF($O$126="нет","без дифференциации",IF($R$126=0,"",$R$126))</f>
        <v/>
      </c>
      <c r="AM126" s="265" t="str">
        <f>IF($S$126="нет","без дифференциации",IF($V$126=0,"",$V$126))</f>
        <v/>
      </c>
      <c r="AN126" s="283">
        <f>$I$126</f>
        <v>0</v>
      </c>
      <c r="AO126" s="265" t="str">
        <f>$I$126&amp;"."&amp;$M$126</f>
        <v>.</v>
      </c>
      <c r="AP126" s="107" t="str">
        <f>$I$126&amp;"."&amp;$M$126&amp;"."&amp;$Q$126</f>
        <v>..</v>
      </c>
      <c r="AQ126" s="107" t="str">
        <f>$I$126&amp;"."&amp;$M$126&amp;"."&amp;$Q$126&amp;"."&amp;$U$126</f>
        <v>...</v>
      </c>
      <c r="AR126" s="185">
        <v>0</v>
      </c>
    </row>
    <row r="127" s="185" customFormat="1" ht="17.25" hidden="1" customHeight="1">
      <c r="A127" s="254"/>
      <c r="C127" s="185"/>
      <c r="D127" s="255"/>
      <c r="E127" s="256"/>
      <c r="F127" s="266"/>
      <c r="G127" s="256"/>
      <c r="H127" s="267"/>
      <c r="I127" s="268"/>
      <c r="J127" s="269"/>
      <c r="K127" s="126"/>
      <c r="L127" s="126"/>
      <c r="M127" s="126"/>
      <c r="N127" s="270"/>
      <c r="O127" s="126"/>
      <c r="P127" s="126"/>
      <c r="Q127" s="126"/>
      <c r="R127" s="271"/>
      <c r="S127" s="126"/>
      <c r="T127" s="272"/>
      <c r="U127" s="272"/>
      <c r="V127" s="272"/>
      <c r="W127" s="273"/>
      <c r="X127" s="107"/>
      <c r="Y127" s="107"/>
      <c r="Z127" s="107"/>
      <c r="AA127" s="107"/>
      <c r="AB127" s="107"/>
      <c r="AC127" s="107"/>
      <c r="AD127" s="107"/>
      <c r="AE127" s="107"/>
      <c r="AF127" s="107"/>
      <c r="AG127" s="107"/>
      <c r="AH127" s="107"/>
      <c r="AI127" s="107"/>
      <c r="AJ127" s="107"/>
      <c r="AK127" s="107"/>
      <c r="AL127" s="107"/>
      <c r="AM127" s="107"/>
      <c r="AN127" s="107"/>
      <c r="AO127" s="107"/>
      <c r="AP127" s="107"/>
      <c r="AQ127" s="107"/>
      <c r="AR127" s="185">
        <v>0</v>
      </c>
    </row>
    <row r="128" s="185" customFormat="1" ht="17.25" hidden="1" customHeight="1">
      <c r="A128" s="254"/>
      <c r="C128" s="185"/>
      <c r="D128" s="275"/>
      <c r="E128" s="276"/>
      <c r="F128" s="266"/>
      <c r="G128" s="276"/>
      <c r="H128" s="267"/>
      <c r="I128" s="268"/>
      <c r="J128" s="274"/>
      <c r="K128" s="126"/>
      <c r="L128" s="126"/>
      <c r="M128" s="126"/>
      <c r="N128" s="271"/>
      <c r="O128" s="126"/>
      <c r="P128" s="126"/>
      <c r="Q128" s="272"/>
      <c r="R128" s="272"/>
      <c r="S128" s="185"/>
      <c r="T128" s="185"/>
      <c r="U128" s="185"/>
      <c r="V128" s="185"/>
      <c r="W128" s="273"/>
      <c r="X128" s="107"/>
      <c r="Y128" s="107"/>
      <c r="Z128" s="107"/>
      <c r="AA128" s="107"/>
      <c r="AB128" s="107"/>
      <c r="AC128" s="107"/>
      <c r="AD128" s="107"/>
      <c r="AE128" s="107"/>
      <c r="AF128" s="107"/>
      <c r="AG128" s="107"/>
      <c r="AH128" s="107"/>
      <c r="AI128" s="107"/>
      <c r="AJ128" s="107"/>
      <c r="AK128" s="107"/>
      <c r="AL128" s="107"/>
      <c r="AM128" s="107"/>
      <c r="AN128" s="107"/>
      <c r="AO128" s="107"/>
      <c r="AP128" s="107"/>
      <c r="AQ128" s="107"/>
      <c r="AR128" s="185">
        <v>0</v>
      </c>
    </row>
    <row r="129" s="185" customFormat="1" ht="17.25" hidden="1" customHeight="1">
      <c r="A129" s="254"/>
      <c r="C129" s="185"/>
      <c r="D129" s="275"/>
      <c r="E129" s="276"/>
      <c r="F129" s="266"/>
      <c r="G129" s="276"/>
      <c r="H129" s="267"/>
      <c r="I129" s="268"/>
      <c r="J129" s="274"/>
      <c r="K129" s="126"/>
      <c r="L129" s="272"/>
      <c r="M129" s="272"/>
      <c r="N129" s="272"/>
      <c r="O129" s="272"/>
      <c r="P129" s="272"/>
      <c r="Q129" s="272"/>
      <c r="R129" s="272"/>
      <c r="S129" s="185"/>
      <c r="T129" s="185"/>
      <c r="U129" s="185"/>
      <c r="V129" s="185"/>
      <c r="W129" s="273"/>
      <c r="X129" s="107"/>
      <c r="Y129" s="107"/>
      <c r="Z129" s="107"/>
      <c r="AA129" s="107"/>
      <c r="AB129" s="107"/>
      <c r="AC129" s="107"/>
      <c r="AD129" s="107"/>
      <c r="AE129" s="107"/>
      <c r="AF129" s="107"/>
      <c r="AG129" s="107"/>
      <c r="AH129" s="107"/>
      <c r="AI129" s="107"/>
      <c r="AJ129" s="107"/>
      <c r="AK129" s="107"/>
      <c r="AL129" s="107"/>
      <c r="AM129" s="107"/>
      <c r="AN129" s="107"/>
      <c r="AO129" s="107"/>
      <c r="AP129" s="107"/>
      <c r="AQ129" s="107"/>
      <c r="AR129" s="185">
        <v>0</v>
      </c>
    </row>
    <row r="130" s="185" customFormat="1" ht="17.25" hidden="1" customHeight="1">
      <c r="A130" s="254"/>
      <c r="C130" s="185"/>
      <c r="D130" s="275"/>
      <c r="E130" s="276"/>
      <c r="F130" s="277"/>
      <c r="G130" s="276"/>
      <c r="H130" s="278"/>
      <c r="I130" s="279"/>
      <c r="J130" s="279"/>
      <c r="K130" s="279"/>
      <c r="L130" s="279"/>
      <c r="M130" s="279"/>
      <c r="N130" s="279"/>
      <c r="O130" s="279"/>
      <c r="P130" s="279"/>
      <c r="Q130" s="279"/>
      <c r="R130" s="279"/>
      <c r="S130" s="280"/>
      <c r="T130" s="280"/>
      <c r="U130" s="280"/>
      <c r="V130" s="280"/>
      <c r="W130" s="281"/>
      <c r="X130" s="107"/>
      <c r="Y130" s="107"/>
      <c r="Z130" s="107"/>
      <c r="AA130" s="107"/>
      <c r="AB130" s="107"/>
      <c r="AC130" s="107"/>
      <c r="AD130" s="107"/>
      <c r="AE130" s="107"/>
      <c r="AF130" s="107"/>
      <c r="AG130" s="107"/>
      <c r="AH130" s="107"/>
      <c r="AI130" s="107"/>
      <c r="AJ130" s="107"/>
      <c r="AK130" s="107"/>
      <c r="AL130" s="107"/>
      <c r="AM130" s="107"/>
      <c r="AN130" s="107"/>
      <c r="AO130" s="107"/>
      <c r="AP130" s="107"/>
      <c r="AQ130" s="107"/>
      <c r="AR130" s="185">
        <v>0</v>
      </c>
    </row>
    <row r="131" s="185" customFormat="1" ht="17.25" hidden="1" customHeight="1">
      <c r="A131" s="254"/>
      <c r="C131" s="129"/>
      <c r="D131" s="255">
        <v>3</v>
      </c>
      <c r="E131" s="256" t="s">
        <v>268</v>
      </c>
      <c r="F131" s="257" t="s">
        <v>19</v>
      </c>
      <c r="G131" s="256"/>
      <c r="H131" s="258"/>
      <c r="I131" s="259"/>
      <c r="J131" s="260"/>
      <c r="K131" s="261"/>
      <c r="L131" s="261"/>
      <c r="M131" s="261"/>
      <c r="N131" s="262"/>
      <c r="O131" s="261"/>
      <c r="P131" s="261"/>
      <c r="Q131" s="261"/>
      <c r="R131" s="263"/>
      <c r="S131" s="261"/>
      <c r="T131" s="261"/>
      <c r="U131" s="261"/>
      <c r="V131" s="263"/>
      <c r="W131" s="264"/>
      <c r="X131" s="265"/>
      <c r="Y131" s="265"/>
      <c r="Z131" s="265"/>
      <c r="AA131" s="265"/>
      <c r="AB131" s="265"/>
      <c r="AC131" s="265" t="s">
        <v>269</v>
      </c>
      <c r="AD131" s="265" t="s">
        <v>270</v>
      </c>
      <c r="AE131" s="265" t="s">
        <v>271</v>
      </c>
      <c r="AF131" s="265" t="s">
        <v>272</v>
      </c>
      <c r="AG131" s="265"/>
      <c r="AH131" s="265" t="str">
        <f>IF($E$131=0,"",$E$131)</f>
        <v xml:space="preserve">Тариф на подключение (технологическое присоединение) к централизованной системе водоотведения</v>
      </c>
      <c r="AI131" s="265" t="str">
        <f>IF($G$131=0,"",$G$131)</f>
        <v/>
      </c>
      <c r="AJ131" s="265" t="str">
        <f>IF($J$131=0,"",$J$131)</f>
        <v/>
      </c>
      <c r="AK131" s="265" t="str">
        <f>IF($K$131="нет","без дифференциации",IF($N$131=0,"",$N$131))</f>
        <v/>
      </c>
      <c r="AL131" s="265" t="str">
        <f>IF($O$131="нет","без дифференциации",IF($R$131=0,"",$R$131))</f>
        <v/>
      </c>
      <c r="AM131" s="265" t="str">
        <f>IF($S$131="нет","без дифференциации",IF($V$131=0,"",$V$131))</f>
        <v/>
      </c>
      <c r="AN131" s="283">
        <f>$I$131</f>
        <v>0</v>
      </c>
      <c r="AO131" s="265" t="str">
        <f>$I$131&amp;"."&amp;$M$131</f>
        <v>.</v>
      </c>
      <c r="AP131" s="107" t="str">
        <f>$I$131&amp;"."&amp;$M$131&amp;"."&amp;$Q$131</f>
        <v>..</v>
      </c>
      <c r="AQ131" s="107" t="str">
        <f>$I$131&amp;"."&amp;$M$131&amp;"."&amp;$Q$131&amp;"."&amp;$U$131</f>
        <v>...</v>
      </c>
      <c r="AR131" s="185">
        <v>0</v>
      </c>
    </row>
    <row r="132" s="185" customFormat="1" ht="17.25" hidden="1" customHeight="1">
      <c r="A132" s="254"/>
      <c r="C132" s="185"/>
      <c r="D132" s="255"/>
      <c r="E132" s="256"/>
      <c r="F132" s="266"/>
      <c r="G132" s="256"/>
      <c r="H132" s="267"/>
      <c r="I132" s="268"/>
      <c r="J132" s="269"/>
      <c r="K132" s="126"/>
      <c r="L132" s="126"/>
      <c r="M132" s="126"/>
      <c r="N132" s="270"/>
      <c r="O132" s="126"/>
      <c r="P132" s="126"/>
      <c r="Q132" s="126"/>
      <c r="R132" s="271"/>
      <c r="S132" s="126"/>
      <c r="T132" s="272"/>
      <c r="U132" s="272"/>
      <c r="V132" s="272"/>
      <c r="W132" s="273"/>
      <c r="X132" s="107"/>
      <c r="Y132" s="107"/>
      <c r="Z132" s="107"/>
      <c r="AA132" s="107"/>
      <c r="AB132" s="107"/>
      <c r="AC132" s="107"/>
      <c r="AD132" s="107"/>
      <c r="AE132" s="107"/>
      <c r="AF132" s="107"/>
      <c r="AG132" s="107"/>
      <c r="AH132" s="107"/>
      <c r="AI132" s="107"/>
      <c r="AJ132" s="107"/>
      <c r="AK132" s="107"/>
      <c r="AL132" s="107"/>
      <c r="AM132" s="107"/>
      <c r="AN132" s="107"/>
      <c r="AO132" s="107"/>
      <c r="AP132" s="107"/>
      <c r="AQ132" s="107"/>
      <c r="AR132" s="185">
        <v>0</v>
      </c>
    </row>
    <row r="133" s="185" customFormat="1" ht="17.25" hidden="1" customHeight="1">
      <c r="A133" s="254"/>
      <c r="C133" s="185"/>
      <c r="D133" s="275"/>
      <c r="E133" s="276"/>
      <c r="F133" s="266"/>
      <c r="G133" s="276"/>
      <c r="H133" s="267"/>
      <c r="I133" s="268"/>
      <c r="J133" s="274"/>
      <c r="K133" s="126"/>
      <c r="L133" s="126"/>
      <c r="M133" s="126"/>
      <c r="N133" s="271"/>
      <c r="O133" s="126"/>
      <c r="P133" s="126"/>
      <c r="Q133" s="272"/>
      <c r="R133" s="272"/>
      <c r="S133" s="185"/>
      <c r="T133" s="185"/>
      <c r="U133" s="185"/>
      <c r="V133" s="185"/>
      <c r="W133" s="273"/>
      <c r="X133" s="107"/>
      <c r="Y133" s="107"/>
      <c r="Z133" s="107"/>
      <c r="AA133" s="107"/>
      <c r="AB133" s="107"/>
      <c r="AC133" s="107"/>
      <c r="AD133" s="107"/>
      <c r="AE133" s="107"/>
      <c r="AF133" s="107"/>
      <c r="AG133" s="107"/>
      <c r="AH133" s="107"/>
      <c r="AI133" s="107"/>
      <c r="AJ133" s="107"/>
      <c r="AK133" s="107"/>
      <c r="AL133" s="107"/>
      <c r="AM133" s="107"/>
      <c r="AN133" s="107"/>
      <c r="AO133" s="107"/>
      <c r="AP133" s="107"/>
      <c r="AQ133" s="107"/>
      <c r="AR133" s="185">
        <v>0</v>
      </c>
    </row>
    <row r="134" s="185" customFormat="1" ht="17.25" hidden="1" customHeight="1">
      <c r="A134" s="254"/>
      <c r="C134" s="185"/>
      <c r="D134" s="275"/>
      <c r="E134" s="276"/>
      <c r="F134" s="266"/>
      <c r="G134" s="276"/>
      <c r="H134" s="267"/>
      <c r="I134" s="268"/>
      <c r="J134" s="274"/>
      <c r="K134" s="126"/>
      <c r="L134" s="272"/>
      <c r="M134" s="272"/>
      <c r="N134" s="272"/>
      <c r="O134" s="272"/>
      <c r="P134" s="272"/>
      <c r="Q134" s="272"/>
      <c r="R134" s="272"/>
      <c r="S134" s="185"/>
      <c r="T134" s="185"/>
      <c r="U134" s="185"/>
      <c r="V134" s="185"/>
      <c r="W134" s="273"/>
      <c r="X134" s="107"/>
      <c r="Y134" s="107"/>
      <c r="Z134" s="107"/>
      <c r="AA134" s="107"/>
      <c r="AB134" s="107"/>
      <c r="AC134" s="107"/>
      <c r="AD134" s="107"/>
      <c r="AE134" s="107"/>
      <c r="AF134" s="107"/>
      <c r="AG134" s="107"/>
      <c r="AH134" s="107"/>
      <c r="AI134" s="107"/>
      <c r="AJ134" s="107"/>
      <c r="AK134" s="107"/>
      <c r="AL134" s="107"/>
      <c r="AM134" s="107"/>
      <c r="AN134" s="107"/>
      <c r="AO134" s="107"/>
      <c r="AP134" s="107"/>
      <c r="AQ134" s="107"/>
      <c r="AR134" s="185">
        <v>0</v>
      </c>
    </row>
    <row r="135" s="185" customFormat="1" ht="17.25" hidden="1" customHeight="1">
      <c r="A135" s="254"/>
      <c r="C135" s="185"/>
      <c r="D135" s="275"/>
      <c r="E135" s="276"/>
      <c r="F135" s="277"/>
      <c r="G135" s="276"/>
      <c r="H135" s="278"/>
      <c r="I135" s="279"/>
      <c r="J135" s="279"/>
      <c r="K135" s="279"/>
      <c r="L135" s="279"/>
      <c r="M135" s="279"/>
      <c r="N135" s="279"/>
      <c r="O135" s="279"/>
      <c r="P135" s="279"/>
      <c r="Q135" s="279"/>
      <c r="R135" s="279"/>
      <c r="S135" s="280"/>
      <c r="T135" s="280"/>
      <c r="U135" s="280"/>
      <c r="V135" s="280"/>
      <c r="W135" s="281"/>
      <c r="X135" s="107"/>
      <c r="Y135" s="107"/>
      <c r="Z135" s="107"/>
      <c r="AA135" s="107"/>
      <c r="AB135" s="107"/>
      <c r="AC135" s="107"/>
      <c r="AD135" s="107"/>
      <c r="AE135" s="107"/>
      <c r="AF135" s="107"/>
      <c r="AG135" s="107"/>
      <c r="AH135" s="107"/>
      <c r="AI135" s="107"/>
      <c r="AJ135" s="107"/>
      <c r="AK135" s="107"/>
      <c r="AL135" s="107"/>
      <c r="AM135" s="107"/>
      <c r="AN135" s="107"/>
      <c r="AO135" s="107"/>
      <c r="AP135" s="107"/>
      <c r="AQ135" s="107"/>
      <c r="AR135" s="185">
        <v>0</v>
      </c>
    </row>
    <row r="136" ht="11.5" customHeight="1">
      <c r="AR136" s="185">
        <v>11</v>
      </c>
    </row>
    <row r="137" ht="11.5" customHeight="1">
      <c r="AR137" s="185">
        <v>11</v>
      </c>
    </row>
    <row r="138" ht="11.5" customHeight="1">
      <c r="AR138" s="185">
        <v>11</v>
      </c>
    </row>
    <row r="139" ht="11.5" customHeight="1">
      <c r="E139" s="185"/>
      <c r="AR139" s="185">
        <v>11</v>
      </c>
    </row>
    <row r="140" ht="11.5" customHeight="1">
      <c r="E140" s="185"/>
      <c r="AR140" s="185">
        <v>11</v>
      </c>
    </row>
    <row r="141" ht="11.5" customHeight="1">
      <c r="E141" s="185"/>
      <c r="AR141" s="185">
        <v>11</v>
      </c>
    </row>
    <row r="142" ht="11.5" customHeight="1">
      <c r="E142" s="185"/>
      <c r="AR142" s="185">
        <v>11</v>
      </c>
    </row>
    <row r="143" ht="11.5" customHeight="1">
      <c r="E143" s="185"/>
      <c r="AR143" s="185">
        <v>11</v>
      </c>
    </row>
    <row r="144" ht="11.5" customHeight="1">
      <c r="E144" s="185"/>
      <c r="AR144" s="185">
        <v>11</v>
      </c>
    </row>
    <row r="145" ht="11.5" customHeight="1">
      <c r="E145" s="185"/>
      <c r="AR145" s="185">
        <v>11</v>
      </c>
    </row>
    <row r="146" ht="11.25" hidden="1" customHeight="1">
      <c r="A146" s="130" t="s">
        <v>81</v>
      </c>
      <c r="B146" s="130">
        <v>0</v>
      </c>
      <c r="C146" s="185">
        <v>3</v>
      </c>
      <c r="D146" s="185">
        <v>6</v>
      </c>
      <c r="E146" s="185">
        <v>42</v>
      </c>
      <c r="F146" s="185">
        <v>14</v>
      </c>
      <c r="G146" s="185">
        <v>42</v>
      </c>
      <c r="H146" s="185">
        <v>3</v>
      </c>
      <c r="I146" s="185">
        <v>5</v>
      </c>
      <c r="J146" s="185">
        <v>47</v>
      </c>
      <c r="K146" s="185">
        <v>3</v>
      </c>
      <c r="L146" s="185">
        <v>3</v>
      </c>
      <c r="M146" s="185">
        <v>5</v>
      </c>
      <c r="N146" s="185">
        <v>28</v>
      </c>
      <c r="O146" s="185">
        <v>3</v>
      </c>
      <c r="P146" s="185">
        <v>3</v>
      </c>
      <c r="Q146" s="185">
        <v>5</v>
      </c>
      <c r="R146" s="185">
        <v>34</v>
      </c>
      <c r="S146" s="185">
        <v>0</v>
      </c>
      <c r="T146" s="185">
        <v>0</v>
      </c>
      <c r="U146" s="185">
        <v>0</v>
      </c>
      <c r="V146" s="185">
        <v>0</v>
      </c>
      <c r="W146" s="185">
        <v>30</v>
      </c>
      <c r="X146" s="185">
        <v>3</v>
      </c>
      <c r="Y146" s="107">
        <v>0</v>
      </c>
      <c r="Z146" s="107">
        <v>0</v>
      </c>
      <c r="AA146" s="107">
        <v>0</v>
      </c>
      <c r="AB146" s="107">
        <v>0</v>
      </c>
      <c r="AC146" s="107">
        <v>0</v>
      </c>
      <c r="AD146" s="107">
        <v>0</v>
      </c>
      <c r="AE146" s="107">
        <v>0</v>
      </c>
      <c r="AF146" s="107">
        <v>0</v>
      </c>
      <c r="AG146" s="107">
        <v>0</v>
      </c>
      <c r="AH146" s="107">
        <v>0</v>
      </c>
      <c r="AI146" s="107">
        <v>0</v>
      </c>
      <c r="AJ146" s="107">
        <v>0</v>
      </c>
      <c r="AK146" s="107">
        <v>0</v>
      </c>
      <c r="AL146" s="107">
        <v>0</v>
      </c>
      <c r="AM146" s="107">
        <v>0</v>
      </c>
      <c r="AN146" s="107">
        <v>0</v>
      </c>
      <c r="AO146" s="107">
        <v>0</v>
      </c>
      <c r="AP146" s="107">
        <v>0</v>
      </c>
      <c r="AQ146" s="107">
        <v>0</v>
      </c>
      <c r="AR146" s="185">
        <v>11</v>
      </c>
    </row>
  </sheetData>
  <sheetProtection autoFilter="0" deleteColumns="1" deleteRows="1" formatCells="1" formatColumns="0" formatRows="0" insertColumns="1" insertHyperlinks="1" insertRows="1" objects="0" pivotTables="1" scenarios="0" selectLockedCells="0" selectUnlockedCells="0" sheet="1" sort="1"/>
  <mergeCells count="379">
    <mergeCell ref="D5:J5"/>
    <mergeCell ref="D6:J6"/>
    <mergeCell ref="D7:J7"/>
    <mergeCell ref="D9:D10"/>
    <mergeCell ref="E9:F9"/>
    <mergeCell ref="G9:G10"/>
    <mergeCell ref="H9:I10"/>
    <mergeCell ref="J9:J10"/>
    <mergeCell ref="K9:N9"/>
    <mergeCell ref="O9:R9"/>
    <mergeCell ref="S9:V9"/>
    <mergeCell ref="W9:W10"/>
    <mergeCell ref="L10:M10"/>
    <mergeCell ref="P10:Q10"/>
    <mergeCell ref="T10:U10"/>
    <mergeCell ref="H11:I11"/>
    <mergeCell ref="L11:M11"/>
    <mergeCell ref="P11:Q11"/>
    <mergeCell ref="T11:U11"/>
    <mergeCell ref="D13:D17"/>
    <mergeCell ref="E13:E17"/>
    <mergeCell ref="F13:F17"/>
    <mergeCell ref="G13:G17"/>
    <mergeCell ref="H13:H16"/>
    <mergeCell ref="I13:I16"/>
    <mergeCell ref="J13:J16"/>
    <mergeCell ref="K13:K16"/>
    <mergeCell ref="L13:L15"/>
    <mergeCell ref="M13:M15"/>
    <mergeCell ref="N13:N15"/>
    <mergeCell ref="O13:O15"/>
    <mergeCell ref="P13:P14"/>
    <mergeCell ref="Q13:Q14"/>
    <mergeCell ref="R13:R14"/>
    <mergeCell ref="S13:S14"/>
    <mergeCell ref="D18:D22"/>
    <mergeCell ref="E18:E22"/>
    <mergeCell ref="F18:F22"/>
    <mergeCell ref="G18:G22"/>
    <mergeCell ref="H18:H21"/>
    <mergeCell ref="I18:I21"/>
    <mergeCell ref="J18:J21"/>
    <mergeCell ref="K18:K21"/>
    <mergeCell ref="L18:L20"/>
    <mergeCell ref="M18:M20"/>
    <mergeCell ref="N18:N20"/>
    <mergeCell ref="O18:O20"/>
    <mergeCell ref="P18:P19"/>
    <mergeCell ref="Q18:Q19"/>
    <mergeCell ref="R18:R19"/>
    <mergeCell ref="S18:S19"/>
    <mergeCell ref="D23:D27"/>
    <mergeCell ref="E23:E27"/>
    <mergeCell ref="F23:F27"/>
    <mergeCell ref="G23:G27"/>
    <mergeCell ref="H23:H26"/>
    <mergeCell ref="I23:I26"/>
    <mergeCell ref="J23:J26"/>
    <mergeCell ref="K23:K26"/>
    <mergeCell ref="L23:L25"/>
    <mergeCell ref="M23:M25"/>
    <mergeCell ref="N23:N25"/>
    <mergeCell ref="O23:O25"/>
    <mergeCell ref="P23:P24"/>
    <mergeCell ref="Q23:Q24"/>
    <mergeCell ref="R23:R24"/>
    <mergeCell ref="S23:S24"/>
    <mergeCell ref="D28:D32"/>
    <mergeCell ref="E28:E32"/>
    <mergeCell ref="F28:F32"/>
    <mergeCell ref="G28:G32"/>
    <mergeCell ref="H28:H31"/>
    <mergeCell ref="I28:I31"/>
    <mergeCell ref="J28:J31"/>
    <mergeCell ref="K28:K31"/>
    <mergeCell ref="L28:L30"/>
    <mergeCell ref="M28:M30"/>
    <mergeCell ref="N28:N30"/>
    <mergeCell ref="O28:O30"/>
    <mergeCell ref="P28:P29"/>
    <mergeCell ref="Q28:Q29"/>
    <mergeCell ref="R28:R29"/>
    <mergeCell ref="S28:S29"/>
    <mergeCell ref="D33:D37"/>
    <mergeCell ref="E33:E37"/>
    <mergeCell ref="F33:F37"/>
    <mergeCell ref="G33:G37"/>
    <mergeCell ref="H33:H36"/>
    <mergeCell ref="I33:I36"/>
    <mergeCell ref="J33:J36"/>
    <mergeCell ref="K33:K36"/>
    <mergeCell ref="L33:L35"/>
    <mergeCell ref="M33:M35"/>
    <mergeCell ref="N33:N35"/>
    <mergeCell ref="O33:O35"/>
    <mergeCell ref="P33:P34"/>
    <mergeCell ref="Q33:Q34"/>
    <mergeCell ref="R33:R34"/>
    <mergeCell ref="S33:S34"/>
    <mergeCell ref="D38:D42"/>
    <mergeCell ref="E38:E42"/>
    <mergeCell ref="F38:F42"/>
    <mergeCell ref="G38:G42"/>
    <mergeCell ref="H38:H41"/>
    <mergeCell ref="I38:I41"/>
    <mergeCell ref="J38:J41"/>
    <mergeCell ref="K38:K41"/>
    <mergeCell ref="L38:L40"/>
    <mergeCell ref="M38:M40"/>
    <mergeCell ref="N38:N40"/>
    <mergeCell ref="O38:O40"/>
    <mergeCell ref="P38:P39"/>
    <mergeCell ref="Q38:Q39"/>
    <mergeCell ref="R38:R39"/>
    <mergeCell ref="S38:S39"/>
    <mergeCell ref="D43:D47"/>
    <mergeCell ref="E43:E47"/>
    <mergeCell ref="F43:F47"/>
    <mergeCell ref="G43:G47"/>
    <mergeCell ref="H43:H46"/>
    <mergeCell ref="I43:I46"/>
    <mergeCell ref="J43:J46"/>
    <mergeCell ref="K43:K46"/>
    <mergeCell ref="L43:L45"/>
    <mergeCell ref="M43:M45"/>
    <mergeCell ref="N43:N45"/>
    <mergeCell ref="O43:O45"/>
    <mergeCell ref="P43:P44"/>
    <mergeCell ref="Q43:Q44"/>
    <mergeCell ref="R43:R44"/>
    <mergeCell ref="S43:S44"/>
    <mergeCell ref="D48:D52"/>
    <mergeCell ref="E48:E52"/>
    <mergeCell ref="F48:F52"/>
    <mergeCell ref="G48:G52"/>
    <mergeCell ref="H48:H51"/>
    <mergeCell ref="I48:I51"/>
    <mergeCell ref="J48:J51"/>
    <mergeCell ref="K48:K51"/>
    <mergeCell ref="L48:L50"/>
    <mergeCell ref="M48:M50"/>
    <mergeCell ref="N48:N50"/>
    <mergeCell ref="O48:O50"/>
    <mergeCell ref="P48:P49"/>
    <mergeCell ref="Q48:Q49"/>
    <mergeCell ref="R48:R49"/>
    <mergeCell ref="S48:S49"/>
    <mergeCell ref="D53:D57"/>
    <mergeCell ref="E53:E57"/>
    <mergeCell ref="F53:F57"/>
    <mergeCell ref="G53:G57"/>
    <mergeCell ref="H53:H56"/>
    <mergeCell ref="I53:I56"/>
    <mergeCell ref="J53:J56"/>
    <mergeCell ref="K53:K56"/>
    <mergeCell ref="L53:L55"/>
    <mergeCell ref="M53:M55"/>
    <mergeCell ref="N53:N55"/>
    <mergeCell ref="O53:O55"/>
    <mergeCell ref="P53:P54"/>
    <mergeCell ref="Q53:Q54"/>
    <mergeCell ref="R53:R54"/>
    <mergeCell ref="S53:S54"/>
    <mergeCell ref="D58:D62"/>
    <mergeCell ref="E58:E62"/>
    <mergeCell ref="F58:F62"/>
    <mergeCell ref="G58:G62"/>
    <mergeCell ref="H58:H61"/>
    <mergeCell ref="I58:I61"/>
    <mergeCell ref="J58:J61"/>
    <mergeCell ref="K58:K61"/>
    <mergeCell ref="L58:L60"/>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69:W69"/>
    <mergeCell ref="E70:W70"/>
    <mergeCell ref="E71:W71"/>
    <mergeCell ref="E72:W72"/>
    <mergeCell ref="E73:W73"/>
    <mergeCell ref="E75:W75"/>
    <mergeCell ref="E76:W76"/>
    <mergeCell ref="E77:W77"/>
    <mergeCell ref="D79:D83"/>
    <mergeCell ref="E79:E83"/>
    <mergeCell ref="F79:F83"/>
    <mergeCell ref="G79:G83"/>
    <mergeCell ref="H79:H82"/>
    <mergeCell ref="I79:I82"/>
    <mergeCell ref="J79:J82"/>
    <mergeCell ref="K79:K82"/>
    <mergeCell ref="L79:L81"/>
    <mergeCell ref="M79:M81"/>
    <mergeCell ref="N79:N81"/>
    <mergeCell ref="O79:O81"/>
    <mergeCell ref="P79:P80"/>
    <mergeCell ref="Q79:Q80"/>
    <mergeCell ref="R79:R80"/>
    <mergeCell ref="S79:S80"/>
    <mergeCell ref="D84:D88"/>
    <mergeCell ref="E84:E88"/>
    <mergeCell ref="F84:F88"/>
    <mergeCell ref="G84:G88"/>
    <mergeCell ref="H84:H87"/>
    <mergeCell ref="I84:I87"/>
    <mergeCell ref="J84:J87"/>
    <mergeCell ref="K84:K87"/>
    <mergeCell ref="L84:L86"/>
    <mergeCell ref="M84:M86"/>
    <mergeCell ref="N84:N86"/>
    <mergeCell ref="O84:O86"/>
    <mergeCell ref="P84:P85"/>
    <mergeCell ref="Q84:Q85"/>
    <mergeCell ref="R84:R85"/>
    <mergeCell ref="S84:S85"/>
    <mergeCell ref="D89:D93"/>
    <mergeCell ref="E89:E93"/>
    <mergeCell ref="F89:F93"/>
    <mergeCell ref="G89:G93"/>
    <mergeCell ref="H89:H92"/>
    <mergeCell ref="I89:I92"/>
    <mergeCell ref="J89:J92"/>
    <mergeCell ref="K89:K92"/>
    <mergeCell ref="L89:L91"/>
    <mergeCell ref="M89:M91"/>
    <mergeCell ref="N89:N91"/>
    <mergeCell ref="O89:O91"/>
    <mergeCell ref="P89:P90"/>
    <mergeCell ref="Q89:Q90"/>
    <mergeCell ref="R89:R90"/>
    <mergeCell ref="S89:S90"/>
    <mergeCell ref="D94:D98"/>
    <mergeCell ref="E94:E98"/>
    <mergeCell ref="F94:F98"/>
    <mergeCell ref="G94:G98"/>
    <mergeCell ref="H94:H97"/>
    <mergeCell ref="I94:I97"/>
    <mergeCell ref="J94:J97"/>
    <mergeCell ref="K94:K97"/>
    <mergeCell ref="L94:L96"/>
    <mergeCell ref="M94:M96"/>
    <mergeCell ref="N94:N96"/>
    <mergeCell ref="O94:O96"/>
    <mergeCell ref="P94:P95"/>
    <mergeCell ref="Q94:Q95"/>
    <mergeCell ref="R94:R95"/>
    <mergeCell ref="S94:S95"/>
    <mergeCell ref="D99:D103"/>
    <mergeCell ref="E99:E103"/>
    <mergeCell ref="F99:F103"/>
    <mergeCell ref="G99:G103"/>
    <mergeCell ref="H99:H102"/>
    <mergeCell ref="I99:I102"/>
    <mergeCell ref="J99:J102"/>
    <mergeCell ref="K99:K102"/>
    <mergeCell ref="L99:L101"/>
    <mergeCell ref="M99:M101"/>
    <mergeCell ref="N99:N101"/>
    <mergeCell ref="O99:O101"/>
    <mergeCell ref="P99:P100"/>
    <mergeCell ref="Q99:Q100"/>
    <mergeCell ref="R99:R100"/>
    <mergeCell ref="S99:S100"/>
    <mergeCell ref="D105:D109"/>
    <mergeCell ref="E105:E109"/>
    <mergeCell ref="F105:F109"/>
    <mergeCell ref="G105:G109"/>
    <mergeCell ref="H105:H108"/>
    <mergeCell ref="I105:I108"/>
    <mergeCell ref="J105:J108"/>
    <mergeCell ref="K105:K108"/>
    <mergeCell ref="L105:L107"/>
    <mergeCell ref="M105:M107"/>
    <mergeCell ref="N105:N107"/>
    <mergeCell ref="O105:O107"/>
    <mergeCell ref="P105:P106"/>
    <mergeCell ref="Q105:Q106"/>
    <mergeCell ref="R105:R106"/>
    <mergeCell ref="S105:S106"/>
    <mergeCell ref="D110:D114"/>
    <mergeCell ref="E110:E114"/>
    <mergeCell ref="F110:F114"/>
    <mergeCell ref="G110:G114"/>
    <mergeCell ref="H110:H113"/>
    <mergeCell ref="I110:I113"/>
    <mergeCell ref="J110:J113"/>
    <mergeCell ref="K110:K113"/>
    <mergeCell ref="L110:L112"/>
    <mergeCell ref="M110:M112"/>
    <mergeCell ref="N110:N112"/>
    <mergeCell ref="O110:O112"/>
    <mergeCell ref="P110:P111"/>
    <mergeCell ref="Q110:Q111"/>
    <mergeCell ref="R110:R111"/>
    <mergeCell ref="S110:S111"/>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121:D125"/>
    <mergeCell ref="E121:E125"/>
    <mergeCell ref="F121:F125"/>
    <mergeCell ref="G121:G125"/>
    <mergeCell ref="H121:H124"/>
    <mergeCell ref="I121:I124"/>
    <mergeCell ref="J121:J124"/>
    <mergeCell ref="K121:K124"/>
    <mergeCell ref="L121:L123"/>
    <mergeCell ref="M121:M123"/>
    <mergeCell ref="N121:N123"/>
    <mergeCell ref="O121:O123"/>
    <mergeCell ref="P121:P122"/>
    <mergeCell ref="Q121:Q122"/>
    <mergeCell ref="R121:R122"/>
    <mergeCell ref="S121:S122"/>
    <mergeCell ref="D126:D130"/>
    <mergeCell ref="E126:E130"/>
    <mergeCell ref="F126:F130"/>
    <mergeCell ref="G126:G130"/>
    <mergeCell ref="H126:H129"/>
    <mergeCell ref="I126:I129"/>
    <mergeCell ref="J126:J129"/>
    <mergeCell ref="K126:K129"/>
    <mergeCell ref="L126:L128"/>
    <mergeCell ref="M126:M128"/>
    <mergeCell ref="N126:N128"/>
    <mergeCell ref="O126:O128"/>
    <mergeCell ref="P126:P127"/>
    <mergeCell ref="Q126:Q127"/>
    <mergeCell ref="R126:R127"/>
    <mergeCell ref="S126:S127"/>
    <mergeCell ref="D131:D135"/>
    <mergeCell ref="E131:E135"/>
    <mergeCell ref="F131:F135"/>
    <mergeCell ref="G131:G135"/>
    <mergeCell ref="H131:H134"/>
    <mergeCell ref="I131:I134"/>
    <mergeCell ref="J131:J134"/>
    <mergeCell ref="K131:K134"/>
    <mergeCell ref="L131:L133"/>
    <mergeCell ref="M131:M133"/>
    <mergeCell ref="N131:N133"/>
    <mergeCell ref="O131:O133"/>
    <mergeCell ref="P131:P132"/>
    <mergeCell ref="Q131:Q132"/>
    <mergeCell ref="R131:R132"/>
    <mergeCell ref="S131:S132"/>
  </mergeCells>
  <dataValidations count="2" disablePrompts="0">
    <dataValidation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G105:G119 G121:G135 G79:G103 G13:G67" type="none" allowBlank="1" errorStyle="stop" imeMode="noControl" operator="between" prompt="Выберите виды деятельности, выполнив двойной щелчок левой кнопки мыши по ячейке."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disablePrompts="0">
        <x14:dataValidation xr:uid="{00890063-00E5-4178-9A5F-000100A600E2}" type="textLength" allowBlank="1" error="Допускается ввод не более 900 символов!" errorStyle="stop" errorTitle="Ошибка" imeMode="noControl" operator="lessThanOrEqual" showDropDown="0" showErrorMessage="1" showInputMessage="1">
          <x14:formula1>
            <xm:f>900</xm:f>
          </x14:formula1>
          <xm: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xm:sqref>
        </x14:dataValidation>
        <x14:dataValidation xr:uid="{008900D6-0022-41E5-9C99-003200A400C7}" type="list" allowBlank="1" error="Выберите значение из списка" errorStyle="stop" errorTitle="Ошибка" imeMode="noControl" operator="between"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DropDown="0" showErrorMessage="1" showInputMessage="1">
          <x14:formula1>
            <xm:f>DESCRIPTION_TERRITORY</xm:f>
          </x14:formula1>
          <xm:sqref>N48:N50 N18:N20 N43:N45 N28:N30 N38:N40 N13:N15 N33:N35 N79:N81 N94:N96 N84:N86 N89:N91 N53:N55 N105:N107 N110:N112 N126:N128 N121:N123 N58:N60 N63:N65 N99:N101 N115:N117 N131:N133 N23:N25</xm:sqref>
        </x14:dataValidation>
        <x14:dataValidation xr:uid="{00100008-004D-4FA1-9545-000400A300FE}"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kind_of_tariff_RHEAT</xm:f>
          </x14:formula1>
          <xm:sqref>E18:E22</xm:sqref>
        </x14:dataValidation>
      </x14:dataValidations>
    </ext>
  </extLst>
</worksheet>
</file>

<file path=xl/worksheets/sheet5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2" tint="-0.10000000000000001"/>
    <outlinePr applyStyles="0" summaryBelow="1" summaryRight="1" showOutlineSymbols="1"/>
    <pageSetUpPr autoPageBreaks="1" fitToPage="0"/>
  </sheetPr>
  <sheetViews>
    <sheetView showGridLines="0" zoomScale="90" workbookViewId="0">
      <pane xSplit="8" ySplit="18" topLeftCell="I19" activePane="bottomRight" state="frozen"/>
      <selection activeCell="A1" activeCellId="0" sqref="A1"/>
    </sheetView>
  </sheetViews>
  <sheetFormatPr defaultColWidth="10.57421875" defaultRowHeight="15" customHeight="1"/>
  <cols>
    <col customWidth="1" hidden="1" min="1" max="1" style="56" width="9.140625"/>
    <col customWidth="1" hidden="1" min="2" max="2" style="50" width="9.140625"/>
    <col customWidth="1" min="3" max="3" style="150" width="4.00390625"/>
    <col customWidth="1" min="4" max="4" style="50" width="6.00390625"/>
    <col customWidth="1" min="5" max="5" style="50" width="47.00390625"/>
    <col customWidth="1" min="6" max="6" style="50" width="9.00390625"/>
    <col customWidth="1" hidden="1" min="7" max="7" style="50" width="25.7109375"/>
    <col customWidth="1" hidden="1" min="8" max="8" style="50" width="34.00390625"/>
    <col customWidth="1" min="9" max="9" style="50" width="25.7109375"/>
    <col customWidth="1" min="10" max="10" style="50" width="33.00390625"/>
    <col customWidth="1" min="11" max="11" style="53" width="50.00390625"/>
    <col customWidth="1" min="12" max="20" style="50" width="10.00390625"/>
    <col customWidth="1" min="21" max="21" style="115" width="10.00390625"/>
    <col hidden="1" min="22" max="22" style="50" width="10.57421875"/>
  </cols>
  <sheetData>
    <row r="1" s="53" customFormat="1" ht="22.5" hidden="1" customHeight="1">
      <c r="C1" s="114"/>
      <c r="G1" s="53">
        <v>4</v>
      </c>
      <c r="I1" s="53">
        <v>4</v>
      </c>
      <c r="U1" s="167"/>
      <c r="V1" s="53" t="s">
        <v>14</v>
      </c>
    </row>
    <row r="2" s="50" customFormat="1" ht="15" hidden="1" customHeight="1">
      <c r="A2" s="56"/>
      <c r="C2" s="150"/>
      <c r="D2" s="126"/>
      <c r="E2" s="269"/>
      <c r="F2" s="51"/>
      <c r="G2" s="143"/>
      <c r="H2" s="143"/>
      <c r="I2" s="143"/>
      <c r="J2" s="143"/>
      <c r="U2" s="115"/>
      <c r="V2" s="50">
        <v>0</v>
      </c>
    </row>
    <row r="3" s="53" customFormat="1" ht="15" hidden="1" customHeight="1">
      <c r="C3" s="114"/>
      <c r="U3" s="167"/>
      <c r="V3" s="53">
        <v>0</v>
      </c>
    </row>
    <row r="4" ht="15.75" customHeight="1">
      <c r="C4" s="150"/>
      <c r="D4" s="50"/>
      <c r="E4" s="50"/>
      <c r="F4" s="50"/>
      <c r="G4" s="50"/>
      <c r="H4" s="50"/>
      <c r="I4" s="50"/>
      <c r="J4" s="50"/>
      <c r="V4" s="50">
        <v>15</v>
      </c>
    </row>
    <row r="5" ht="66" customHeight="1">
      <c r="C5" s="150"/>
      <c r="D5" s="453" t="s">
        <v>1187</v>
      </c>
      <c r="E5" s="453"/>
      <c r="F5" s="453"/>
      <c r="G5" s="453"/>
      <c r="H5" s="453"/>
      <c r="I5" s="453"/>
      <c r="J5" s="453"/>
      <c r="V5" s="50">
        <v>63</v>
      </c>
    </row>
    <row r="6" ht="15.75" customHeight="1">
      <c r="C6" s="150"/>
      <c r="D6" s="304" t="str">
        <f>IF(org=0,"Не определено",org)</f>
        <v xml:space="preserve">АО "ДГК" СП "Биробиджанская ТЭЦ"</v>
      </c>
      <c r="E6" s="304"/>
      <c r="F6" s="304"/>
      <c r="G6" s="304"/>
      <c r="H6" s="304"/>
      <c r="I6" s="304"/>
      <c r="J6" s="304"/>
      <c r="K6" s="53"/>
      <c r="V6" s="50">
        <v>15</v>
      </c>
    </row>
    <row r="7" ht="15.75" customHeight="1">
      <c r="C7" s="150"/>
      <c r="D7" s="342"/>
      <c r="E7" s="50"/>
      <c r="F7" s="50"/>
      <c r="G7" s="53">
        <v>22</v>
      </c>
      <c r="I7" s="53">
        <v>1</v>
      </c>
      <c r="J7" s="342"/>
      <c r="V7" s="50">
        <v>15</v>
      </c>
    </row>
    <row r="8" s="50" customFormat="1" ht="1.05" customHeight="1">
      <c r="A8" s="56"/>
      <c r="C8" s="150"/>
      <c r="D8" s="50"/>
      <c r="E8" s="50"/>
      <c r="F8" s="50"/>
      <c r="G8" s="53"/>
      <c r="H8" s="342"/>
      <c r="I8" s="53" t="s">
        <v>113</v>
      </c>
      <c r="J8" s="342"/>
      <c r="K8" s="53"/>
      <c r="U8" s="115"/>
      <c r="V8" s="50">
        <v>1</v>
      </c>
    </row>
    <row r="9" ht="15.75" customHeight="1">
      <c r="C9" s="150"/>
      <c r="D9" s="722"/>
      <c r="E9" s="723" t="s">
        <v>101</v>
      </c>
      <c r="F9" s="724"/>
      <c r="G9" s="879" t="str">
        <f>IF(G8="","",INDEX(DIFFERENTIATION_UNMERGE_VD,MATCH(G8,DIFFERENTIATION_ID_DIFF,0)))</f>
        <v/>
      </c>
      <c r="H9" s="880"/>
      <c r="I9" s="879">
        <f>IF(I8="","",INDEX(DIFFERENTIATION_UNMERGE_VD,MATCH(I8,DIFFERENTIATION_ID_DIFF,0)))</f>
        <v>0</v>
      </c>
      <c r="J9" s="880"/>
      <c r="K9" s="308" t="s">
        <v>295</v>
      </c>
      <c r="V9" s="50">
        <v>15</v>
      </c>
    </row>
    <row r="10" s="50" customFormat="1" ht="15.75" customHeight="1">
      <c r="A10" s="56"/>
      <c r="C10" s="150"/>
      <c r="D10" s="722"/>
      <c r="E10" s="723" t="s">
        <v>558</v>
      </c>
      <c r="F10" s="724"/>
      <c r="G10" s="879" t="str">
        <f>IF(G8="","",INDEX(DIFFERENTIATION_UNMERGE_AREA,MATCH(G8,DIFFERENTIATION_ID_DIFF,0)))</f>
        <v/>
      </c>
      <c r="H10" s="880"/>
      <c r="I10" s="879" t="str">
        <f>IF(I8="","",INDEX(DIFFERENTIATION_UNMERGE_AREA,MATCH(I8,DIFFERENTIATION_ID_DIFF,0)))</f>
        <v/>
      </c>
      <c r="J10" s="880"/>
      <c r="K10" s="307"/>
      <c r="U10" s="115"/>
      <c r="V10" s="50">
        <v>15</v>
      </c>
    </row>
    <row r="11" s="50" customFormat="1" ht="15.75" customHeight="1">
      <c r="A11" s="56"/>
      <c r="C11" s="150"/>
      <c r="D11" s="722"/>
      <c r="E11" s="723" t="s">
        <v>559</v>
      </c>
      <c r="F11" s="724"/>
      <c r="G11" s="879" t="str">
        <f>IF(G8="","",INDEX(DIFFERENTIATION_UNMERGE_SYSTEM,MATCH(G8,DIFFERENTIATION_ID_DIFF,0)))</f>
        <v/>
      </c>
      <c r="H11" s="880"/>
      <c r="I11" s="879" t="str">
        <f>IF(I8="","",INDEX(DIFFERENTIATION_UNMERGE_SYSTEM,MATCH(I8,DIFFERENTIATION_ID_DIFF,0)))</f>
        <v xml:space="preserve">без дифференциации</v>
      </c>
      <c r="J11" s="880"/>
      <c r="K11" s="307"/>
      <c r="U11" s="115"/>
      <c r="V11" s="50">
        <v>15</v>
      </c>
    </row>
    <row r="12" s="50" customFormat="1" ht="15.75" customHeight="1">
      <c r="A12" s="56"/>
      <c r="C12" s="150"/>
      <c r="D12" s="726" t="s">
        <v>294</v>
      </c>
      <c r="E12" s="727"/>
      <c r="F12" s="727"/>
      <c r="G12" s="723"/>
      <c r="H12" s="723"/>
      <c r="I12" s="723"/>
      <c r="J12" s="723"/>
      <c r="K12" s="307"/>
      <c r="U12" s="115"/>
      <c r="V12" s="50">
        <v>15</v>
      </c>
    </row>
    <row r="13" ht="35.649999999999999" customHeight="1">
      <c r="C13" s="150"/>
      <c r="D13" s="158" t="s">
        <v>87</v>
      </c>
      <c r="E13" s="158" t="s">
        <v>296</v>
      </c>
      <c r="F13" s="158" t="s">
        <v>560</v>
      </c>
      <c r="G13" s="73" t="s">
        <v>297</v>
      </c>
      <c r="H13" s="158" t="s">
        <v>384</v>
      </c>
      <c r="I13" s="73" t="s">
        <v>297</v>
      </c>
      <c r="J13" s="158" t="s">
        <v>384</v>
      </c>
      <c r="K13" s="163"/>
      <c r="V13" s="50">
        <v>34</v>
      </c>
    </row>
    <row r="14" ht="15" hidden="1" customHeight="1">
      <c r="C14" s="150"/>
      <c r="D14" s="207" t="s">
        <v>105</v>
      </c>
      <c r="E14" s="207" t="s">
        <v>106</v>
      </c>
      <c r="F14" s="207" t="s">
        <v>89</v>
      </c>
      <c r="G14" s="150" t="str">
        <f>G1&amp;".1"</f>
        <v>4.1</v>
      </c>
      <c r="H14" s="150"/>
      <c r="I14" s="150" t="str">
        <f>I1&amp;".1"</f>
        <v>4.1</v>
      </c>
      <c r="J14" s="150"/>
      <c r="K14" s="486"/>
      <c r="V14" s="50">
        <v>0</v>
      </c>
    </row>
    <row r="15" ht="22.5" hidden="1" customHeight="1">
      <c r="A15" s="50"/>
      <c r="C15" s="129"/>
      <c r="D15" s="158">
        <v>1</v>
      </c>
      <c r="E15" s="314" t="s">
        <v>803</v>
      </c>
      <c r="F15" s="158" t="s">
        <v>804</v>
      </c>
      <c r="G15" s="1076"/>
      <c r="H15" s="1076"/>
      <c r="I15" s="1076"/>
      <c r="J15" s="1076"/>
      <c r="K15" s="486" t="s">
        <v>805</v>
      </c>
      <c r="V15" s="50">
        <v>0</v>
      </c>
    </row>
    <row r="16" ht="22.5" hidden="1" customHeight="1">
      <c r="A16" s="50"/>
      <c r="C16" s="129"/>
      <c r="D16" s="158">
        <v>2</v>
      </c>
      <c r="E16" s="314" t="s">
        <v>806</v>
      </c>
      <c r="F16" s="158" t="s">
        <v>807</v>
      </c>
      <c r="G16" s="1076"/>
      <c r="H16" s="1076"/>
      <c r="I16" s="1076"/>
      <c r="J16" s="1076"/>
      <c r="K16" s="486" t="s">
        <v>808</v>
      </c>
      <c r="V16" s="50">
        <v>0</v>
      </c>
    </row>
    <row r="17" ht="123.75" hidden="1" customHeight="1">
      <c r="A17" s="50"/>
      <c r="C17" s="129"/>
      <c r="D17" s="158">
        <v>3</v>
      </c>
      <c r="E17" s="314" t="s">
        <v>1188</v>
      </c>
      <c r="F17" s="158" t="s">
        <v>300</v>
      </c>
      <c r="G17" s="1076"/>
      <c r="H17" s="1076"/>
      <c r="I17" s="1076"/>
      <c r="J17" s="1076"/>
      <c r="K17" s="486" t="s">
        <v>1189</v>
      </c>
      <c r="V17" s="50">
        <v>0</v>
      </c>
    </row>
    <row r="18" ht="48.25" customHeight="1">
      <c r="A18" s="50"/>
      <c r="C18" s="129"/>
      <c r="D18" s="158">
        <v>3</v>
      </c>
      <c r="E18" s="314" t="s">
        <v>809</v>
      </c>
      <c r="F18" s="158" t="s">
        <v>300</v>
      </c>
      <c r="G18" s="158" t="s">
        <v>300</v>
      </c>
      <c r="H18" s="308" t="s">
        <v>300</v>
      </c>
      <c r="I18" s="158" t="s">
        <v>300</v>
      </c>
      <c r="J18" s="308" t="s">
        <v>300</v>
      </c>
      <c r="K18" s="486" t="s">
        <v>1190</v>
      </c>
      <c r="V18" s="50">
        <v>46</v>
      </c>
    </row>
    <row r="19" ht="35.649999999999999" customHeight="1">
      <c r="A19" s="50"/>
      <c r="C19" s="129"/>
      <c r="D19" s="219" t="s">
        <v>318</v>
      </c>
      <c r="E19" s="674" t="s">
        <v>811</v>
      </c>
      <c r="F19" s="158" t="s">
        <v>812</v>
      </c>
      <c r="G19" s="847"/>
      <c r="H19" s="388"/>
      <c r="I19" s="847"/>
      <c r="J19" s="759"/>
      <c r="K19" s="883"/>
      <c r="V19" s="50">
        <v>34</v>
      </c>
    </row>
    <row r="20" ht="35.649999999999999" customHeight="1">
      <c r="A20" s="50"/>
      <c r="C20" s="129"/>
      <c r="D20" s="219" t="s">
        <v>326</v>
      </c>
      <c r="E20" s="674" t="s">
        <v>813</v>
      </c>
      <c r="F20" s="158" t="s">
        <v>814</v>
      </c>
      <c r="G20" s="847"/>
      <c r="H20" s="388"/>
      <c r="I20" s="847"/>
      <c r="J20" s="388"/>
      <c r="K20" s="883"/>
      <c r="V20" s="50">
        <v>34</v>
      </c>
    </row>
    <row r="21" ht="48.25" customHeight="1">
      <c r="A21" s="50"/>
      <c r="C21" s="129"/>
      <c r="D21" s="219" t="s">
        <v>328</v>
      </c>
      <c r="E21" s="674" t="s">
        <v>815</v>
      </c>
      <c r="F21" s="158" t="s">
        <v>565</v>
      </c>
      <c r="G21" s="848"/>
      <c r="H21" s="388"/>
      <c r="I21" s="848"/>
      <c r="J21" s="388"/>
      <c r="K21" s="883"/>
      <c r="V21" s="50">
        <v>46</v>
      </c>
    </row>
    <row r="22" ht="67.5" hidden="1" customHeight="1">
      <c r="A22" s="50"/>
      <c r="C22" s="129"/>
      <c r="D22" s="158">
        <v>5</v>
      </c>
      <c r="E22" s="314" t="s">
        <v>1191</v>
      </c>
      <c r="F22" s="158" t="s">
        <v>552</v>
      </c>
      <c r="G22" s="1077"/>
      <c r="H22" s="686"/>
      <c r="I22" s="1077"/>
      <c r="J22" s="686"/>
      <c r="K22" s="486" t="s">
        <v>1192</v>
      </c>
      <c r="V22" s="50">
        <v>0</v>
      </c>
    </row>
    <row r="23" ht="33.75" hidden="1" customHeight="1">
      <c r="C23" s="129"/>
      <c r="D23" s="158">
        <v>6</v>
      </c>
      <c r="E23" s="314" t="s">
        <v>1193</v>
      </c>
      <c r="F23" s="158" t="s">
        <v>1194</v>
      </c>
      <c r="G23" s="1077"/>
      <c r="H23" s="1077"/>
      <c r="I23" s="1077"/>
      <c r="J23" s="1077"/>
      <c r="K23" s="486" t="s">
        <v>1195</v>
      </c>
      <c r="V23" s="50">
        <v>0</v>
      </c>
    </row>
    <row r="24" ht="15.75" customHeight="1">
      <c r="V24" s="50">
        <v>15</v>
      </c>
    </row>
    <row r="25" ht="15.75" customHeight="1">
      <c r="V25" s="50">
        <v>15</v>
      </c>
    </row>
    <row r="26" ht="15.75" customHeight="1">
      <c r="V26" s="50">
        <v>15</v>
      </c>
    </row>
    <row r="27" ht="15.75" customHeight="1">
      <c r="V27" s="50">
        <v>15</v>
      </c>
    </row>
    <row r="28" ht="15.75" customHeight="1">
      <c r="V28" s="50">
        <v>15</v>
      </c>
    </row>
    <row r="29" ht="15.75" customHeight="1">
      <c r="J29" s="1078"/>
      <c r="V29" s="50">
        <v>15</v>
      </c>
    </row>
    <row r="30" ht="22.5" hidden="1" customHeight="1">
      <c r="A30" s="56" t="s">
        <v>81</v>
      </c>
      <c r="B30" s="50">
        <v>0</v>
      </c>
      <c r="C30" s="150">
        <v>4</v>
      </c>
      <c r="D30" s="50">
        <v>6</v>
      </c>
      <c r="E30" s="50">
        <v>47</v>
      </c>
      <c r="F30" s="50">
        <v>9</v>
      </c>
      <c r="G30" s="50">
        <v>0</v>
      </c>
      <c r="H30" s="50">
        <v>0</v>
      </c>
      <c r="I30" s="50">
        <v>25</v>
      </c>
      <c r="J30" s="50">
        <v>33</v>
      </c>
      <c r="K30" s="53">
        <v>50</v>
      </c>
      <c r="L30" s="50">
        <v>10</v>
      </c>
      <c r="M30" s="50">
        <v>10</v>
      </c>
      <c r="N30" s="50">
        <v>10</v>
      </c>
      <c r="O30" s="50">
        <v>10</v>
      </c>
      <c r="P30" s="50">
        <v>10</v>
      </c>
      <c r="Q30" s="50">
        <v>10</v>
      </c>
      <c r="R30" s="50">
        <v>10</v>
      </c>
      <c r="S30" s="50">
        <v>10</v>
      </c>
      <c r="T30" s="50">
        <v>10</v>
      </c>
      <c r="U30" s="115">
        <v>10</v>
      </c>
      <c r="V30" s="50">
        <v>23</v>
      </c>
    </row>
  </sheetData>
  <sheetProtection autoFilter="0" deleteColumns="1" deleteRows="1" formatCells="1" formatColumns="0" formatRows="0" insertColumns="1" insertHyperlinks="1" insertRows="1" objects="0" pivotTables="1" scenarios="0" selectLockedCells="0" selectUnlockedCells="0" sheet="1" sort="1"/>
  <mergeCells count="13">
    <mergeCell ref="D5:J5"/>
    <mergeCell ref="D6:J6"/>
    <mergeCell ref="E9:F9"/>
    <mergeCell ref="G9:H9"/>
    <mergeCell ref="I9:J9"/>
    <mergeCell ref="K9:K13"/>
    <mergeCell ref="E10:F10"/>
    <mergeCell ref="G10:H10"/>
    <mergeCell ref="I10:J10"/>
    <mergeCell ref="E11:F11"/>
    <mergeCell ref="G11:H11"/>
    <mergeCell ref="I11:J11"/>
    <mergeCell ref="D12:F12"/>
  </mergeCells>
  <dataValidations count="1" disablePrompts="0">
    <dataValidation sqref="E15 E13" type="none" allowBlank="1" errorStyle="stop" imeMode="noControl" operator="between" prompt="Количество поданных заявок на подключение (технологическое присоединение) к системе теплоснабжения в течение квартала, шт."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disablePrompts="0">
        <x14:dataValidation xr:uid="{003A00FD-002F-4F06-9FBB-00A400BB00DD}" type="textLength" allowBlank="1" error="Допускается ввод не более 900 символов!" errorStyle="stop" errorTitle="Ошибка" imeMode="noControl" operator="lessThanOrEqual" showDropDown="0" showErrorMessage="1" showInputMessage="1">
          <x14:formula1>
            <xm:f>900</xm:f>
          </x14:formula1>
          <xm:sqref>H19:H21 J19:J21</xm:sqref>
        </x14:dataValidation>
        <x14:dataValidation xr:uid="{003B002A-0022-4D1E-8F91-002C0051004E}"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G19:G20 I19:I20</xm:sqref>
        </x14:dataValidation>
        <x14:dataValidation xr:uid="{008100CB-000C-4AC0-BD54-00F600E500B9}"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G21 I21</xm:sqref>
        </x14:dataValidation>
      </x14:dataValidations>
    </ext>
  </extLst>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1.25" customHeight="1"/>
  <cols>
    <col customWidth="1" min="1" max="1" style="1027" width="32.57421875"/>
    <col customWidth="1" min="2" max="2" style="63" width="11.00390625"/>
    <col min="3" max="3" style="63" width="9.140625"/>
    <col customWidth="1" min="4" max="4" style="63" width="26.57421875"/>
    <col customWidth="1" min="5" max="5" style="144" width="36.8515625"/>
    <col customWidth="1" min="6" max="6" style="144" width="23.57421875"/>
    <col customWidth="1" min="7" max="7" style="144" width="31.421875"/>
    <col customWidth="1" min="8" max="8" style="144" width="40.8515625"/>
    <col customWidth="1" min="9" max="9" style="144" width="14.57421875"/>
    <col customWidth="1" min="10" max="10" style="144" width="26.8515625"/>
    <col customWidth="1" min="11" max="11" style="144" width="50.00390625"/>
    <col customWidth="1" min="12" max="12" style="144" width="52.421875"/>
    <col customWidth="1" min="13" max="13" style="144" width="10.7109375"/>
    <col customWidth="1" min="14" max="14" style="144" width="55.140625"/>
    <col customWidth="1" min="15" max="15" style="144" width="31.8515625"/>
    <col customWidth="1" min="16" max="16" style="144" width="23.8515625"/>
    <col customWidth="1" min="17" max="17" style="144" width="46.57421875"/>
    <col customWidth="1" min="18" max="18" style="144" width="24.00390625"/>
    <col customWidth="1" min="19" max="19" style="144" width="20.57421875"/>
    <col customWidth="1" min="20" max="20" style="144" width="22.00390625"/>
    <col customWidth="1" min="21" max="22" style="144" width="26.421875"/>
    <col customWidth="1" hidden="1" min="23" max="23" style="144" width="8.28125"/>
    <col customWidth="1" min="24" max="24" style="144" width="59.7109375"/>
    <col customWidth="1" min="25" max="25" style="144" width="49.140625"/>
    <col customWidth="1" min="26" max="26" style="144" width="11.140625"/>
    <col customWidth="1" min="27" max="30" style="144" width="29.00390625"/>
    <col min="31" max="31" style="144" width="9.140625"/>
    <col customWidth="1" min="32" max="32" style="144" width="34.7109375"/>
    <col min="33" max="33" style="144" width="9.140625"/>
    <col customWidth="1" min="34" max="35" style="144" width="34.421875"/>
    <col min="36" max="36" style="144" width="9.140625"/>
    <col customWidth="1" min="37" max="37" style="144" width="24.57421875"/>
    <col min="38" max="38" style="144" width="9.140625"/>
    <col customWidth="1" min="39" max="39" style="144" width="26.140625"/>
    <col customWidth="1" min="40" max="40" style="144" width="1.7109375"/>
    <col min="41" max="41" style="144" width="9.140625"/>
    <col customWidth="1" min="42" max="43" style="144" width="47.8515625"/>
    <col customWidth="1" min="44" max="44" style="144" width="1.7109375"/>
    <col customWidth="1" min="45" max="45" style="144" width="21.421875"/>
    <col customWidth="1" min="46" max="46" style="144" width="1.7109375"/>
    <col customWidth="1" min="47" max="47" style="144" width="31.28125"/>
    <col customWidth="1" min="48" max="48" style="144" width="1.7109375"/>
    <col min="49" max="50" style="144" width="9.140625"/>
    <col customWidth="1" min="51" max="51" style="144" width="3.7109375"/>
    <col customWidth="1" min="52" max="52" style="144" width="60.8515625"/>
    <col customWidth="1" min="53" max="53" style="144" width="49.28125"/>
    <col customWidth="1" min="54" max="54" style="144" width="35.140625"/>
    <col min="55" max="55" style="144" width="9.140625"/>
    <col customWidth="1" min="56" max="56" style="144" width="1.7109375"/>
    <col customWidth="1" min="57" max="57" style="1079" width="12.57421875"/>
    <col customWidth="1" min="58" max="58" style="1079" width="14.28125"/>
    <col customWidth="1" min="59" max="59" style="144" width="30.7109375"/>
    <col customWidth="1" min="60" max="60" style="254" width="40.7109375"/>
    <col customWidth="1" min="61" max="61" style="254" width="15.00390625"/>
    <col customWidth="1" min="62" max="62" style="254" width="40.7109375"/>
    <col customWidth="1" min="63" max="63" style="254" width="2.7109375"/>
    <col customWidth="1" min="64" max="64" style="254" width="44.7109375"/>
    <col customWidth="1" min="65" max="65" style="254" width="2.7109375"/>
    <col customWidth="1" min="66" max="66" style="254" width="40.7109375"/>
    <col min="67" max="68" style="144" width="9.140625"/>
    <col customWidth="1" min="69" max="69" style="144" width="18.140625"/>
    <col customWidth="1" min="70" max="70" style="144" width="57.8515625"/>
    <col customWidth="1" min="71" max="71" style="144" width="1.7109375"/>
    <col customWidth="1" min="72" max="72" style="144" width="22.57421875"/>
    <col customWidth="1" min="73" max="73" style="144" width="57.8515625"/>
    <col customWidth="1" min="74" max="74" style="144" width="1.7109375"/>
    <col customWidth="1" min="75" max="75" style="144" width="22.57421875"/>
    <col customWidth="1" min="76" max="76" style="144" width="57.8515625"/>
    <col customWidth="1" min="77" max="77" style="144" width="1.7109375"/>
    <col customWidth="1" min="78" max="78" style="144" width="22.57421875"/>
    <col customWidth="1" min="79" max="79" style="144" width="57.8515625"/>
    <col min="80" max="81" style="144" width="9.140625"/>
    <col customWidth="1" min="82" max="82" style="144" width="49.57421875"/>
  </cols>
  <sheetData>
    <row r="1" s="1080" customFormat="1" ht="11.25" customHeight="1">
      <c r="A1" s="1081" t="s">
        <v>1196</v>
      </c>
      <c r="B1" s="1081" t="s">
        <v>1197</v>
      </c>
      <c r="C1" s="1081" t="s">
        <v>1198</v>
      </c>
      <c r="D1" s="1081" t="s">
        <v>1199</v>
      </c>
      <c r="E1" s="1081" t="s">
        <v>1200</v>
      </c>
      <c r="F1" s="1081" t="s">
        <v>1201</v>
      </c>
      <c r="G1" s="1081" t="s">
        <v>1202</v>
      </c>
      <c r="H1" s="1081" t="s">
        <v>1203</v>
      </c>
      <c r="I1" s="1081" t="s">
        <v>1204</v>
      </c>
      <c r="J1" s="1081" t="s">
        <v>1205</v>
      </c>
      <c r="K1" s="1081" t="s">
        <v>1206</v>
      </c>
      <c r="L1" s="1081" t="s">
        <v>1207</v>
      </c>
      <c r="M1" s="1081"/>
      <c r="N1" s="1081" t="s">
        <v>1208</v>
      </c>
      <c r="O1" s="1081" t="s">
        <v>1209</v>
      </c>
      <c r="P1" s="1081" t="s">
        <v>1210</v>
      </c>
      <c r="Q1" s="1081" t="s">
        <v>1211</v>
      </c>
      <c r="R1" s="1081" t="s">
        <v>1212</v>
      </c>
      <c r="S1" s="1081" t="s">
        <v>1213</v>
      </c>
      <c r="T1" s="1081" t="s">
        <v>1214</v>
      </c>
      <c r="U1" s="1081" t="s">
        <v>1215</v>
      </c>
      <c r="V1" s="1081"/>
      <c r="W1" s="1082" t="s">
        <v>1216</v>
      </c>
      <c r="X1" s="1081" t="s">
        <v>1217</v>
      </c>
      <c r="Y1" s="1081" t="s">
        <v>1218</v>
      </c>
      <c r="Z1" s="1081"/>
      <c r="AA1" s="1081" t="s">
        <v>1219</v>
      </c>
      <c r="AB1" s="1081"/>
      <c r="AC1" s="1081" t="s">
        <v>1220</v>
      </c>
      <c r="AD1" s="1081"/>
      <c r="AF1" s="1081" t="s">
        <v>1221</v>
      </c>
      <c r="AH1" s="1081" t="s">
        <v>1222</v>
      </c>
      <c r="AI1" s="1081" t="s">
        <v>1223</v>
      </c>
      <c r="AK1" s="1081" t="s">
        <v>1224</v>
      </c>
      <c r="AM1" s="1081" t="s">
        <v>1225</v>
      </c>
      <c r="AP1" s="1081" t="s">
        <v>1226</v>
      </c>
      <c r="AQ1" s="1081" t="s">
        <v>1227</v>
      </c>
      <c r="AS1" s="1081" t="s">
        <v>1228</v>
      </c>
      <c r="AU1" s="1081" t="s">
        <v>1229</v>
      </c>
      <c r="AW1" s="1081" t="s">
        <v>1230</v>
      </c>
      <c r="AX1" s="1081" t="s">
        <v>1231</v>
      </c>
      <c r="AZ1" s="1083" t="s">
        <v>1232</v>
      </c>
      <c r="BB1" s="1081" t="s">
        <v>1233</v>
      </c>
      <c r="BC1" s="1081"/>
      <c r="BE1" s="1081" t="s">
        <v>1234</v>
      </c>
      <c r="BF1" s="1081" t="s">
        <v>1235</v>
      </c>
      <c r="BH1" s="1084" t="s">
        <v>802</v>
      </c>
      <c r="BI1" s="254"/>
      <c r="BJ1" s="1085" t="s">
        <v>1236</v>
      </c>
      <c r="BK1" s="254"/>
      <c r="BL1" s="1086" t="s">
        <v>901</v>
      </c>
      <c r="BM1" s="254"/>
      <c r="BN1" s="1087" t="s">
        <v>1237</v>
      </c>
      <c r="BS1" s="1080"/>
    </row>
    <row r="2" ht="11.25" customHeight="1">
      <c r="A2" s="144" t="s">
        <v>1238</v>
      </c>
      <c r="B2" s="1088">
        <v>2000</v>
      </c>
      <c r="C2" s="1088">
        <v>2022</v>
      </c>
      <c r="D2" s="1088" t="s">
        <v>64</v>
      </c>
      <c r="E2" s="1089" t="s">
        <v>1239</v>
      </c>
      <c r="F2" s="1089" t="s">
        <v>1240</v>
      </c>
      <c r="G2" s="1089" t="s">
        <v>1241</v>
      </c>
      <c r="H2" s="1089" t="s">
        <v>53</v>
      </c>
      <c r="I2" s="1089" t="s">
        <v>105</v>
      </c>
      <c r="J2" s="1089" t="s">
        <v>1242</v>
      </c>
      <c r="K2" s="1090" t="s">
        <v>1243</v>
      </c>
      <c r="L2" s="1090"/>
      <c r="M2" s="1090">
        <v>1</v>
      </c>
      <c r="N2" s="1091" t="s">
        <v>1244</v>
      </c>
      <c r="O2" s="1089" t="s">
        <v>1245</v>
      </c>
      <c r="P2" s="1092" t="s">
        <v>37</v>
      </c>
      <c r="Q2" s="1093" t="s">
        <v>1246</v>
      </c>
      <c r="R2" s="1094" t="s">
        <v>1247</v>
      </c>
      <c r="S2" s="1094" t="s">
        <v>1248</v>
      </c>
      <c r="T2" s="1095" t="s">
        <v>1249</v>
      </c>
      <c r="U2" s="1090" t="s">
        <v>1250</v>
      </c>
      <c r="V2" s="1096">
        <v>1</v>
      </c>
      <c r="W2" s="1097"/>
      <c r="X2" s="1097" t="s">
        <v>1251</v>
      </c>
      <c r="Y2" s="1088" t="s">
        <v>1252</v>
      </c>
      <c r="Z2" s="1098"/>
      <c r="AA2" s="1088" t="s">
        <v>1253</v>
      </c>
      <c r="AB2" s="1099" t="s">
        <v>1253</v>
      </c>
      <c r="AC2" s="1088" t="s">
        <v>1254</v>
      </c>
      <c r="AD2" s="1099" t="s">
        <v>1254</v>
      </c>
      <c r="AF2" s="1089" t="s">
        <v>1250</v>
      </c>
      <c r="AH2" s="1089" t="s">
        <v>1255</v>
      </c>
      <c r="AI2" s="1089" t="s">
        <v>1255</v>
      </c>
      <c r="AK2" s="1089" t="s">
        <v>1256</v>
      </c>
      <c r="AM2" s="1089" t="s">
        <v>1257</v>
      </c>
      <c r="AP2" s="784" t="s">
        <v>1251</v>
      </c>
      <c r="AQ2" s="1100" t="s">
        <v>1251</v>
      </c>
      <c r="AS2" s="1088" t="s">
        <v>1258</v>
      </c>
      <c r="AU2" s="1101" t="s">
        <v>1259</v>
      </c>
      <c r="AW2" s="1101" t="s">
        <v>1260</v>
      </c>
      <c r="AX2" s="1101" t="s">
        <v>1260</v>
      </c>
      <c r="AZ2" s="1101" t="s">
        <v>1261</v>
      </c>
      <c r="BB2" s="1101" t="s">
        <v>1262</v>
      </c>
      <c r="BC2" s="1101" t="s">
        <v>1263</v>
      </c>
      <c r="BE2" s="1101">
        <v>2000</v>
      </c>
      <c r="BF2" s="1101" t="s">
        <v>1264</v>
      </c>
    </row>
    <row r="3" ht="11.25" customHeight="1">
      <c r="A3" s="144" t="s">
        <v>1265</v>
      </c>
      <c r="B3" s="1088">
        <v>2001</v>
      </c>
      <c r="C3" s="1088">
        <v>2023</v>
      </c>
      <c r="D3" s="1088" t="s">
        <v>19</v>
      </c>
      <c r="E3" s="1089" t="s">
        <v>1266</v>
      </c>
      <c r="F3" s="1089" t="s">
        <v>1267</v>
      </c>
      <c r="G3" s="1089" t="s">
        <v>1268</v>
      </c>
      <c r="H3" s="1089" t="s">
        <v>1269</v>
      </c>
      <c r="I3" s="1089" t="s">
        <v>106</v>
      </c>
      <c r="J3" s="1089" t="s">
        <v>550</v>
      </c>
      <c r="K3" s="1090" t="s">
        <v>1270</v>
      </c>
      <c r="L3" s="1090">
        <f t="shared" ref="L3:L5" si="54">_xlfn.IFERROR(MATCH(K3,OFFER_METHOD,0),0)</f>
        <v>0</v>
      </c>
      <c r="M3" s="1090">
        <v>2</v>
      </c>
      <c r="N3" s="1091" t="s">
        <v>1271</v>
      </c>
      <c r="O3" s="1089" t="s">
        <v>1272</v>
      </c>
      <c r="P3" s="1092" t="s">
        <v>1273</v>
      </c>
      <c r="Q3" s="1093" t="s">
        <v>1274</v>
      </c>
      <c r="R3" s="1094" t="s">
        <v>1275</v>
      </c>
      <c r="S3" s="1094" t="s">
        <v>1276</v>
      </c>
      <c r="T3" s="1095" t="s">
        <v>1277</v>
      </c>
      <c r="U3" s="1090" t="s">
        <v>1278</v>
      </c>
      <c r="V3" s="1096">
        <v>2</v>
      </c>
      <c r="W3" s="1097"/>
      <c r="X3" s="1097" t="s">
        <v>1279</v>
      </c>
      <c r="Y3" s="1088" t="s">
        <v>1252</v>
      </c>
      <c r="Z3" s="1098"/>
      <c r="AA3" s="1088" t="s">
        <v>1280</v>
      </c>
      <c r="AB3" s="1099" t="s">
        <v>1280</v>
      </c>
      <c r="AC3" s="1088" t="s">
        <v>1281</v>
      </c>
      <c r="AD3" s="1099" t="s">
        <v>1281</v>
      </c>
      <c r="AF3" s="1089" t="s">
        <v>1278</v>
      </c>
      <c r="AH3" s="1089" t="s">
        <v>1282</v>
      </c>
      <c r="AI3" s="1089" t="s">
        <v>1283</v>
      </c>
      <c r="AK3" s="1089" t="s">
        <v>1284</v>
      </c>
      <c r="AM3" s="1089" t="s">
        <v>1285</v>
      </c>
      <c r="AP3" s="784" t="s">
        <v>1286</v>
      </c>
      <c r="AQ3" s="1100" t="s">
        <v>1286</v>
      </c>
      <c r="AS3" s="1088" t="s">
        <v>1287</v>
      </c>
      <c r="AU3" s="1101" t="s">
        <v>1288</v>
      </c>
      <c r="AW3" s="1101" t="s">
        <v>1289</v>
      </c>
      <c r="AX3" s="1101" t="s">
        <v>1289</v>
      </c>
      <c r="AZ3" s="1101" t="s">
        <v>1290</v>
      </c>
      <c r="BB3" s="1101" t="s">
        <v>1291</v>
      </c>
      <c r="BC3" s="1101" t="s">
        <v>1263</v>
      </c>
      <c r="BE3" s="1101">
        <v>2001</v>
      </c>
      <c r="BF3" s="1101" t="s">
        <v>1292</v>
      </c>
      <c r="BH3" s="1081" t="s">
        <v>1293</v>
      </c>
      <c r="BJ3" s="1081" t="s">
        <v>1294</v>
      </c>
      <c r="BL3" s="1081" t="s">
        <v>1295</v>
      </c>
      <c r="BN3" s="1081" t="s">
        <v>1296</v>
      </c>
      <c r="BR3" s="1081" t="s">
        <v>1297</v>
      </c>
      <c r="BS3" s="1102"/>
      <c r="BT3" s="254"/>
      <c r="BU3" s="1081" t="s">
        <v>1298</v>
      </c>
      <c r="BV3" s="254"/>
      <c r="BW3" s="63"/>
      <c r="BX3" s="1081" t="s">
        <v>1299</v>
      </c>
      <c r="CA3" s="1081" t="s">
        <v>1300</v>
      </c>
    </row>
    <row r="4" ht="11.25" customHeight="1">
      <c r="A4" s="144" t="s">
        <v>1301</v>
      </c>
      <c r="B4" s="1088">
        <v>2002</v>
      </c>
      <c r="C4" s="1088">
        <v>2024</v>
      </c>
      <c r="E4" s="1089" t="s">
        <v>1302</v>
      </c>
      <c r="F4" s="1089" t="s">
        <v>1303</v>
      </c>
      <c r="H4" s="1089" t="s">
        <v>1304</v>
      </c>
      <c r="I4" s="1089" t="s">
        <v>89</v>
      </c>
      <c r="J4" s="1089" t="s">
        <v>1305</v>
      </c>
      <c r="K4" s="1090" t="s">
        <v>1306</v>
      </c>
      <c r="L4" s="1090">
        <f t="shared" si="54"/>
        <v>0</v>
      </c>
      <c r="M4" s="1090">
        <v>3</v>
      </c>
      <c r="N4" s="1091" t="s">
        <v>1307</v>
      </c>
      <c r="O4" s="1089" t="s">
        <v>1308</v>
      </c>
      <c r="Q4" s="1093" t="s">
        <v>1309</v>
      </c>
      <c r="R4" s="1094" t="s">
        <v>1310</v>
      </c>
      <c r="S4" s="1094" t="s">
        <v>1311</v>
      </c>
      <c r="T4" s="1095" t="s">
        <v>1312</v>
      </c>
      <c r="U4" s="1090" t="s">
        <v>1313</v>
      </c>
      <c r="V4" s="1096">
        <v>3</v>
      </c>
      <c r="W4" s="1097"/>
      <c r="X4" s="1097" t="s">
        <v>1314</v>
      </c>
      <c r="Y4" s="1088" t="s">
        <v>1252</v>
      </c>
      <c r="Z4" s="107"/>
      <c r="AC4" s="1088" t="s">
        <v>1315</v>
      </c>
      <c r="AD4" s="1099" t="s">
        <v>1315</v>
      </c>
      <c r="AF4" s="1089" t="s">
        <v>1313</v>
      </c>
      <c r="AH4" s="1089" t="s">
        <v>1316</v>
      </c>
      <c r="AK4" s="1089" t="s">
        <v>1317</v>
      </c>
      <c r="AM4" s="1089" t="s">
        <v>1318</v>
      </c>
      <c r="AP4" s="784" t="s">
        <v>1279</v>
      </c>
      <c r="AQ4" s="1100" t="s">
        <v>1279</v>
      </c>
      <c r="AS4" s="1088" t="s">
        <v>1319</v>
      </c>
      <c r="AU4" s="1101" t="s">
        <v>1320</v>
      </c>
      <c r="AW4" s="1101" t="s">
        <v>1321</v>
      </c>
      <c r="AX4" s="1101" t="s">
        <v>1321</v>
      </c>
      <c r="AZ4" s="1101" t="s">
        <v>1322</v>
      </c>
      <c r="BB4" s="1101" t="s">
        <v>1323</v>
      </c>
      <c r="BC4" s="1101" t="s">
        <v>1324</v>
      </c>
      <c r="BE4" s="1101">
        <v>2002</v>
      </c>
      <c r="BF4" s="1101" t="s">
        <v>1325</v>
      </c>
      <c r="BH4" s="1103" t="s">
        <v>1326</v>
      </c>
      <c r="BJ4" s="1103" t="s">
        <v>1326</v>
      </c>
      <c r="BL4" s="1103" t="s">
        <v>1326</v>
      </c>
      <c r="BN4" s="1103" t="s">
        <v>1326</v>
      </c>
      <c r="BQ4" s="1104" t="s">
        <v>1327</v>
      </c>
      <c r="BR4" s="784" t="s">
        <v>1328</v>
      </c>
      <c r="BS4" s="784"/>
      <c r="BT4" s="1104" t="s">
        <v>1329</v>
      </c>
      <c r="BU4" s="784" t="s">
        <v>1330</v>
      </c>
      <c r="BV4" s="254"/>
      <c r="BW4" s="1104" t="s">
        <v>1331</v>
      </c>
      <c r="BX4" s="784" t="s">
        <v>1332</v>
      </c>
      <c r="BZ4" s="1104" t="s">
        <v>1333</v>
      </c>
      <c r="CA4" s="784" t="s">
        <v>1334</v>
      </c>
    </row>
    <row r="5" ht="11.25" customHeight="1">
      <c r="A5" s="144" t="s">
        <v>1335</v>
      </c>
      <c r="B5" s="1088">
        <v>2003</v>
      </c>
      <c r="C5" s="1088">
        <v>2025</v>
      </c>
      <c r="E5" s="1089" t="s">
        <v>1336</v>
      </c>
      <c r="F5" s="1089" t="s">
        <v>1337</v>
      </c>
      <c r="H5" s="1089" t="s">
        <v>1338</v>
      </c>
      <c r="I5" s="1089" t="s">
        <v>90</v>
      </c>
      <c r="K5" s="1090" t="s">
        <v>1339</v>
      </c>
      <c r="L5" s="1090">
        <f t="shared" si="54"/>
        <v>0</v>
      </c>
      <c r="M5" s="1090">
        <v>4</v>
      </c>
      <c r="N5" s="1105" t="s">
        <v>1340</v>
      </c>
      <c r="O5" s="1089" t="s">
        <v>1341</v>
      </c>
      <c r="Q5" s="1093" t="s">
        <v>1342</v>
      </c>
      <c r="R5" s="1094" t="s">
        <v>1343</v>
      </c>
      <c r="T5" s="1089" t="s">
        <v>1344</v>
      </c>
      <c r="U5" s="1090" t="s">
        <v>1345</v>
      </c>
      <c r="V5" s="1096">
        <v>4</v>
      </c>
      <c r="W5" s="1097"/>
      <c r="X5" s="1097" t="s">
        <v>162</v>
      </c>
      <c r="Y5" s="1088" t="s">
        <v>1346</v>
      </c>
      <c r="Z5" s="107">
        <v>1</v>
      </c>
      <c r="AF5" s="1089" t="s">
        <v>1347</v>
      </c>
      <c r="AH5" s="1089" t="s">
        <v>1348</v>
      </c>
      <c r="AK5" s="1089" t="s">
        <v>1349</v>
      </c>
      <c r="AM5" s="1089" t="s">
        <v>1350</v>
      </c>
      <c r="AP5" s="784" t="s">
        <v>162</v>
      </c>
      <c r="AQ5" s="1100" t="s">
        <v>162</v>
      </c>
      <c r="AU5" s="1101" t="s">
        <v>1351</v>
      </c>
      <c r="AW5" s="1101" t="s">
        <v>1352</v>
      </c>
      <c r="AX5" s="1101" t="s">
        <v>1352</v>
      </c>
      <c r="AZ5" s="1101" t="s">
        <v>1353</v>
      </c>
      <c r="BB5" s="1101" t="s">
        <v>1354</v>
      </c>
      <c r="BC5" s="1101" t="s">
        <v>1355</v>
      </c>
      <c r="BE5" s="1101">
        <v>2003</v>
      </c>
      <c r="BF5" s="1101" t="s">
        <v>1356</v>
      </c>
      <c r="BH5" s="1103" t="s">
        <v>1357</v>
      </c>
      <c r="BJ5" s="1103" t="s">
        <v>1357</v>
      </c>
      <c r="BL5" s="1103" t="s">
        <v>1357</v>
      </c>
      <c r="BN5" s="1103" t="s">
        <v>1358</v>
      </c>
      <c r="BQ5" s="1101">
        <v>4213775</v>
      </c>
      <c r="BR5" s="1103" t="s">
        <v>1251</v>
      </c>
      <c r="BS5" s="1106"/>
      <c r="BT5" s="1101">
        <v>64236871</v>
      </c>
      <c r="BU5" s="1103" t="s">
        <v>223</v>
      </c>
      <c r="BV5" s="254"/>
      <c r="BW5" s="1101">
        <v>4213767</v>
      </c>
      <c r="BX5" s="1103" t="s">
        <v>1359</v>
      </c>
      <c r="BZ5" s="1101">
        <v>64237509</v>
      </c>
      <c r="CA5" s="1107" t="s">
        <v>1360</v>
      </c>
    </row>
    <row r="6" ht="11.25" customHeight="1">
      <c r="A6" s="144" t="s">
        <v>1361</v>
      </c>
      <c r="B6" s="1088">
        <v>2004</v>
      </c>
      <c r="C6" s="1088">
        <v>2026</v>
      </c>
      <c r="E6" s="1089" t="s">
        <v>1362</v>
      </c>
      <c r="F6" s="185"/>
      <c r="H6" s="1089" t="s">
        <v>1363</v>
      </c>
      <c r="I6" s="1089" t="s">
        <v>107</v>
      </c>
      <c r="J6" s="1081" t="s">
        <v>1364</v>
      </c>
      <c r="L6" s="1090">
        <f>SUM(kind_of_control_method_filter)</f>
        <v>0</v>
      </c>
      <c r="N6" s="1105" t="s">
        <v>1365</v>
      </c>
      <c r="O6" s="1089" t="s">
        <v>1366</v>
      </c>
      <c r="R6" s="1094" t="s">
        <v>1246</v>
      </c>
      <c r="T6" s="1089" t="s">
        <v>1367</v>
      </c>
      <c r="U6" s="1090" t="s">
        <v>1347</v>
      </c>
      <c r="V6" s="1096">
        <v>5</v>
      </c>
      <c r="W6" s="1097"/>
      <c r="X6" s="1088" t="s">
        <v>168</v>
      </c>
      <c r="Y6" s="1088" t="s">
        <v>1368</v>
      </c>
      <c r="Z6" s="107"/>
      <c r="AA6" s="849"/>
      <c r="AH6" s="1089" t="s">
        <v>1369</v>
      </c>
      <c r="AK6" s="1089" t="s">
        <v>1370</v>
      </c>
      <c r="AM6" s="1089" t="s">
        <v>1371</v>
      </c>
      <c r="AP6" s="784" t="s">
        <v>168</v>
      </c>
      <c r="AQ6" s="1100" t="s">
        <v>168</v>
      </c>
      <c r="AU6" s="1101" t="s">
        <v>1372</v>
      </c>
      <c r="AW6" s="1101" t="s">
        <v>1373</v>
      </c>
      <c r="AX6" s="1101" t="s">
        <v>1373</v>
      </c>
      <c r="BB6" s="1101" t="s">
        <v>1374</v>
      </c>
      <c r="BC6" s="1101" t="s">
        <v>1355</v>
      </c>
      <c r="BE6" s="1101">
        <v>2004</v>
      </c>
      <c r="BF6" s="1101" t="s">
        <v>1375</v>
      </c>
      <c r="BH6" s="1103" t="s">
        <v>1376</v>
      </c>
      <c r="BJ6" s="1103" t="s">
        <v>1377</v>
      </c>
      <c r="BL6" s="1103" t="s">
        <v>1377</v>
      </c>
      <c r="BN6" s="1103" t="s">
        <v>1378</v>
      </c>
      <c r="BQ6" s="1101">
        <v>4213784</v>
      </c>
      <c r="BR6" s="1107" t="s">
        <v>1286</v>
      </c>
      <c r="BS6" s="1108"/>
      <c r="BT6" s="1101">
        <v>64236872</v>
      </c>
      <c r="BU6" s="1103" t="s">
        <v>228</v>
      </c>
      <c r="BV6" s="254"/>
      <c r="BW6" s="1101">
        <v>4213768</v>
      </c>
      <c r="BX6" s="1103" t="s">
        <v>248</v>
      </c>
      <c r="BZ6" s="1101">
        <v>64237510</v>
      </c>
      <c r="CA6" s="1103" t="s">
        <v>1379</v>
      </c>
    </row>
    <row r="7" ht="11.25" customHeight="1">
      <c r="A7" s="144" t="s">
        <v>1380</v>
      </c>
      <c r="B7" s="1088">
        <v>2005</v>
      </c>
      <c r="E7" s="1089" t="s">
        <v>1381</v>
      </c>
      <c r="F7" s="185"/>
      <c r="H7" s="1089" t="s">
        <v>1382</v>
      </c>
      <c r="I7" s="1089" t="s">
        <v>91</v>
      </c>
      <c r="J7" s="1089" t="s">
        <v>1383</v>
      </c>
      <c r="N7" s="1109" t="s">
        <v>1384</v>
      </c>
      <c r="O7" s="1089" t="s">
        <v>1385</v>
      </c>
      <c r="U7" s="1090" t="s">
        <v>19</v>
      </c>
      <c r="V7" s="1110" t="s">
        <v>91</v>
      </c>
      <c r="W7" s="1097"/>
      <c r="X7" s="1088" t="s">
        <v>174</v>
      </c>
      <c r="Y7" s="1088" t="s">
        <v>1346</v>
      </c>
      <c r="Z7" s="107"/>
      <c r="AA7" s="849"/>
      <c r="AH7" s="1089" t="s">
        <v>1386</v>
      </c>
      <c r="AK7" s="1089" t="s">
        <v>1387</v>
      </c>
      <c r="AM7" s="1089" t="s">
        <v>1388</v>
      </c>
      <c r="AP7" s="784" t="s">
        <v>174</v>
      </c>
      <c r="AQ7" s="1100" t="s">
        <v>174</v>
      </c>
      <c r="AU7" s="1101" t="s">
        <v>1389</v>
      </c>
      <c r="AW7" s="1101" t="s">
        <v>1390</v>
      </c>
      <c r="AX7" s="1101" t="s">
        <v>1390</v>
      </c>
      <c r="AZ7" s="1081" t="s">
        <v>1391</v>
      </c>
      <c r="BB7" s="1101" t="s">
        <v>1392</v>
      </c>
      <c r="BC7" s="1101" t="s">
        <v>1355</v>
      </c>
      <c r="BE7" s="1101">
        <v>2005</v>
      </c>
      <c r="BF7" s="1101" t="s">
        <v>1393</v>
      </c>
      <c r="BH7" s="1103" t="s">
        <v>1394</v>
      </c>
      <c r="BJ7" s="1103" t="s">
        <v>1376</v>
      </c>
      <c r="BL7" s="1103" t="s">
        <v>1376</v>
      </c>
      <c r="BN7" s="1103" t="s">
        <v>1395</v>
      </c>
      <c r="BQ7" s="1101">
        <v>4213781</v>
      </c>
      <c r="BR7" s="1103" t="s">
        <v>1279</v>
      </c>
      <c r="BS7" s="1106"/>
      <c r="BT7" s="1101">
        <v>64236873</v>
      </c>
      <c r="BU7" s="1103" t="s">
        <v>233</v>
      </c>
      <c r="BV7" s="254"/>
      <c r="BW7" s="1101">
        <v>4213769</v>
      </c>
      <c r="BX7" s="1103" t="s">
        <v>1396</v>
      </c>
      <c r="BZ7" s="1101">
        <v>64237511</v>
      </c>
      <c r="CA7" s="1103" t="s">
        <v>263</v>
      </c>
    </row>
    <row r="8" ht="11.25" customHeight="1">
      <c r="A8" s="144" t="s">
        <v>1397</v>
      </c>
      <c r="B8" s="1088">
        <v>2006</v>
      </c>
      <c r="E8" s="1089" t="s">
        <v>1398</v>
      </c>
      <c r="F8" s="185"/>
      <c r="H8" s="1089" t="s">
        <v>1399</v>
      </c>
      <c r="I8" s="1089" t="s">
        <v>92</v>
      </c>
      <c r="J8" s="1089" t="s">
        <v>1400</v>
      </c>
      <c r="N8" s="1111" t="s">
        <v>1401</v>
      </c>
      <c r="O8" s="1089" t="s">
        <v>1402</v>
      </c>
      <c r="V8" s="1110" t="s">
        <v>92</v>
      </c>
      <c r="W8" s="1097"/>
      <c r="X8" s="1088" t="s">
        <v>180</v>
      </c>
      <c r="Y8" s="1088" t="s">
        <v>1346</v>
      </c>
      <c r="Z8" s="107"/>
      <c r="AA8" s="849"/>
      <c r="AK8" s="1089" t="s">
        <v>1403</v>
      </c>
      <c r="AP8" s="784" t="s">
        <v>180</v>
      </c>
      <c r="AQ8" s="1100" t="s">
        <v>180</v>
      </c>
      <c r="AU8" s="1101" t="s">
        <v>1404</v>
      </c>
      <c r="AW8" s="1101" t="s">
        <v>1405</v>
      </c>
      <c r="AX8" s="1101" t="s">
        <v>1405</v>
      </c>
      <c r="AZ8" s="1101" t="s">
        <v>1406</v>
      </c>
      <c r="BB8" s="1101" t="s">
        <v>1407</v>
      </c>
      <c r="BC8" s="1101" t="s">
        <v>1355</v>
      </c>
      <c r="BE8" s="1101">
        <v>2006</v>
      </c>
      <c r="BF8" s="1101" t="s">
        <v>1408</v>
      </c>
      <c r="BH8" s="1103" t="s">
        <v>1409</v>
      </c>
      <c r="BJ8" s="1103" t="s">
        <v>1043</v>
      </c>
      <c r="BL8" s="1103" t="s">
        <v>1043</v>
      </c>
      <c r="BN8" s="1103" t="s">
        <v>1410</v>
      </c>
      <c r="BQ8" s="1101">
        <v>4213776</v>
      </c>
      <c r="BR8" s="1103" t="s">
        <v>162</v>
      </c>
      <c r="BS8" s="1106"/>
      <c r="BT8" s="1101">
        <v>64236874</v>
      </c>
      <c r="BU8" s="1107" t="s">
        <v>1411</v>
      </c>
      <c r="BV8" s="254"/>
      <c r="BW8" s="1101">
        <v>4213770</v>
      </c>
      <c r="BX8" s="1107" t="s">
        <v>1412</v>
      </c>
      <c r="BZ8" s="1101">
        <v>64237512</v>
      </c>
      <c r="CA8" s="1103" t="s">
        <v>258</v>
      </c>
    </row>
    <row r="9" ht="11.25" customHeight="1">
      <c r="A9" s="144" t="s">
        <v>1413</v>
      </c>
      <c r="B9" s="1088">
        <v>2007</v>
      </c>
      <c r="E9" s="1089" t="s">
        <v>1414</v>
      </c>
      <c r="F9" s="185"/>
      <c r="G9" s="1081" t="s">
        <v>1415</v>
      </c>
      <c r="H9" s="1081" t="s">
        <v>1416</v>
      </c>
      <c r="I9" s="1089" t="s">
        <v>108</v>
      </c>
      <c r="O9" s="1089" t="s">
        <v>1417</v>
      </c>
      <c r="V9" s="1110" t="s">
        <v>108</v>
      </c>
      <c r="W9" s="1097"/>
      <c r="X9" s="1088" t="s">
        <v>186</v>
      </c>
      <c r="Y9" s="1088" t="s">
        <v>1252</v>
      </c>
      <c r="Z9" s="107">
        <v>1</v>
      </c>
      <c r="AA9" s="849"/>
      <c r="AK9" s="1089" t="s">
        <v>1418</v>
      </c>
      <c r="AP9" s="784" t="s">
        <v>1419</v>
      </c>
      <c r="AQ9" s="1100" t="s">
        <v>1419</v>
      </c>
      <c r="AW9" s="1101" t="s">
        <v>1420</v>
      </c>
      <c r="AX9" s="1101" t="s">
        <v>1420</v>
      </c>
      <c r="AZ9" s="1101" t="s">
        <v>1421</v>
      </c>
      <c r="BB9" s="1101" t="s">
        <v>1422</v>
      </c>
      <c r="BC9" s="1101" t="s">
        <v>1355</v>
      </c>
      <c r="BE9" s="1101">
        <v>2007</v>
      </c>
      <c r="BF9" s="1101" t="s">
        <v>1423</v>
      </c>
      <c r="BH9" s="1103" t="s">
        <v>1029</v>
      </c>
      <c r="BJ9" s="1103" t="s">
        <v>1024</v>
      </c>
      <c r="BL9" s="1103" t="s">
        <v>1024</v>
      </c>
      <c r="BN9" s="1103" t="s">
        <v>1424</v>
      </c>
      <c r="BQ9" s="1101">
        <v>4213777</v>
      </c>
      <c r="BR9" s="1103" t="s">
        <v>168</v>
      </c>
      <c r="BS9" s="1106"/>
      <c r="BT9" s="1101">
        <v>64236875</v>
      </c>
      <c r="BU9" s="1103" t="s">
        <v>238</v>
      </c>
      <c r="BV9" s="254"/>
      <c r="BW9" s="63"/>
      <c r="BX9" s="63"/>
    </row>
    <row r="10" ht="11.25" customHeight="1">
      <c r="A10" s="144" t="s">
        <v>1425</v>
      </c>
      <c r="B10" s="1088">
        <v>2008</v>
      </c>
      <c r="E10" s="1089" t="s">
        <v>1426</v>
      </c>
      <c r="F10" s="185"/>
      <c r="G10" s="1089" t="s">
        <v>1427</v>
      </c>
      <c r="H10" s="1089" t="s">
        <v>1428</v>
      </c>
      <c r="I10" s="1089" t="s">
        <v>144</v>
      </c>
      <c r="J10" s="1081" t="s">
        <v>1429</v>
      </c>
      <c r="K10" s="1081" t="s">
        <v>1430</v>
      </c>
      <c r="O10" s="1089" t="s">
        <v>1431</v>
      </c>
      <c r="V10" s="1112" t="s">
        <v>144</v>
      </c>
      <c r="W10" s="1113"/>
      <c r="X10" s="1113" t="s">
        <v>1432</v>
      </c>
      <c r="Y10" s="1114" t="s">
        <v>1433</v>
      </c>
      <c r="Z10" s="107"/>
      <c r="AP10" s="784" t="s">
        <v>1432</v>
      </c>
      <c r="AQ10" s="1100" t="s">
        <v>1432</v>
      </c>
      <c r="AW10" s="1101" t="s">
        <v>1434</v>
      </c>
      <c r="AX10" s="1101" t="s">
        <v>1434</v>
      </c>
      <c r="AZ10" s="1101" t="s">
        <v>1145</v>
      </c>
      <c r="BB10" s="1101" t="s">
        <v>1435</v>
      </c>
      <c r="BC10" s="1101" t="s">
        <v>1355</v>
      </c>
      <c r="BE10" s="1101">
        <v>2008</v>
      </c>
      <c r="BF10" s="1101" t="s">
        <v>1436</v>
      </c>
      <c r="BH10" s="1103" t="s">
        <v>1437</v>
      </c>
      <c r="BJ10" s="1103" t="s">
        <v>1438</v>
      </c>
      <c r="BL10" s="1103" t="s">
        <v>1438</v>
      </c>
      <c r="BN10" s="1103" t="s">
        <v>1439</v>
      </c>
      <c r="BQ10" s="1101">
        <v>4213778</v>
      </c>
      <c r="BR10" s="1103" t="s">
        <v>174</v>
      </c>
      <c r="BS10" s="1106"/>
      <c r="BT10" s="1101">
        <v>64236876</v>
      </c>
      <c r="BU10" s="1103" t="s">
        <v>218</v>
      </c>
      <c r="BV10" s="254"/>
      <c r="BW10" s="63"/>
      <c r="BX10" s="63"/>
    </row>
    <row r="11" ht="11.25" customHeight="1">
      <c r="A11" s="144" t="s">
        <v>1440</v>
      </c>
      <c r="B11" s="1088">
        <v>2009</v>
      </c>
      <c r="E11" s="1089" t="s">
        <v>1441</v>
      </c>
      <c r="F11" s="185"/>
      <c r="G11" s="1089" t="s">
        <v>1442</v>
      </c>
      <c r="H11" s="1089" t="s">
        <v>1443</v>
      </c>
      <c r="I11" s="1089" t="s">
        <v>145</v>
      </c>
      <c r="J11" s="1089" t="s">
        <v>1444</v>
      </c>
      <c r="K11" s="1115" t="s">
        <v>1445</v>
      </c>
      <c r="O11" s="1089" t="s">
        <v>1446</v>
      </c>
      <c r="V11" s="1110" t="s">
        <v>145</v>
      </c>
      <c r="W11" s="1116"/>
      <c r="X11" s="1097" t="s">
        <v>1419</v>
      </c>
      <c r="Y11" s="1088" t="s">
        <v>1447</v>
      </c>
      <c r="Z11" s="107"/>
      <c r="AP11" s="784" t="s">
        <v>186</v>
      </c>
      <c r="AQ11" s="1117" t="s">
        <v>186</v>
      </c>
      <c r="AW11" s="1101" t="s">
        <v>1448</v>
      </c>
      <c r="AX11" s="1101" t="s">
        <v>1448</v>
      </c>
      <c r="AZ11" s="1101" t="s">
        <v>1449</v>
      </c>
      <c r="BB11" s="1101" t="s">
        <v>1450</v>
      </c>
      <c r="BC11" s="1101" t="s">
        <v>1355</v>
      </c>
      <c r="BE11" s="1101">
        <v>2009</v>
      </c>
      <c r="BF11" s="1101" t="s">
        <v>1034</v>
      </c>
      <c r="BH11" s="1103" t="s">
        <v>1451</v>
      </c>
      <c r="BJ11" s="1103" t="s">
        <v>1029</v>
      </c>
      <c r="BL11" s="1103" t="s">
        <v>1029</v>
      </c>
      <c r="BN11" s="1103" t="s">
        <v>1452</v>
      </c>
      <c r="BQ11" s="1101">
        <v>4213780</v>
      </c>
      <c r="BR11" s="1103" t="s">
        <v>180</v>
      </c>
      <c r="BS11" s="1106"/>
      <c r="BW11" s="63"/>
      <c r="BX11" s="63"/>
    </row>
    <row r="12" ht="11.25" customHeight="1">
      <c r="A12" s="144" t="s">
        <v>1453</v>
      </c>
      <c r="B12" s="1088">
        <v>2010</v>
      </c>
      <c r="E12" s="1089" t="s">
        <v>1454</v>
      </c>
      <c r="F12" s="185"/>
      <c r="G12" s="1089" t="s">
        <v>1443</v>
      </c>
      <c r="I12" s="1089" t="s">
        <v>146</v>
      </c>
      <c r="J12" s="1089" t="s">
        <v>1455</v>
      </c>
      <c r="K12" s="1115" t="s">
        <v>1456</v>
      </c>
      <c r="O12" s="1089" t="s">
        <v>1246</v>
      </c>
      <c r="V12" s="1110" t="s">
        <v>146</v>
      </c>
      <c r="W12" s="1117"/>
      <c r="X12" s="1097" t="s">
        <v>1457</v>
      </c>
      <c r="Y12" s="1088" t="s">
        <v>1252</v>
      </c>
      <c r="AP12" s="784"/>
      <c r="AW12" s="1101" t="s">
        <v>145</v>
      </c>
      <c r="AX12" s="1101" t="s">
        <v>145</v>
      </c>
      <c r="AZ12" s="1101" t="s">
        <v>1458</v>
      </c>
      <c r="BB12" s="1101" t="s">
        <v>1459</v>
      </c>
      <c r="BC12" s="1101" t="s">
        <v>1355</v>
      </c>
      <c r="BE12" s="1101">
        <v>2010</v>
      </c>
      <c r="BF12" s="1101" t="s">
        <v>1460</v>
      </c>
      <c r="BH12" s="1103" t="s">
        <v>1461</v>
      </c>
      <c r="BJ12" s="1103" t="s">
        <v>1035</v>
      </c>
      <c r="BL12" s="1103" t="s">
        <v>1035</v>
      </c>
      <c r="BN12" s="1103" t="s">
        <v>1462</v>
      </c>
      <c r="BQ12" s="1101">
        <v>4213779</v>
      </c>
      <c r="BR12" s="1103" t="s">
        <v>1419</v>
      </c>
      <c r="BS12" s="1106"/>
      <c r="BT12" s="254"/>
      <c r="BU12" s="254"/>
      <c r="BV12" s="254"/>
      <c r="BW12" s="63"/>
      <c r="BX12" s="63"/>
    </row>
    <row r="13" ht="11.25" customHeight="1">
      <c r="A13" s="144" t="s">
        <v>1463</v>
      </c>
      <c r="B13" s="1088">
        <v>2011</v>
      </c>
      <c r="E13" s="1089" t="s">
        <v>1464</v>
      </c>
      <c r="F13" s="185"/>
      <c r="I13" s="1089" t="s">
        <v>147</v>
      </c>
      <c r="K13" s="1115" t="s">
        <v>1418</v>
      </c>
      <c r="V13" s="1110" t="s">
        <v>147</v>
      </c>
      <c r="W13" s="1117"/>
      <c r="X13" s="1117"/>
      <c r="Y13" s="1117"/>
      <c r="AW13" s="1101" t="s">
        <v>146</v>
      </c>
      <c r="AX13" s="1101" t="s">
        <v>146</v>
      </c>
      <c r="BB13" s="1101" t="s">
        <v>1465</v>
      </c>
      <c r="BC13" s="1101" t="s">
        <v>1466</v>
      </c>
      <c r="BE13" s="1101">
        <v>2011</v>
      </c>
      <c r="BF13" s="1101" t="s">
        <v>1022</v>
      </c>
      <c r="BH13" s="1103" t="s">
        <v>1467</v>
      </c>
      <c r="BJ13" s="1103" t="s">
        <v>1451</v>
      </c>
      <c r="BL13" s="1103" t="s">
        <v>1451</v>
      </c>
      <c r="BN13" s="1103" t="s">
        <v>1468</v>
      </c>
      <c r="BQ13" s="1101">
        <v>4213783</v>
      </c>
      <c r="BR13" s="1103" t="s">
        <v>1432</v>
      </c>
      <c r="BS13" s="1106"/>
      <c r="BT13" s="254"/>
      <c r="BU13" s="254"/>
      <c r="BV13" s="254"/>
      <c r="BW13" s="254"/>
      <c r="BX13" s="63"/>
    </row>
    <row r="14" ht="11.25" customHeight="1">
      <c r="A14" s="144" t="s">
        <v>1469</v>
      </c>
      <c r="B14" s="1088">
        <v>2012</v>
      </c>
      <c r="I14" s="1089" t="s">
        <v>148</v>
      </c>
      <c r="J14" s="1081" t="s">
        <v>1470</v>
      </c>
      <c r="N14" s="1081" t="s">
        <v>1471</v>
      </c>
      <c r="V14" s="1096">
        <v>13</v>
      </c>
      <c r="W14" s="1097"/>
      <c r="X14" s="1097" t="s">
        <v>1286</v>
      </c>
      <c r="Y14" s="1088" t="s">
        <v>1252</v>
      </c>
      <c r="AW14" s="1101" t="s">
        <v>147</v>
      </c>
      <c r="AX14" s="1101" t="s">
        <v>147</v>
      </c>
      <c r="AZ14" s="1081" t="s">
        <v>1472</v>
      </c>
      <c r="BB14" s="1101" t="s">
        <v>1473</v>
      </c>
      <c r="BC14" s="1101" t="s">
        <v>1466</v>
      </c>
      <c r="BE14" s="1101">
        <v>2012</v>
      </c>
      <c r="BH14" s="1103" t="s">
        <v>1395</v>
      </c>
      <c r="BJ14" s="1118" t="s">
        <v>1474</v>
      </c>
      <c r="BL14" s="1118" t="s">
        <v>1474</v>
      </c>
      <c r="BN14" s="1103" t="s">
        <v>1475</v>
      </c>
      <c r="BQ14" s="1101">
        <v>4213782</v>
      </c>
      <c r="BR14" s="1103" t="s">
        <v>186</v>
      </c>
      <c r="BS14" s="1106"/>
      <c r="BT14" s="254"/>
      <c r="BU14" s="254"/>
      <c r="BV14" s="254"/>
      <c r="BW14" s="254"/>
      <c r="BX14" s="63"/>
    </row>
    <row r="15" ht="19.5" customHeight="1">
      <c r="A15" s="144" t="s">
        <v>1476</v>
      </c>
      <c r="B15" s="1088">
        <v>2013</v>
      </c>
      <c r="E15" s="1119" t="s">
        <v>1477</v>
      </c>
      <c r="G15" s="1081" t="s">
        <v>1478</v>
      </c>
      <c r="H15" s="1081" t="s">
        <v>1479</v>
      </c>
      <c r="I15" s="1090" t="s">
        <v>149</v>
      </c>
      <c r="J15" s="1117" t="s">
        <v>577</v>
      </c>
      <c r="N15" s="1120" t="s">
        <v>1480</v>
      </c>
      <c r="X15" s="784"/>
      <c r="AW15" s="1101" t="s">
        <v>148</v>
      </c>
      <c r="AX15" s="1101" t="s">
        <v>148</v>
      </c>
      <c r="AZ15" s="1101" t="s">
        <v>1406</v>
      </c>
      <c r="BB15" s="1101" t="s">
        <v>1481</v>
      </c>
      <c r="BC15" s="1101" t="s">
        <v>1466</v>
      </c>
      <c r="BE15" s="1101">
        <v>2013</v>
      </c>
      <c r="BH15" s="1103" t="s">
        <v>1410</v>
      </c>
      <c r="BJ15" s="1118" t="s">
        <v>1482</v>
      </c>
      <c r="BL15" s="1118" t="s">
        <v>1482</v>
      </c>
      <c r="BN15" s="1103" t="s">
        <v>1483</v>
      </c>
      <c r="BR15" s="254"/>
      <c r="BS15" s="254"/>
      <c r="BT15" s="254"/>
      <c r="BU15" s="254"/>
      <c r="BV15" s="254"/>
      <c r="BW15" s="254"/>
      <c r="BX15" s="63"/>
    </row>
    <row r="16" ht="21" customHeight="1">
      <c r="A16" s="1121" t="s">
        <v>1484</v>
      </c>
      <c r="B16" s="1088">
        <v>2014</v>
      </c>
      <c r="E16" s="1122" t="s">
        <v>1485</v>
      </c>
      <c r="G16" s="1089" t="s">
        <v>1486</v>
      </c>
      <c r="H16" s="1089" t="s">
        <v>1487</v>
      </c>
      <c r="I16" s="1090" t="s">
        <v>1488</v>
      </c>
      <c r="J16" s="1117" t="s">
        <v>550</v>
      </c>
      <c r="N16" s="1120" t="s">
        <v>1489</v>
      </c>
      <c r="AW16" s="1101" t="s">
        <v>149</v>
      </c>
      <c r="AX16" s="1101" t="s">
        <v>149</v>
      </c>
      <c r="AZ16" s="1101" t="s">
        <v>1421</v>
      </c>
      <c r="BB16" s="1101" t="s">
        <v>1490</v>
      </c>
      <c r="BC16" s="1101" t="s">
        <v>1466</v>
      </c>
      <c r="BE16" s="1101">
        <v>2014</v>
      </c>
      <c r="BH16" s="1103" t="s">
        <v>1424</v>
      </c>
      <c r="BJ16" s="1118" t="s">
        <v>1491</v>
      </c>
      <c r="BL16" s="1118" t="s">
        <v>1491</v>
      </c>
      <c r="BN16" s="1103" t="s">
        <v>1492</v>
      </c>
      <c r="BR16" s="254"/>
      <c r="BS16" s="254"/>
      <c r="BT16" s="254"/>
      <c r="BU16" s="254"/>
      <c r="BV16" s="254"/>
      <c r="BW16" s="254"/>
      <c r="BX16" s="63"/>
    </row>
    <row r="17" ht="21" customHeight="1">
      <c r="A17" s="144" t="s">
        <v>16</v>
      </c>
      <c r="B17" s="1088">
        <v>2015</v>
      </c>
      <c r="G17" s="1089" t="s">
        <v>1443</v>
      </c>
      <c r="H17" s="1089" t="s">
        <v>1443</v>
      </c>
      <c r="I17" s="1089" t="s">
        <v>1493</v>
      </c>
      <c r="N17" s="1120" t="s">
        <v>1494</v>
      </c>
      <c r="X17" s="784"/>
      <c r="AW17" s="1101" t="s">
        <v>1488</v>
      </c>
      <c r="AX17" s="1101" t="s">
        <v>1488</v>
      </c>
      <c r="AZ17" s="1101" t="s">
        <v>66</v>
      </c>
      <c r="BB17" s="1101" t="s">
        <v>1495</v>
      </c>
      <c r="BC17" s="1101" t="s">
        <v>1355</v>
      </c>
      <c r="BE17" s="1101">
        <v>2015</v>
      </c>
      <c r="BH17" s="1103" t="s">
        <v>1439</v>
      </c>
      <c r="BJ17" s="1118" t="s">
        <v>1496</v>
      </c>
      <c r="BL17" s="1118" t="s">
        <v>1496</v>
      </c>
      <c r="BN17" s="1103" t="s">
        <v>1497</v>
      </c>
      <c r="BR17" s="1081" t="s">
        <v>1297</v>
      </c>
      <c r="BS17" s="1102"/>
      <c r="BU17" s="1081" t="s">
        <v>1498</v>
      </c>
      <c r="BV17" s="254"/>
      <c r="BW17" s="63"/>
      <c r="BX17" s="1081" t="s">
        <v>1499</v>
      </c>
      <c r="CA17" s="1081" t="s">
        <v>1500</v>
      </c>
      <c r="CD17" s="1081" t="s">
        <v>1501</v>
      </c>
    </row>
    <row r="18" ht="21" customHeight="1">
      <c r="A18" s="144" t="s">
        <v>1502</v>
      </c>
      <c r="B18" s="1088">
        <v>2016</v>
      </c>
      <c r="E18" s="1123" t="s">
        <v>1503</v>
      </c>
      <c r="I18" s="1089" t="s">
        <v>1504</v>
      </c>
      <c r="N18" s="1120" t="s">
        <v>1505</v>
      </c>
      <c r="X18" s="784"/>
      <c r="AW18" s="1101" t="s">
        <v>1493</v>
      </c>
      <c r="AX18" s="1101" t="s">
        <v>1493</v>
      </c>
      <c r="BB18" s="1101" t="s">
        <v>1506</v>
      </c>
      <c r="BC18" s="1101" t="s">
        <v>1355</v>
      </c>
      <c r="BE18" s="1101">
        <v>2016</v>
      </c>
      <c r="BH18" s="1103" t="s">
        <v>1452</v>
      </c>
      <c r="BJ18" s="1118" t="s">
        <v>1507</v>
      </c>
      <c r="BL18" s="1118" t="s">
        <v>1507</v>
      </c>
      <c r="BN18" s="1103" t="s">
        <v>1508</v>
      </c>
      <c r="BQ18" s="1104" t="s">
        <v>1327</v>
      </c>
      <c r="BR18" s="784" t="s">
        <v>1328</v>
      </c>
      <c r="BS18" s="784"/>
      <c r="BT18" s="1104" t="s">
        <v>1509</v>
      </c>
      <c r="BU18" s="784" t="s">
        <v>1510</v>
      </c>
      <c r="BV18" s="254"/>
      <c r="BW18" s="1104" t="s">
        <v>1511</v>
      </c>
      <c r="BX18" s="784" t="s">
        <v>1512</v>
      </c>
      <c r="BZ18" s="1104" t="s">
        <v>1513</v>
      </c>
      <c r="CA18" s="784" t="s">
        <v>1514</v>
      </c>
      <c r="CC18" s="1104" t="s">
        <v>1515</v>
      </c>
      <c r="CD18" s="784" t="s">
        <v>1516</v>
      </c>
    </row>
    <row r="19" ht="21" customHeight="1">
      <c r="A19" s="1121" t="s">
        <v>1517</v>
      </c>
      <c r="B19" s="1088">
        <v>2017</v>
      </c>
      <c r="E19" s="144" t="s">
        <v>161</v>
      </c>
      <c r="I19" s="1089" t="s">
        <v>1518</v>
      </c>
      <c r="N19" s="1120" t="s">
        <v>1519</v>
      </c>
      <c r="X19" s="784"/>
      <c r="AW19" s="1101" t="s">
        <v>1504</v>
      </c>
      <c r="AX19" s="1101" t="s">
        <v>1504</v>
      </c>
      <c r="AZ19" s="1081" t="s">
        <v>1520</v>
      </c>
      <c r="BB19" s="1101" t="s">
        <v>1521</v>
      </c>
      <c r="BC19" s="1101" t="s">
        <v>1355</v>
      </c>
      <c r="BE19" s="1101">
        <v>2017</v>
      </c>
      <c r="BH19" s="1103" t="s">
        <v>1522</v>
      </c>
      <c r="BJ19" s="1118" t="s">
        <v>1523</v>
      </c>
      <c r="BL19" s="1118" t="s">
        <v>1523</v>
      </c>
      <c r="BQ19" s="1101">
        <v>4190064</v>
      </c>
      <c r="BR19" s="1103" t="s">
        <v>1524</v>
      </c>
      <c r="BS19" s="1106"/>
      <c r="BT19" s="1101">
        <v>4189671</v>
      </c>
      <c r="BU19" s="1103" t="s">
        <v>1525</v>
      </c>
      <c r="BV19" s="254"/>
      <c r="BW19" s="1101">
        <v>4189706</v>
      </c>
      <c r="BX19" s="1103" t="s">
        <v>1526</v>
      </c>
      <c r="BZ19" s="1101">
        <v>4189714</v>
      </c>
      <c r="CA19" s="1103" t="s">
        <v>1527</v>
      </c>
      <c r="CC19" s="1101">
        <v>4189708</v>
      </c>
      <c r="CD19" s="1103" t="s">
        <v>1528</v>
      </c>
    </row>
    <row r="20" ht="21" customHeight="1">
      <c r="A20" s="144" t="s">
        <v>1529</v>
      </c>
      <c r="B20" s="1088">
        <v>2018</v>
      </c>
      <c r="E20" s="144" t="s">
        <v>1286</v>
      </c>
      <c r="I20" s="1089" t="s">
        <v>1530</v>
      </c>
      <c r="N20" s="1120" t="s">
        <v>1531</v>
      </c>
      <c r="AW20" s="1101" t="s">
        <v>1518</v>
      </c>
      <c r="AX20" s="1101" t="s">
        <v>1518</v>
      </c>
      <c r="AZ20" s="1101" t="s">
        <v>1532</v>
      </c>
      <c r="BB20" s="1101" t="s">
        <v>1533</v>
      </c>
      <c r="BC20" s="1101" t="s">
        <v>1466</v>
      </c>
      <c r="BE20" s="1101">
        <v>2018</v>
      </c>
      <c r="BH20" s="1103" t="s">
        <v>1462</v>
      </c>
      <c r="BJ20" s="1103" t="s">
        <v>1395</v>
      </c>
      <c r="BL20" s="1103" t="s">
        <v>1395</v>
      </c>
      <c r="BQ20" s="1101">
        <v>4190065</v>
      </c>
      <c r="BR20" s="1103" t="s">
        <v>1534</v>
      </c>
      <c r="BS20" s="1106"/>
      <c r="BT20" s="1101">
        <v>4189672</v>
      </c>
      <c r="BU20" s="1103" t="s">
        <v>1535</v>
      </c>
      <c r="BV20" s="254"/>
      <c r="BW20" s="1101">
        <v>4189705</v>
      </c>
      <c r="BX20" s="1103" t="s">
        <v>1536</v>
      </c>
      <c r="BZ20" s="1101">
        <v>4189713</v>
      </c>
      <c r="CA20" s="1103" t="s">
        <v>1536</v>
      </c>
      <c r="CC20" s="1101">
        <v>4189709</v>
      </c>
      <c r="CD20" s="1103" t="s">
        <v>1537</v>
      </c>
    </row>
    <row r="21" ht="21" customHeight="1">
      <c r="A21" s="144" t="s">
        <v>1538</v>
      </c>
      <c r="B21" s="1088">
        <v>2019</v>
      </c>
      <c r="I21" s="1089" t="s">
        <v>1539</v>
      </c>
      <c r="N21" s="1120" t="s">
        <v>1540</v>
      </c>
      <c r="AW21" s="1101" t="s">
        <v>1530</v>
      </c>
      <c r="AX21" s="1101" t="s">
        <v>1530</v>
      </c>
      <c r="AZ21" s="1101" t="s">
        <v>1541</v>
      </c>
      <c r="BB21" s="1101" t="s">
        <v>1542</v>
      </c>
      <c r="BC21" s="1101" t="s">
        <v>1355</v>
      </c>
      <c r="BE21" s="1101">
        <v>2019</v>
      </c>
      <c r="BH21" s="1103" t="s">
        <v>1468</v>
      </c>
      <c r="BJ21" s="1103" t="s">
        <v>1410</v>
      </c>
      <c r="BL21" s="1103" t="s">
        <v>1410</v>
      </c>
      <c r="BQ21" s="1101">
        <v>4190066</v>
      </c>
      <c r="BR21" s="1103" t="s">
        <v>1543</v>
      </c>
      <c r="BS21" s="1106"/>
      <c r="BT21" s="1101">
        <v>4189673</v>
      </c>
      <c r="BU21" s="1103" t="s">
        <v>1544</v>
      </c>
      <c r="BV21" s="254"/>
      <c r="BW21" s="1101">
        <v>4189707</v>
      </c>
      <c r="BX21" s="1103" t="s">
        <v>1545</v>
      </c>
      <c r="BZ21" s="1101">
        <v>4189712</v>
      </c>
      <c r="CA21" s="1103" t="s">
        <v>1546</v>
      </c>
      <c r="CC21" s="1101">
        <v>4189710</v>
      </c>
      <c r="CD21" s="1103" t="s">
        <v>1547</v>
      </c>
    </row>
    <row r="22" ht="21" customHeight="1">
      <c r="A22" s="144" t="s">
        <v>1548</v>
      </c>
      <c r="B22" s="1088">
        <v>2020</v>
      </c>
      <c r="N22" s="1120" t="s">
        <v>1549</v>
      </c>
      <c r="AW22" s="1101" t="s">
        <v>1539</v>
      </c>
      <c r="AX22" s="1101" t="s">
        <v>1539</v>
      </c>
      <c r="AZ22" s="1101" t="s">
        <v>1550</v>
      </c>
      <c r="BB22" s="1101" t="s">
        <v>1551</v>
      </c>
      <c r="BC22" s="1101" t="s">
        <v>1355</v>
      </c>
      <c r="BE22" s="1101">
        <v>2020</v>
      </c>
      <c r="BH22" s="1103" t="s">
        <v>1475</v>
      </c>
      <c r="BJ22" s="1103" t="s">
        <v>1424</v>
      </c>
      <c r="BL22" s="1103" t="s">
        <v>1424</v>
      </c>
      <c r="BQ22" s="1101">
        <v>4190067</v>
      </c>
      <c r="BR22" s="1103" t="s">
        <v>1552</v>
      </c>
      <c r="BS22" s="1106"/>
      <c r="BT22" s="1101">
        <v>4189674</v>
      </c>
      <c r="BU22" s="1103" t="s">
        <v>1553</v>
      </c>
      <c r="BV22" s="254"/>
      <c r="BW22" s="254"/>
      <c r="CC22" s="1101">
        <v>4189711</v>
      </c>
      <c r="CD22" s="1103" t="s">
        <v>287</v>
      </c>
    </row>
    <row r="23" ht="21" customHeight="1">
      <c r="A23" s="144" t="s">
        <v>1554</v>
      </c>
      <c r="B23" s="1088">
        <v>2021</v>
      </c>
      <c r="AW23" s="1101" t="s">
        <v>1555</v>
      </c>
      <c r="AX23" s="1101" t="s">
        <v>1555</v>
      </c>
      <c r="AZ23" s="1101" t="s">
        <v>1556</v>
      </c>
      <c r="BB23" s="1101" t="s">
        <v>1557</v>
      </c>
      <c r="BC23" s="1101" t="s">
        <v>1263</v>
      </c>
      <c r="BE23" s="1101">
        <v>2021</v>
      </c>
      <c r="BH23" s="1103" t="s">
        <v>1483</v>
      </c>
      <c r="BJ23" s="1103" t="s">
        <v>1439</v>
      </c>
      <c r="BL23" s="1103" t="s">
        <v>1439</v>
      </c>
      <c r="BQ23" s="1101">
        <v>4190068</v>
      </c>
      <c r="BR23" s="1103" t="s">
        <v>1558</v>
      </c>
      <c r="BS23" s="1106"/>
      <c r="BT23" s="1101">
        <v>4189675</v>
      </c>
      <c r="BU23" s="1103" t="s">
        <v>1559</v>
      </c>
      <c r="BV23" s="254"/>
      <c r="BW23" s="254"/>
      <c r="CC23" s="1101">
        <v>5110778</v>
      </c>
      <c r="CD23" s="1103" t="s">
        <v>1560</v>
      </c>
    </row>
    <row r="24" ht="21" customHeight="1">
      <c r="A24" s="144" t="s">
        <v>1561</v>
      </c>
      <c r="B24" s="1088">
        <v>2022</v>
      </c>
      <c r="AW24" s="1101" t="s">
        <v>1562</v>
      </c>
      <c r="AX24" s="1101" t="s">
        <v>1562</v>
      </c>
      <c r="AZ24" s="1101" t="s">
        <v>1563</v>
      </c>
      <c r="BB24" s="1101" t="s">
        <v>1564</v>
      </c>
      <c r="BC24" s="1101" t="s">
        <v>1565</v>
      </c>
      <c r="BE24" s="1101">
        <v>2022</v>
      </c>
      <c r="BH24" s="1103" t="s">
        <v>1492</v>
      </c>
      <c r="BJ24" s="1103" t="s">
        <v>1452</v>
      </c>
      <c r="BL24" s="1103" t="s">
        <v>1452</v>
      </c>
      <c r="BQ24" s="1101">
        <v>4190069</v>
      </c>
      <c r="BR24" s="1103" t="s">
        <v>1566</v>
      </c>
      <c r="BS24" s="1106"/>
      <c r="BT24" s="1101">
        <v>4189676</v>
      </c>
      <c r="BU24" s="1103" t="s">
        <v>1567</v>
      </c>
      <c r="BV24" s="254"/>
      <c r="BW24" s="254"/>
      <c r="CC24" s="1101">
        <v>25575374</v>
      </c>
      <c r="CD24" s="1103" t="s">
        <v>1568</v>
      </c>
    </row>
    <row r="25" ht="11.25" customHeight="1">
      <c r="A25" s="144" t="s">
        <v>1569</v>
      </c>
      <c r="B25" s="1088">
        <v>2023</v>
      </c>
      <c r="AW25" s="1101" t="s">
        <v>1570</v>
      </c>
      <c r="AX25" s="1101" t="s">
        <v>1570</v>
      </c>
      <c r="AZ25" s="1101" t="s">
        <v>1571</v>
      </c>
      <c r="BB25" s="1101" t="s">
        <v>1572</v>
      </c>
      <c r="BC25" s="1101" t="s">
        <v>1565</v>
      </c>
      <c r="BE25" s="1101">
        <v>2023</v>
      </c>
      <c r="BH25" s="1103" t="s">
        <v>1497</v>
      </c>
      <c r="BJ25" s="1103" t="s">
        <v>1522</v>
      </c>
      <c r="BL25" s="1103" t="s">
        <v>1522</v>
      </c>
      <c r="BQ25" s="1101">
        <v>4190070</v>
      </c>
      <c r="BR25" s="1103" t="s">
        <v>1573</v>
      </c>
      <c r="BS25" s="1106"/>
      <c r="BT25" s="1101">
        <v>4189677</v>
      </c>
      <c r="BU25" s="1103" t="s">
        <v>1574</v>
      </c>
      <c r="BV25" s="254"/>
      <c r="BW25" s="254"/>
    </row>
    <row r="26" ht="11.25" customHeight="1">
      <c r="A26" s="144" t="s">
        <v>1575</v>
      </c>
      <c r="B26" s="1088">
        <v>2024</v>
      </c>
      <c r="J26" s="1124" t="s">
        <v>1576</v>
      </c>
      <c r="AX26" s="1101" t="s">
        <v>1577</v>
      </c>
      <c r="AZ26" s="1101" t="s">
        <v>1446</v>
      </c>
      <c r="BB26" s="1101" t="s">
        <v>1578</v>
      </c>
      <c r="BC26" s="1101" t="s">
        <v>1565</v>
      </c>
      <c r="BE26" s="1101">
        <v>2024</v>
      </c>
      <c r="BH26" s="1103" t="s">
        <v>1508</v>
      </c>
      <c r="BJ26" s="1103" t="s">
        <v>1462</v>
      </c>
      <c r="BL26" s="1103" t="s">
        <v>1462</v>
      </c>
      <c r="BQ26" s="1101">
        <v>4190071</v>
      </c>
      <c r="BR26" s="1103" t="s">
        <v>1579</v>
      </c>
      <c r="BS26" s="1106"/>
      <c r="BV26" s="254"/>
      <c r="BW26" s="254"/>
    </row>
    <row r="27" ht="11.25" customHeight="1">
      <c r="A27" s="144" t="s">
        <v>1580</v>
      </c>
      <c r="B27" s="1088">
        <v>2025</v>
      </c>
      <c r="J27" s="150" t="s">
        <v>683</v>
      </c>
      <c r="AX27" s="1101" t="s">
        <v>1581</v>
      </c>
      <c r="BB27" s="1101" t="s">
        <v>1582</v>
      </c>
      <c r="BC27" s="1101" t="s">
        <v>1565</v>
      </c>
      <c r="BE27" s="1101">
        <v>2025</v>
      </c>
      <c r="BH27" s="254" t="s">
        <v>22</v>
      </c>
      <c r="BJ27" s="1103" t="s">
        <v>1468</v>
      </c>
      <c r="BL27" s="1103" t="s">
        <v>1468</v>
      </c>
      <c r="BN27" s="254" t="s">
        <v>22</v>
      </c>
      <c r="BQ27" s="1101">
        <v>4190072</v>
      </c>
      <c r="BR27" s="1103" t="s">
        <v>1583</v>
      </c>
      <c r="BS27" s="1106"/>
      <c r="BV27" s="254"/>
      <c r="BW27" s="254"/>
    </row>
    <row r="28" ht="11.25" customHeight="1">
      <c r="A28" s="144" t="s">
        <v>1584</v>
      </c>
      <c r="D28" s="144"/>
      <c r="E28" s="1125"/>
      <c r="F28" s="1125"/>
      <c r="H28" s="252" t="s">
        <v>1585</v>
      </c>
      <c r="AX28" s="1101" t="s">
        <v>1586</v>
      </c>
      <c r="AZ28" s="1081" t="s">
        <v>1587</v>
      </c>
      <c r="BB28" s="1101" t="s">
        <v>1588</v>
      </c>
      <c r="BC28" s="1101" t="s">
        <v>1589</v>
      </c>
      <c r="BE28" s="1101">
        <v>2026</v>
      </c>
      <c r="BH28" s="254" t="s">
        <v>22</v>
      </c>
      <c r="BJ28" s="1103" t="s">
        <v>1475</v>
      </c>
      <c r="BL28" s="1103" t="s">
        <v>1475</v>
      </c>
      <c r="BN28" s="254" t="s">
        <v>22</v>
      </c>
      <c r="BQ28" s="1101">
        <v>4190073</v>
      </c>
      <c r="BR28" s="1103" t="s">
        <v>1590</v>
      </c>
      <c r="BS28" s="1106"/>
      <c r="BV28" s="254"/>
      <c r="BW28" s="254"/>
    </row>
    <row r="29" ht="11.25" customHeight="1">
      <c r="A29" s="144" t="s">
        <v>1591</v>
      </c>
      <c r="D29" s="1126" t="s">
        <v>1592</v>
      </c>
      <c r="E29" s="1127" t="str">
        <f>IF(TEMPLATE_GROUP="","",INDEX(StartDateList,MATCH(TEMPLATE_GROUP,CodeTemplateList,0),1))</f>
        <v>01.01.2025</v>
      </c>
      <c r="F29" s="1127" t="str">
        <f>IF(TEMPLATE_GROUP="","",INDEX(EndDateList,MATCH(TEMPLATE_GROUP,CodeTemplateList,0),1))</f>
        <v>31.12.2025</v>
      </c>
      <c r="H29" s="1128" t="s">
        <v>1593</v>
      </c>
      <c r="AX29" s="1101" t="s">
        <v>1594</v>
      </c>
      <c r="AZ29" s="1101" t="s">
        <v>1247</v>
      </c>
      <c r="BB29" s="1101" t="s">
        <v>1446</v>
      </c>
      <c r="BC29" s="107"/>
      <c r="BE29" s="1101">
        <v>2027</v>
      </c>
      <c r="BJ29" s="1103" t="s">
        <v>1483</v>
      </c>
      <c r="BL29" s="1103" t="s">
        <v>1483</v>
      </c>
    </row>
    <row r="30" ht="11.25" customHeight="1">
      <c r="A30" s="144" t="s">
        <v>1595</v>
      </c>
      <c r="D30" s="1129"/>
      <c r="E30" s="268"/>
      <c r="F30" s="268"/>
      <c r="AX30" s="1101" t="s">
        <v>1596</v>
      </c>
      <c r="AZ30" s="1101" t="s">
        <v>1275</v>
      </c>
      <c r="BE30" s="1101">
        <v>2028</v>
      </c>
      <c r="BJ30" s="1103" t="s">
        <v>1597</v>
      </c>
      <c r="BL30" s="1103" t="s">
        <v>1597</v>
      </c>
    </row>
    <row r="31" ht="12.75" customHeight="1">
      <c r="A31" s="144" t="s">
        <v>1598</v>
      </c>
      <c r="D31" s="144"/>
      <c r="E31" s="1125"/>
      <c r="F31" s="1125"/>
      <c r="H31" s="1130"/>
      <c r="AX31" s="1101" t="s">
        <v>1599</v>
      </c>
      <c r="AZ31" s="1101" t="s">
        <v>1600</v>
      </c>
      <c r="BE31" s="1101">
        <v>2029</v>
      </c>
      <c r="BJ31" s="1103" t="s">
        <v>1601</v>
      </c>
      <c r="BL31" s="1103" t="s">
        <v>1601</v>
      </c>
    </row>
    <row r="32" ht="11.25" customHeight="1">
      <c r="A32" s="144" t="s">
        <v>1602</v>
      </c>
      <c r="D32" s="1126" t="s">
        <v>1603</v>
      </c>
      <c r="E32" s="1127" t="str">
        <f>IF(TEMPLATE_GROUP="","",INDEX(StartDateList,MATCH(TEMPLATE_GROUP,CodeTemplateList,0),1))</f>
        <v>01.01.2025</v>
      </c>
      <c r="F32" s="1127" t="str">
        <f>IF(TEMPLATE_GROUP="","",INDEX(EndDateList,MATCH(TEMPLATE_GROUP,CodeTemplateList,0),1))</f>
        <v>31.12.2025</v>
      </c>
      <c r="H32" s="1131" t="s">
        <v>1604</v>
      </c>
      <c r="O32" s="144" t="s">
        <v>1245</v>
      </c>
      <c r="AX32" s="1101" t="s">
        <v>1605</v>
      </c>
      <c r="AZ32" s="1101" t="s">
        <v>1343</v>
      </c>
      <c r="BE32" s="1101">
        <v>2030</v>
      </c>
      <c r="BJ32" s="1103" t="s">
        <v>1492</v>
      </c>
      <c r="BL32" s="1103" t="s">
        <v>1492</v>
      </c>
    </row>
    <row r="33" ht="11.25" customHeight="1">
      <c r="A33" s="144" t="s">
        <v>1606</v>
      </c>
      <c r="O33" s="144" t="s">
        <v>1272</v>
      </c>
      <c r="AX33" s="1101" t="s">
        <v>1607</v>
      </c>
      <c r="AZ33" s="1101" t="s">
        <v>1246</v>
      </c>
      <c r="BE33" s="1101">
        <v>2031</v>
      </c>
      <c r="BJ33" s="1103" t="s">
        <v>1497</v>
      </c>
      <c r="BL33" s="1103" t="s">
        <v>1497</v>
      </c>
    </row>
    <row r="34" ht="11.25" customHeight="1">
      <c r="A34" s="144" t="s">
        <v>1608</v>
      </c>
      <c r="O34" s="144" t="s">
        <v>1308</v>
      </c>
      <c r="AX34" s="1101" t="s">
        <v>1609</v>
      </c>
      <c r="BE34" s="1101">
        <v>2032</v>
      </c>
      <c r="BJ34" s="1103" t="s">
        <v>1508</v>
      </c>
      <c r="BL34" s="1103" t="s">
        <v>1508</v>
      </c>
    </row>
    <row r="35" ht="11.25" customHeight="1">
      <c r="A35" s="144" t="s">
        <v>1610</v>
      </c>
      <c r="O35" s="144" t="s">
        <v>1341</v>
      </c>
      <c r="AX35" s="1101" t="s">
        <v>1611</v>
      </c>
      <c r="AZ35" s="1081" t="s">
        <v>1612</v>
      </c>
      <c r="BE35" s="1101">
        <v>2033</v>
      </c>
      <c r="BL35" s="1103" t="s">
        <v>1613</v>
      </c>
    </row>
    <row r="36" ht="11.25" customHeight="1">
      <c r="A36" s="1121" t="s">
        <v>1614</v>
      </c>
      <c r="D36" s="1132" t="s">
        <v>1615</v>
      </c>
      <c r="E36" s="1133" t="s">
        <v>888</v>
      </c>
      <c r="F36" s="1100" t="str">
        <f>INDEX(E37:E41,MATCH(TEMPLATE_SPHERE,F37:F41,0))</f>
        <v xml:space="preserve">горячего водоснабжения</v>
      </c>
      <c r="G36" s="1100" t="str">
        <f>INDEX(G37:G41,MATCH(TEMPLATE_SPHERE,F37:F41,0))</f>
        <v xml:space="preserve">горячее водоснабжение</v>
      </c>
      <c r="O36" s="144" t="s">
        <v>1366</v>
      </c>
      <c r="AX36" s="1101" t="s">
        <v>1616</v>
      </c>
      <c r="AZ36" s="1101" t="s">
        <v>1246</v>
      </c>
      <c r="BE36" s="1101">
        <v>2034</v>
      </c>
      <c r="BL36" s="1103" t="s">
        <v>1617</v>
      </c>
    </row>
    <row r="37" ht="11.25" customHeight="1">
      <c r="A37" s="144" t="s">
        <v>1618</v>
      </c>
      <c r="E37" s="1134" t="s">
        <v>1619</v>
      </c>
      <c r="F37" s="1135" t="s">
        <v>802</v>
      </c>
      <c r="G37" s="1134" t="s">
        <v>1620</v>
      </c>
      <c r="O37" s="144" t="s">
        <v>1385</v>
      </c>
      <c r="AX37" s="1101" t="s">
        <v>1621</v>
      </c>
      <c r="AZ37" s="1101" t="s">
        <v>1274</v>
      </c>
      <c r="BE37" s="1101">
        <v>2035</v>
      </c>
    </row>
    <row r="38" ht="11.25" customHeight="1">
      <c r="A38" s="144" t="s">
        <v>1622</v>
      </c>
      <c r="E38" s="1134" t="s">
        <v>1623</v>
      </c>
      <c r="F38" s="1136" t="s">
        <v>848</v>
      </c>
      <c r="G38" s="1134" t="s">
        <v>1624</v>
      </c>
      <c r="O38" s="144" t="s">
        <v>1402</v>
      </c>
      <c r="AX38" s="1101" t="s">
        <v>1625</v>
      </c>
      <c r="AZ38" s="1101" t="s">
        <v>1309</v>
      </c>
      <c r="BE38" s="1101">
        <v>2036</v>
      </c>
      <c r="BH38" s="1081" t="s">
        <v>1626</v>
      </c>
      <c r="BJ38" s="1081" t="s">
        <v>1627</v>
      </c>
      <c r="BL38" s="1081" t="s">
        <v>1628</v>
      </c>
      <c r="BN38" s="1081" t="s">
        <v>1629</v>
      </c>
    </row>
    <row r="39" ht="11.25" customHeight="1">
      <c r="A39" s="144" t="s">
        <v>1630</v>
      </c>
      <c r="E39" s="1134" t="s">
        <v>1631</v>
      </c>
      <c r="F39" s="1136" t="s">
        <v>901</v>
      </c>
      <c r="G39" s="1134" t="s">
        <v>1632</v>
      </c>
      <c r="O39" s="144" t="s">
        <v>1417</v>
      </c>
      <c r="AX39" s="1101" t="s">
        <v>1633</v>
      </c>
      <c r="AZ39" s="1101" t="s">
        <v>1342</v>
      </c>
      <c r="BE39" s="1101">
        <v>2037</v>
      </c>
      <c r="BH39" s="1103" t="s">
        <v>1634</v>
      </c>
      <c r="BJ39" s="1118" t="s">
        <v>1634</v>
      </c>
      <c r="BL39" s="1118" t="s">
        <v>1634</v>
      </c>
      <c r="BN39" s="1103" t="s">
        <v>1635</v>
      </c>
    </row>
    <row r="40" ht="11.25" customHeight="1">
      <c r="A40" s="144" t="s">
        <v>1636</v>
      </c>
      <c r="E40" s="1134" t="s">
        <v>1637</v>
      </c>
      <c r="F40" s="1136" t="s">
        <v>888</v>
      </c>
      <c r="G40" s="1134" t="s">
        <v>1638</v>
      </c>
      <c r="O40" s="144" t="s">
        <v>1431</v>
      </c>
      <c r="AX40" s="1101" t="s">
        <v>1639</v>
      </c>
      <c r="BE40" s="1101">
        <v>2038</v>
      </c>
      <c r="BH40" s="1103" t="s">
        <v>1640</v>
      </c>
      <c r="BJ40" s="1118" t="s">
        <v>1057</v>
      </c>
      <c r="BL40" s="1118" t="s">
        <v>1057</v>
      </c>
      <c r="BN40" s="1103" t="s">
        <v>1091</v>
      </c>
    </row>
    <row r="41" ht="11.25" customHeight="1">
      <c r="A41" s="144" t="s">
        <v>1641</v>
      </c>
      <c r="E41" s="1134" t="s">
        <v>1642</v>
      </c>
      <c r="F41" s="1136" t="s">
        <v>1643</v>
      </c>
      <c r="G41" s="1134" t="s">
        <v>1642</v>
      </c>
      <c r="O41" s="144" t="s">
        <v>1446</v>
      </c>
      <c r="AX41" s="1101" t="s">
        <v>1644</v>
      </c>
      <c r="AZ41" s="1081" t="s">
        <v>1645</v>
      </c>
      <c r="BE41" s="1101">
        <v>2039</v>
      </c>
      <c r="BH41" s="1103" t="s">
        <v>1646</v>
      </c>
      <c r="BJ41" s="1118" t="s">
        <v>1053</v>
      </c>
      <c r="BL41" s="1118" t="s">
        <v>1053</v>
      </c>
      <c r="BN41" s="1103" t="s">
        <v>1078</v>
      </c>
    </row>
    <row r="42" ht="11.25" customHeight="1">
      <c r="A42" s="144" t="s">
        <v>1647</v>
      </c>
      <c r="AX42" s="1101" t="s">
        <v>1648</v>
      </c>
      <c r="AZ42" s="1101" t="s">
        <v>1245</v>
      </c>
      <c r="BE42" s="1101">
        <v>2040</v>
      </c>
      <c r="BH42" s="1103" t="s">
        <v>1075</v>
      </c>
      <c r="BJ42" s="1118" t="s">
        <v>1055</v>
      </c>
      <c r="BL42" s="1118" t="s">
        <v>1055</v>
      </c>
      <c r="BN42" s="1103" t="s">
        <v>1649</v>
      </c>
    </row>
    <row r="43" ht="11.25" customHeight="1">
      <c r="A43" s="144" t="s">
        <v>1650</v>
      </c>
      <c r="AX43" s="1101" t="s">
        <v>1651</v>
      </c>
      <c r="AZ43" s="1101" t="s">
        <v>1272</v>
      </c>
      <c r="BE43" s="1101">
        <v>2041</v>
      </c>
      <c r="BH43" s="1103" t="s">
        <v>1652</v>
      </c>
      <c r="BJ43" s="1118" t="s">
        <v>1646</v>
      </c>
      <c r="BL43" s="1118" t="s">
        <v>1646</v>
      </c>
      <c r="BN43" s="1103" t="s">
        <v>1653</v>
      </c>
    </row>
    <row r="44" ht="11.25" customHeight="1">
      <c r="A44" s="144" t="s">
        <v>1654</v>
      </c>
      <c r="G44" s="849">
        <f ca="1">YEAR(TODAY())</f>
        <v>2025</v>
      </c>
      <c r="I44" s="1137" t="s">
        <v>1655</v>
      </c>
      <c r="J44" s="1117" t="s">
        <v>1656</v>
      </c>
      <c r="K44" s="1117" t="s">
        <v>1657</v>
      </c>
      <c r="AX44" s="1101" t="s">
        <v>1658</v>
      </c>
      <c r="AZ44" s="1101" t="s">
        <v>1308</v>
      </c>
      <c r="BE44" s="1101">
        <v>2042</v>
      </c>
      <c r="BH44" s="1103" t="s">
        <v>1659</v>
      </c>
      <c r="BJ44" s="1118" t="s">
        <v>1075</v>
      </c>
      <c r="BL44" s="1118" t="s">
        <v>1075</v>
      </c>
      <c r="BN44" s="1103" t="s">
        <v>1660</v>
      </c>
    </row>
    <row r="45" ht="11.25" customHeight="1">
      <c r="A45" s="144" t="s">
        <v>1661</v>
      </c>
      <c r="D45" s="1132" t="s">
        <v>1662</v>
      </c>
      <c r="E45" s="1133" t="s">
        <v>1049</v>
      </c>
      <c r="F45" s="1082" t="s">
        <v>1663</v>
      </c>
      <c r="G45" s="1138" t="s">
        <v>1664</v>
      </c>
      <c r="H45" s="1137" t="s">
        <v>1665</v>
      </c>
      <c r="I45" s="1139" t="b">
        <f>INDEX(PeriodIsEmptyList,MATCH(TEMPLATE_GROUP,CodeTemplateList,0),1)</f>
        <v>0</v>
      </c>
      <c r="J45" s="1140" t="str">
        <f>INDEX(NameTemplatesInTitleList,MATCH(TEMPLATE_GROUP,CodeTemplateList,0),1)</f>
        <v xml:space="preserve">Информация об инвестиционных программах регулируемой организации в области горячего водоснабжения</v>
      </c>
      <c r="K45" s="1140" t="str">
        <f>"Перечень муниципальных районов и муниципальных образований (территорий "&amp;IF(OR(TEMPLATE_GROUP="P",TEMPLATE_GROUP="R",TEMPLATE_GROUP="Q"),"действия тарифа","оказания услуг")&amp;")"</f>
        <v xml:space="preserve">Перечень муниципальных районов и муниципальных образований (территорий оказания услуг)</v>
      </c>
      <c r="AX45" s="1101" t="s">
        <v>1666</v>
      </c>
      <c r="AZ45" s="1101" t="s">
        <v>1341</v>
      </c>
      <c r="BE45" s="1101">
        <v>2043</v>
      </c>
      <c r="BH45" s="1103" t="s">
        <v>1667</v>
      </c>
      <c r="BJ45" s="1118" t="s">
        <v>1069</v>
      </c>
      <c r="BL45" s="1118" t="s">
        <v>1069</v>
      </c>
      <c r="BN45" s="1103" t="s">
        <v>1668</v>
      </c>
    </row>
    <row r="46" ht="11.25" customHeight="1">
      <c r="A46" s="144" t="s">
        <v>1669</v>
      </c>
      <c r="E46" s="1134" t="s">
        <v>27</v>
      </c>
      <c r="F46" s="1135" t="s">
        <v>1670</v>
      </c>
      <c r="G46" s="1141" t="str">
        <f>_xlfn.IFERROR(IF(TITLE_DATE_FIL="","01.01."&amp;CURRENT_YEAR,"01.01."&amp;YEAR(TITLE_DATE_FIL)),"01.01."&amp;CURRENT_YEAR)</f>
        <v>01.01.2025</v>
      </c>
      <c r="H46" s="1141" t="str">
        <f>_xlfn.IFERROR(IF(TITLE_DATE_FIL="","31.12."&amp;CURRENT_YEAR,"31.12."&amp;YEAR(TITLE_DATE_FIL)),"31.12."&amp;CURRENT_YEAR)</f>
        <v>31.12.2025</v>
      </c>
      <c r="I46" s="1142" t="b">
        <f>IF(TITLE_DATE_FIL="",TRUE,FALSE)</f>
        <v>1</v>
      </c>
      <c r="J46" s="1143" t="str">
        <f>"Общая информация о регулируемой организации ("&amp;TEMPLATE_SPHERE_RUS&amp;")"</f>
        <v xml:space="preserve">Общая информация о регулируемой организации (горячего водоснабжения)</v>
      </c>
      <c r="K46" s="1144"/>
      <c r="AX46" s="1101" t="s">
        <v>1671</v>
      </c>
      <c r="AZ46" s="1101" t="s">
        <v>1366</v>
      </c>
      <c r="BE46" s="1101">
        <v>2044</v>
      </c>
      <c r="BH46" s="1103" t="s">
        <v>1078</v>
      </c>
      <c r="BJ46" s="1118" t="s">
        <v>1059</v>
      </c>
      <c r="BL46" s="1118" t="s">
        <v>1059</v>
      </c>
      <c r="BN46" s="1103" t="s">
        <v>1672</v>
      </c>
    </row>
    <row r="47" ht="11.25" customHeight="1">
      <c r="A47" s="144" t="s">
        <v>1673</v>
      </c>
      <c r="E47" s="1134" t="s">
        <v>33</v>
      </c>
      <c r="F47" s="1136" t="s">
        <v>1674</v>
      </c>
      <c r="G47" s="1141" t="str">
        <f>_xlfn.IFERROR(IF(f_year="","01.01."&amp;CURRENT_YEAR,IF(LEN(f_quart)=0,"01.01."&amp;f_year,IF(f_quart="I квартал","01.01."&amp;f_year,IF(f_quart="II квартал","01.04."&amp;f_year,(IF(f_quart="III квартал","01.07."&amp;f_year,"01.10."&amp;f_year)))))),"01.01."&amp;CURRENT_YEAR)</f>
        <v>01.01.2025</v>
      </c>
      <c r="H47" s="1141" t="str">
        <f>_xlfn.IFERROR(IF(f_year="","31.12."&amp;CURRENT_YEAR,IF(LEN(f_quart)=0,"31.12."&amp;f_year,IF(f_quart="I квартал","31.03."&amp;f_year,IF(f_quart="II квартал","30.06."&amp;f_year,(IF(f_quart="III квартал","30.09."&amp;f_year,"31.12."&amp;f_year)))))),"31.12."&amp;CURRENT_YEAR)</f>
        <v>31.12.2025</v>
      </c>
      <c r="I47" s="1145" t="b">
        <f>IF(OR(f_year="",f_quart=""),TRUE,FALSE)</f>
        <v>1</v>
      </c>
      <c r="J47" s="1143"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 xml:space="preserve">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144"/>
      <c r="AX47" s="1101" t="s">
        <v>1675</v>
      </c>
      <c r="AZ47" s="1101" t="s">
        <v>1385</v>
      </c>
      <c r="BE47" s="1101">
        <v>2045</v>
      </c>
      <c r="BH47" s="1103" t="s">
        <v>1649</v>
      </c>
      <c r="BJ47" s="1118" t="s">
        <v>1061</v>
      </c>
      <c r="BL47" s="1118" t="s">
        <v>1061</v>
      </c>
      <c r="BN47" s="1103" t="s">
        <v>1676</v>
      </c>
    </row>
    <row r="48" ht="11.25" customHeight="1">
      <c r="A48" s="144" t="s">
        <v>1677</v>
      </c>
      <c r="E48" s="1134" t="s">
        <v>1678</v>
      </c>
      <c r="F48" s="1136" t="s">
        <v>1679</v>
      </c>
      <c r="G48" s="1141" t="str">
        <f t="shared" ref="G48:G50" si="55">_xlfn.IFERROR(IF(f_year="","01.01."&amp;CURRENT_YEAR,"01.01."&amp;f_year),"01.01."&amp;CURRENT_YEAR)</f>
        <v>01.01.2025</v>
      </c>
      <c r="H48" s="1141" t="str">
        <f t="shared" ref="H48:H50" si="56">_xlfn.IFERROR(IF(f_year="","31.12."&amp;CURRENT_YEAR,"31.12."&amp;f_year),"31.12."&amp;CURRENT_YEAR)</f>
        <v>31.12.2025</v>
      </c>
      <c r="I48" s="1142" t="b">
        <f t="shared" ref="I48:I50" si="57">IF(f_year="",TRUE,FALSE)</f>
        <v>0</v>
      </c>
      <c r="J48" s="1143" t="s">
        <v>1680</v>
      </c>
      <c r="K48" s="1144"/>
      <c r="AX48" s="1101" t="s">
        <v>1681</v>
      </c>
      <c r="AZ48" s="1101" t="s">
        <v>1402</v>
      </c>
      <c r="BE48" s="1101">
        <v>2046</v>
      </c>
      <c r="BH48" s="1103" t="s">
        <v>1653</v>
      </c>
      <c r="BJ48" s="1118" t="s">
        <v>1063</v>
      </c>
      <c r="BL48" s="1118" t="s">
        <v>1063</v>
      </c>
      <c r="BN48" s="1103" t="s">
        <v>1682</v>
      </c>
    </row>
    <row r="49" ht="11.25" customHeight="1">
      <c r="A49" s="144" t="s">
        <v>1683</v>
      </c>
      <c r="E49" s="1134" t="s">
        <v>1684</v>
      </c>
      <c r="F49" s="1136" t="s">
        <v>1685</v>
      </c>
      <c r="G49" s="1141" t="str">
        <f t="shared" si="55"/>
        <v>01.01.2025</v>
      </c>
      <c r="H49" s="1141" t="str">
        <f t="shared" si="56"/>
        <v>31.12.2025</v>
      </c>
      <c r="I49" s="1142" t="b">
        <f t="shared" si="57"/>
        <v>0</v>
      </c>
      <c r="J49" s="1143" t="str">
        <f>"Информация об условиях, на которых осуществляется поставка товаров (оказание услуг) в сфере "&amp;TEMPLATE_SPHERE_RUS</f>
        <v xml:space="preserve">Информация об условиях, на которых осуществляется поставка товаров (оказание услуг) в сфере горячего водоснабжения</v>
      </c>
      <c r="K49" s="1144"/>
      <c r="AX49" s="1101" t="s">
        <v>1686</v>
      </c>
      <c r="AZ49" s="1101" t="s">
        <v>1417</v>
      </c>
      <c r="BE49" s="1101">
        <v>2047</v>
      </c>
      <c r="BH49" s="1103" t="s">
        <v>1079</v>
      </c>
      <c r="BJ49" s="1118" t="s">
        <v>1065</v>
      </c>
      <c r="BL49" s="1118" t="s">
        <v>1065</v>
      </c>
    </row>
    <row r="50" ht="11.25" customHeight="1">
      <c r="A50" s="144" t="s">
        <v>1687</v>
      </c>
      <c r="E50" s="1134" t="s">
        <v>1688</v>
      </c>
      <c r="F50" s="1136" t="s">
        <v>1049</v>
      </c>
      <c r="G50" s="1141" t="str">
        <f t="shared" si="55"/>
        <v>01.01.2025</v>
      </c>
      <c r="H50" s="1141" t="str">
        <f t="shared" si="56"/>
        <v>31.12.2025</v>
      </c>
      <c r="I50" s="1142" t="b">
        <f t="shared" si="57"/>
        <v>0</v>
      </c>
      <c r="J50" s="1143" t="str">
        <f>"Информация об инвестиционных программах регулируемой организации в области "&amp;TEMPLATE_SPHERE_RUS</f>
        <v xml:space="preserve">Информация об инвестиционных программах регулируемой организации в области горячего водоснабжения</v>
      </c>
      <c r="K50" s="1144"/>
      <c r="AX50" s="1101" t="s">
        <v>1689</v>
      </c>
      <c r="AZ50" s="1101" t="s">
        <v>1431</v>
      </c>
      <c r="BE50" s="1101">
        <v>2048</v>
      </c>
      <c r="BH50" s="1103" t="s">
        <v>1660</v>
      </c>
      <c r="BJ50" s="1118" t="s">
        <v>1067</v>
      </c>
      <c r="BL50" s="1118" t="s">
        <v>1067</v>
      </c>
    </row>
    <row r="51" ht="11.25" customHeight="1">
      <c r="A51" s="144" t="s">
        <v>1690</v>
      </c>
      <c r="E51" s="1134" t="s">
        <v>1691</v>
      </c>
      <c r="F51" s="1136" t="s">
        <v>1692</v>
      </c>
      <c r="G51" s="1141" t="str">
        <f t="shared" ref="G51:G52" si="58">_xlfn.IFERROR(IF(TITLE_PERIOD_START="","01.01."&amp;CURRENT_YEAR,"01.01."&amp;YEAR(TITLE_PERIOD_START)),"01.01."&amp;CURRENT_YEAR)</f>
        <v>01.01.2025</v>
      </c>
      <c r="H51" s="1141" t="str">
        <f t="shared" ref="H51:H52" si="59">_xlfn.IFERROR(IF(TITLE_PERIOD_END="","31.12."&amp;CURRENT_YEAR,"31.12."&amp;YEAR(TITLE_PERIOD_END)),"31.12."&amp;CURRENT_YEAR)</f>
        <v>31.12.2025</v>
      </c>
      <c r="I51" s="1145" t="b">
        <f t="shared" ref="I51:I52" si="60">IF(OR(TITLE_PERIOD_START="",TITLE_PERIOD_END=""),TRUE,FALSE)</f>
        <v>1</v>
      </c>
      <c r="J51" s="1143"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 xml:space="preserve">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144"/>
      <c r="AX51" s="1101" t="s">
        <v>1693</v>
      </c>
      <c r="AZ51" s="1101" t="s">
        <v>1446</v>
      </c>
      <c r="BE51" s="1101">
        <v>2049</v>
      </c>
      <c r="BH51" s="1103" t="s">
        <v>1668</v>
      </c>
      <c r="BJ51" s="1118" t="s">
        <v>1694</v>
      </c>
      <c r="BL51" s="1118" t="s">
        <v>1694</v>
      </c>
    </row>
    <row r="52" ht="11.25" customHeight="1">
      <c r="A52" s="144" t="s">
        <v>1695</v>
      </c>
      <c r="E52" s="1134" t="s">
        <v>1696</v>
      </c>
      <c r="F52" s="1136" t="s">
        <v>1697</v>
      </c>
      <c r="G52" s="1141" t="str">
        <f t="shared" si="58"/>
        <v>01.01.2025</v>
      </c>
      <c r="H52" s="1141" t="str">
        <f t="shared" si="59"/>
        <v>31.12.2025</v>
      </c>
      <c r="I52" s="1145" t="b">
        <f t="shared" si="60"/>
        <v>1</v>
      </c>
      <c r="J52" s="1143" t="str">
        <f>"Показатели, подлежащие раскрытию в сфере "&amp;TEMPLATE_SPHERE_RUS&amp;" (цены и тарифы)"</f>
        <v xml:space="preserve">Показатели, подлежащие раскрытию в сфере горячего водоснабжения (цены и тарифы)</v>
      </c>
      <c r="K52" s="1144"/>
      <c r="AX52" s="1101" t="s">
        <v>1698</v>
      </c>
      <c r="AZ52" s="1101" t="s">
        <v>1246</v>
      </c>
      <c r="BE52" s="1101">
        <v>2050</v>
      </c>
      <c r="BH52" s="1103" t="s">
        <v>1672</v>
      </c>
      <c r="BJ52" s="1118" t="s">
        <v>1078</v>
      </c>
      <c r="BL52" s="1118" t="s">
        <v>1078</v>
      </c>
    </row>
    <row r="53" ht="11.25" customHeight="1">
      <c r="A53" s="144" t="s">
        <v>1699</v>
      </c>
      <c r="E53" s="1134" t="s">
        <v>1700</v>
      </c>
      <c r="F53" s="1136" t="s">
        <v>1700</v>
      </c>
      <c r="G53" s="1141" t="str">
        <f>_xlfn.IFERROR(IF(f_year="","01.01."&amp;CURRENT_YEAR,"01.01."&amp;f_year),"01.01."&amp;CURRENT_YEAR)</f>
        <v>01.01.2025</v>
      </c>
      <c r="H53" s="1141" t="str">
        <f>_xlfn.IFERROR(IF(f_year="","31.12."&amp;CURRENT_YEAR,"31.12."&amp;f_year),"31.12."&amp;CURRENT_YEAR)</f>
        <v>31.12.2025</v>
      </c>
      <c r="I53" s="1142" t="b">
        <f>IF(AND(f_year="",TITLE_DATE_FIL=""),TRUE,FALSE)</f>
        <v>0</v>
      </c>
      <c r="J53" s="1143" t="s">
        <v>1701</v>
      </c>
      <c r="K53" s="1144"/>
      <c r="AX53" s="1101" t="s">
        <v>1702</v>
      </c>
      <c r="BE53" s="1101">
        <v>2051</v>
      </c>
      <c r="BH53" s="1103" t="s">
        <v>1676</v>
      </c>
      <c r="BJ53" s="1118" t="s">
        <v>1649</v>
      </c>
      <c r="BL53" s="1118" t="s">
        <v>1649</v>
      </c>
    </row>
    <row r="54" ht="11.25" customHeight="1">
      <c r="A54" s="144" t="s">
        <v>1703</v>
      </c>
      <c r="AX54" s="1101" t="s">
        <v>1704</v>
      </c>
      <c r="AZ54" s="1081" t="s">
        <v>1705</v>
      </c>
      <c r="BE54" s="1101">
        <v>2052</v>
      </c>
      <c r="BH54" s="1103" t="s">
        <v>1682</v>
      </c>
      <c r="BJ54" s="1118" t="s">
        <v>1653</v>
      </c>
      <c r="BL54" s="1118" t="s">
        <v>1653</v>
      </c>
    </row>
    <row r="55" ht="11.25" customHeight="1">
      <c r="A55" s="144" t="s">
        <v>1706</v>
      </c>
      <c r="AX55" s="1101" t="s">
        <v>1707</v>
      </c>
      <c r="AZ55" s="1101" t="s">
        <v>1248</v>
      </c>
      <c r="BE55" s="1101">
        <v>2053</v>
      </c>
      <c r="BH55" s="254" t="s">
        <v>22</v>
      </c>
      <c r="BJ55" s="1118" t="s">
        <v>1079</v>
      </c>
      <c r="BL55" s="1118" t="s">
        <v>1079</v>
      </c>
    </row>
    <row r="56" ht="11.25" customHeight="1">
      <c r="A56" s="144" t="s">
        <v>1708</v>
      </c>
      <c r="D56" s="1146" t="s">
        <v>1709</v>
      </c>
      <c r="E56" s="1117" t="s">
        <v>107</v>
      </c>
      <c r="F56" s="144" t="s">
        <v>1710</v>
      </c>
      <c r="AX56" s="1101" t="s">
        <v>1711</v>
      </c>
      <c r="AZ56" s="1101" t="s">
        <v>1276</v>
      </c>
      <c r="BE56" s="1101">
        <v>2054</v>
      </c>
      <c r="BH56" s="254" t="s">
        <v>22</v>
      </c>
      <c r="BJ56" s="1118" t="s">
        <v>1660</v>
      </c>
      <c r="BL56" s="1118" t="s">
        <v>1660</v>
      </c>
    </row>
    <row r="57" ht="11.25" customHeight="1">
      <c r="A57" s="144" t="s">
        <v>1712</v>
      </c>
      <c r="D57" s="1146" t="s">
        <v>1713</v>
      </c>
      <c r="E57" s="1117" t="s">
        <v>107</v>
      </c>
      <c r="F57" s="144" t="s">
        <v>1710</v>
      </c>
      <c r="AX57" s="1101" t="s">
        <v>1714</v>
      </c>
      <c r="AZ57" s="1101" t="s">
        <v>1311</v>
      </c>
      <c r="BE57" s="1101">
        <v>2055</v>
      </c>
      <c r="BJ57" s="1118" t="s">
        <v>1668</v>
      </c>
      <c r="BL57" s="1118" t="s">
        <v>1668</v>
      </c>
    </row>
    <row r="58" ht="11.25" customHeight="1">
      <c r="A58" s="144" t="s">
        <v>1715</v>
      </c>
      <c r="D58" s="1146" t="s">
        <v>1716</v>
      </c>
      <c r="E58" s="1117" t="s">
        <v>1702</v>
      </c>
      <c r="F58" s="144" t="s">
        <v>1710</v>
      </c>
      <c r="AX58" s="1101" t="s">
        <v>1717</v>
      </c>
      <c r="BE58" s="1101">
        <v>2056</v>
      </c>
      <c r="BJ58" s="1118" t="s">
        <v>1672</v>
      </c>
      <c r="BL58" s="1118" t="s">
        <v>1672</v>
      </c>
    </row>
    <row r="59" ht="11.25" customHeight="1">
      <c r="A59" s="144" t="s">
        <v>1718</v>
      </c>
      <c r="D59" s="1146" t="s">
        <v>127</v>
      </c>
      <c r="E59" s="1117" t="s">
        <v>1605</v>
      </c>
      <c r="F59" s="144" t="s">
        <v>1719</v>
      </c>
      <c r="AX59" s="1101" t="s">
        <v>1720</v>
      </c>
      <c r="AZ59" s="1081" t="s">
        <v>1721</v>
      </c>
      <c r="BE59" s="1101">
        <v>2057</v>
      </c>
      <c r="BJ59" s="1118" t="s">
        <v>1676</v>
      </c>
      <c r="BL59" s="1118" t="s">
        <v>1676</v>
      </c>
    </row>
    <row r="60" ht="11.25" customHeight="1">
      <c r="A60" s="144" t="s">
        <v>1722</v>
      </c>
      <c r="D60" s="1146" t="s">
        <v>1723</v>
      </c>
      <c r="E60" s="1117" t="s">
        <v>1605</v>
      </c>
      <c r="F60" s="144" t="s">
        <v>1719</v>
      </c>
      <c r="AX60" s="1101" t="s">
        <v>1724</v>
      </c>
      <c r="AZ60" s="1101" t="s">
        <v>1249</v>
      </c>
      <c r="BE60" s="1101">
        <v>2058</v>
      </c>
      <c r="BJ60" s="1118" t="s">
        <v>1682</v>
      </c>
      <c r="BL60" s="1118" t="s">
        <v>1682</v>
      </c>
    </row>
    <row r="61" ht="11.25" customHeight="1">
      <c r="A61" s="144" t="s">
        <v>1725</v>
      </c>
      <c r="D61" s="1146" t="s">
        <v>1726</v>
      </c>
      <c r="E61" s="1117" t="s">
        <v>1605</v>
      </c>
      <c r="F61" s="144" t="s">
        <v>1719</v>
      </c>
      <c r="AX61" s="1101" t="s">
        <v>1727</v>
      </c>
      <c r="AZ61" s="1101" t="s">
        <v>1277</v>
      </c>
      <c r="BE61" s="1101">
        <v>2059</v>
      </c>
      <c r="BL61" s="1118" t="s">
        <v>1071</v>
      </c>
    </row>
    <row r="62" ht="11.25" customHeight="1">
      <c r="A62" s="144" t="s">
        <v>1728</v>
      </c>
      <c r="D62" s="1146" t="s">
        <v>126</v>
      </c>
      <c r="E62" s="1117">
        <v>30</v>
      </c>
      <c r="F62" s="144" t="s">
        <v>1719</v>
      </c>
      <c r="AZ62" s="1101" t="s">
        <v>1312</v>
      </c>
      <c r="BE62" s="1101">
        <v>2060</v>
      </c>
      <c r="BL62" s="1118" t="s">
        <v>1073</v>
      </c>
    </row>
    <row r="63" ht="11.25" customHeight="1">
      <c r="A63" s="144" t="s">
        <v>1729</v>
      </c>
      <c r="D63" s="1146" t="s">
        <v>1730</v>
      </c>
      <c r="E63" s="1117">
        <v>30</v>
      </c>
      <c r="F63" s="144" t="s">
        <v>1719</v>
      </c>
      <c r="AZ63" s="1101" t="s">
        <v>1344</v>
      </c>
      <c r="BE63" s="1101">
        <v>2061</v>
      </c>
    </row>
    <row r="64" ht="11.25" customHeight="1">
      <c r="A64" s="144" t="s">
        <v>1731</v>
      </c>
      <c r="D64" s="1146" t="s">
        <v>1732</v>
      </c>
      <c r="E64" s="1117">
        <v>30</v>
      </c>
      <c r="F64" s="144" t="s">
        <v>1719</v>
      </c>
      <c r="AZ64" s="1101" t="s">
        <v>1367</v>
      </c>
      <c r="BE64" s="1101">
        <v>2062</v>
      </c>
    </row>
    <row r="65" ht="11.25" customHeight="1">
      <c r="A65" s="144" t="s">
        <v>1733</v>
      </c>
      <c r="D65" s="144"/>
      <c r="BE65" s="1101">
        <v>2063</v>
      </c>
    </row>
    <row r="66" ht="11.25" customHeight="1">
      <c r="A66" s="144" t="s">
        <v>1734</v>
      </c>
      <c r="AZ66" s="1081" t="s">
        <v>1735</v>
      </c>
      <c r="BE66" s="1101">
        <v>2064</v>
      </c>
    </row>
    <row r="67" ht="11.25" customHeight="1">
      <c r="A67" s="144" t="s">
        <v>1736</v>
      </c>
      <c r="AZ67" s="1101" t="s">
        <v>1250</v>
      </c>
      <c r="BE67" s="1101">
        <v>2065</v>
      </c>
    </row>
    <row r="68" ht="11.25" customHeight="1">
      <c r="A68" s="144" t="s">
        <v>1737</v>
      </c>
      <c r="AZ68" s="1101" t="s">
        <v>1278</v>
      </c>
      <c r="BE68" s="1101">
        <v>2066</v>
      </c>
      <c r="BH68" s="1081" t="s">
        <v>1738</v>
      </c>
      <c r="BJ68" s="1081" t="s">
        <v>1739</v>
      </c>
      <c r="BL68" s="1081" t="s">
        <v>1740</v>
      </c>
      <c r="BN68" s="1081" t="s">
        <v>1741</v>
      </c>
    </row>
    <row r="69" ht="11.25" customHeight="1">
      <c r="A69" s="144" t="s">
        <v>1742</v>
      </c>
      <c r="AZ69" s="1101" t="s">
        <v>1313</v>
      </c>
      <c r="BE69" s="1101">
        <v>2067</v>
      </c>
      <c r="BH69" s="1103" t="s">
        <v>1743</v>
      </c>
      <c r="BI69" s="254" t="s">
        <v>105</v>
      </c>
      <c r="BJ69" s="1103" t="s">
        <v>1744</v>
      </c>
      <c r="BK69" s="254" t="s">
        <v>105</v>
      </c>
      <c r="BL69" s="1103" t="s">
        <v>1745</v>
      </c>
      <c r="BM69" s="254" t="s">
        <v>105</v>
      </c>
      <c r="BN69" s="1103" t="s">
        <v>1746</v>
      </c>
    </row>
    <row r="70" ht="11.25" customHeight="1">
      <c r="A70" s="144" t="s">
        <v>1747</v>
      </c>
      <c r="AZ70" s="1101" t="s">
        <v>1345</v>
      </c>
      <c r="BE70" s="1101">
        <v>2068</v>
      </c>
      <c r="BH70" s="1103" t="s">
        <v>1748</v>
      </c>
      <c r="BJ70" s="1103" t="s">
        <v>1749</v>
      </c>
      <c r="BL70" s="1103" t="s">
        <v>1750</v>
      </c>
      <c r="BN70" s="1103" t="s">
        <v>1751</v>
      </c>
    </row>
    <row r="71" ht="11.25" customHeight="1">
      <c r="A71" s="144" t="s">
        <v>1752</v>
      </c>
      <c r="AZ71" s="1101" t="s">
        <v>1347</v>
      </c>
      <c r="BE71" s="1101">
        <v>2069</v>
      </c>
      <c r="BH71" s="1103" t="s">
        <v>1753</v>
      </c>
      <c r="BI71" s="254" t="s">
        <v>89</v>
      </c>
      <c r="BJ71" s="1103" t="s">
        <v>1754</v>
      </c>
      <c r="BK71" s="254" t="s">
        <v>89</v>
      </c>
      <c r="BL71" s="1103" t="s">
        <v>1755</v>
      </c>
      <c r="BM71" s="254" t="s">
        <v>89</v>
      </c>
      <c r="BN71" s="1103" t="s">
        <v>1756</v>
      </c>
    </row>
    <row r="72" ht="11.25" customHeight="1">
      <c r="A72" s="144" t="s">
        <v>1757</v>
      </c>
      <c r="AZ72" s="1101" t="s">
        <v>19</v>
      </c>
      <c r="BE72" s="1101">
        <v>2070</v>
      </c>
      <c r="BH72" s="1103" t="s">
        <v>1758</v>
      </c>
      <c r="BJ72" s="1103" t="s">
        <v>1758</v>
      </c>
      <c r="BL72" s="1103" t="s">
        <v>1758</v>
      </c>
      <c r="BN72" s="1103" t="s">
        <v>1759</v>
      </c>
    </row>
    <row r="73" ht="11.25" customHeight="1">
      <c r="A73" s="144" t="s">
        <v>1760</v>
      </c>
      <c r="BH73" s="1103" t="s">
        <v>1761</v>
      </c>
      <c r="BI73" s="254" t="s">
        <v>107</v>
      </c>
      <c r="BJ73" s="1103" t="s">
        <v>1762</v>
      </c>
      <c r="BK73" s="254" t="s">
        <v>107</v>
      </c>
      <c r="BL73" s="1103" t="s">
        <v>1763</v>
      </c>
      <c r="BM73" s="254" t="s">
        <v>107</v>
      </c>
      <c r="BN73" s="1103" t="s">
        <v>1764</v>
      </c>
    </row>
    <row r="74" ht="11.25" customHeight="1">
      <c r="A74" s="144" t="s">
        <v>1765</v>
      </c>
      <c r="BH74" s="1103" t="s">
        <v>1766</v>
      </c>
      <c r="BJ74" s="1103" t="s">
        <v>1767</v>
      </c>
      <c r="BL74" s="1103" t="s">
        <v>1768</v>
      </c>
      <c r="BN74" s="1103" t="s">
        <v>1769</v>
      </c>
    </row>
    <row r="75" ht="11.25" customHeight="1">
      <c r="A75" s="144" t="s">
        <v>1770</v>
      </c>
      <c r="AZ75" s="1081" t="s">
        <v>1771</v>
      </c>
      <c r="BH75" s="1103" t="s">
        <v>1772</v>
      </c>
      <c r="BJ75" s="1103" t="s">
        <v>1772</v>
      </c>
      <c r="BL75" s="1103" t="s">
        <v>1772</v>
      </c>
    </row>
    <row r="76" ht="11.25" customHeight="1">
      <c r="A76" s="144" t="s">
        <v>1773</v>
      </c>
      <c r="AZ76" s="1101" t="s">
        <v>1259</v>
      </c>
      <c r="BH76" s="1103" t="s">
        <v>1774</v>
      </c>
      <c r="BJ76" s="1103" t="s">
        <v>1020</v>
      </c>
      <c r="BL76" s="1103" t="s">
        <v>1775</v>
      </c>
    </row>
    <row r="77" ht="11.25" customHeight="1">
      <c r="A77" s="144" t="s">
        <v>1776</v>
      </c>
      <c r="AZ77" s="1101" t="s">
        <v>1288</v>
      </c>
    </row>
    <row r="78" ht="11.25" customHeight="1">
      <c r="A78" s="144" t="s">
        <v>1777</v>
      </c>
      <c r="AZ78" s="1101" t="s">
        <v>1320</v>
      </c>
    </row>
    <row r="79" ht="11.25" customHeight="1">
      <c r="A79" s="144" t="s">
        <v>1778</v>
      </c>
      <c r="AZ79" s="1101" t="s">
        <v>1351</v>
      </c>
      <c r="BH79" s="1081" t="s">
        <v>1779</v>
      </c>
      <c r="BJ79" s="1081" t="s">
        <v>1780</v>
      </c>
      <c r="BL79" s="1081" t="s">
        <v>1781</v>
      </c>
    </row>
    <row r="80" ht="11.25" customHeight="1">
      <c r="A80" s="144" t="s">
        <v>1782</v>
      </c>
      <c r="AZ80" s="1101" t="s">
        <v>1372</v>
      </c>
      <c r="BH80" s="1103" t="s">
        <v>1783</v>
      </c>
      <c r="BJ80" s="1103" t="s">
        <v>1784</v>
      </c>
      <c r="BL80" s="1103" t="s">
        <v>1785</v>
      </c>
    </row>
    <row r="81" ht="11.25" customHeight="1">
      <c r="A81" s="144" t="s">
        <v>1786</v>
      </c>
      <c r="AZ81" s="1101" t="s">
        <v>1389</v>
      </c>
      <c r="BH81" s="1103" t="s">
        <v>1787</v>
      </c>
      <c r="BJ81" s="1103" t="s">
        <v>1788</v>
      </c>
      <c r="BL81" s="1103" t="s">
        <v>1789</v>
      </c>
    </row>
    <row r="82" ht="11.25" customHeight="1">
      <c r="A82" s="144" t="s">
        <v>1790</v>
      </c>
      <c r="AZ82" s="1101" t="s">
        <v>1404</v>
      </c>
      <c r="BH82" s="1103" t="s">
        <v>1791</v>
      </c>
      <c r="BJ82" s="1103" t="s">
        <v>1792</v>
      </c>
      <c r="BL82" s="1103" t="s">
        <v>1793</v>
      </c>
    </row>
    <row r="83" ht="11.25" customHeight="1">
      <c r="A83" s="144" t="s">
        <v>1794</v>
      </c>
      <c r="BH83" s="1103" t="s">
        <v>1795</v>
      </c>
      <c r="BJ83" s="1103" t="s">
        <v>1796</v>
      </c>
      <c r="BL83" s="1103" t="s">
        <v>1797</v>
      </c>
    </row>
    <row r="84" ht="11.25" customHeight="1">
      <c r="A84" s="144" t="s">
        <v>1798</v>
      </c>
      <c r="AZ84" s="1081" t="s">
        <v>1799</v>
      </c>
    </row>
    <row r="85" ht="11.25" customHeight="1">
      <c r="A85" s="1121" t="s">
        <v>1800</v>
      </c>
      <c r="AZ85" s="1101" t="s">
        <v>1801</v>
      </c>
    </row>
    <row r="86" ht="11.25" customHeight="1">
      <c r="A86" s="144" t="s">
        <v>1802</v>
      </c>
      <c r="AZ86" s="1101" t="s">
        <v>1803</v>
      </c>
      <c r="BH86" s="1081" t="s">
        <v>1804</v>
      </c>
      <c r="BJ86" s="1081" t="s">
        <v>1805</v>
      </c>
      <c r="BL86" s="1081" t="s">
        <v>1806</v>
      </c>
    </row>
    <row r="87" ht="11.25" customHeight="1">
      <c r="A87" s="144" t="s">
        <v>1807</v>
      </c>
      <c r="AZ87" s="1101" t="s">
        <v>1808</v>
      </c>
      <c r="BH87" s="1103" t="s">
        <v>1809</v>
      </c>
      <c r="BJ87" s="1103" t="s">
        <v>1810</v>
      </c>
      <c r="BL87" s="1103" t="s">
        <v>1811</v>
      </c>
    </row>
    <row r="88" ht="11.25" customHeight="1">
      <c r="A88" s="144" t="s">
        <v>1812</v>
      </c>
      <c r="AZ88" s="63"/>
      <c r="BH88" s="1103" t="s">
        <v>1813</v>
      </c>
      <c r="BJ88" s="1103" t="s">
        <v>1814</v>
      </c>
      <c r="BL88" s="1103" t="s">
        <v>1815</v>
      </c>
    </row>
    <row r="89" ht="11.25" customHeight="1">
      <c r="A89" s="144" t="s">
        <v>1816</v>
      </c>
      <c r="AZ89" s="1081" t="s">
        <v>1817</v>
      </c>
    </row>
    <row r="90" ht="11.25" customHeight="1">
      <c r="A90" s="144" t="s">
        <v>1818</v>
      </c>
      <c r="AZ90" s="1101" t="s">
        <v>1049</v>
      </c>
    </row>
    <row r="91" ht="11.25" customHeight="1">
      <c r="A91" s="144" t="s">
        <v>1819</v>
      </c>
      <c r="AZ91" s="1101" t="s">
        <v>1085</v>
      </c>
      <c r="BH91" s="1081" t="s">
        <v>1820</v>
      </c>
      <c r="BJ91" s="1081" t="s">
        <v>1821</v>
      </c>
      <c r="BL91" s="1081" t="s">
        <v>1822</v>
      </c>
    </row>
    <row r="92" ht="11.25" customHeight="1">
      <c r="AZ92" s="1101" t="s">
        <v>1823</v>
      </c>
      <c r="BH92" s="1103" t="s">
        <v>1824</v>
      </c>
      <c r="BJ92" s="1103" t="s">
        <v>1825</v>
      </c>
      <c r="BL92" s="1103" t="s">
        <v>1826</v>
      </c>
    </row>
    <row r="93" ht="11.25" customHeight="1">
      <c r="AZ93" s="1101" t="s">
        <v>1827</v>
      </c>
      <c r="BH93" s="1103" t="s">
        <v>1828</v>
      </c>
      <c r="BJ93" s="1103" t="s">
        <v>1829</v>
      </c>
      <c r="BL93" s="1103" t="s">
        <v>1830</v>
      </c>
    </row>
    <row r="94" ht="11.25" customHeight="1">
      <c r="AZ94" s="1101" t="s">
        <v>1831</v>
      </c>
    </row>
    <row r="96" ht="11.25" customHeight="1">
      <c r="AZ96" s="1081" t="s">
        <v>1832</v>
      </c>
      <c r="BH96" s="1081" t="s">
        <v>1833</v>
      </c>
      <c r="BJ96" s="1081" t="s">
        <v>1834</v>
      </c>
      <c r="BL96" s="1081" t="s">
        <v>1835</v>
      </c>
      <c r="BN96" s="1081" t="s">
        <v>1836</v>
      </c>
    </row>
    <row r="97" ht="11.25" customHeight="1">
      <c r="AZ97" s="1147" t="s">
        <v>1837</v>
      </c>
      <c r="BA97" s="575" t="s">
        <v>1838</v>
      </c>
      <c r="BH97" s="1103" t="s">
        <v>1839</v>
      </c>
      <c r="BJ97" s="1103" t="s">
        <v>1840</v>
      </c>
      <c r="BL97" s="1103" t="s">
        <v>1841</v>
      </c>
      <c r="BN97" s="1103" t="s">
        <v>1842</v>
      </c>
    </row>
    <row r="98" ht="11.25" customHeight="1">
      <c r="AZ98" s="1147" t="s">
        <v>1843</v>
      </c>
      <c r="BA98" s="575" t="s">
        <v>1844</v>
      </c>
      <c r="BH98" s="1103" t="s">
        <v>1845</v>
      </c>
      <c r="BJ98" s="1103" t="s">
        <v>1846</v>
      </c>
      <c r="BL98" s="1103" t="s">
        <v>1847</v>
      </c>
      <c r="BN98" s="1103" t="s">
        <v>1848</v>
      </c>
    </row>
    <row r="99" ht="22.5" customHeight="1">
      <c r="AZ99" s="1147" t="s">
        <v>1849</v>
      </c>
      <c r="BA99" s="575" t="str">
        <f>"не позднее чем за "&amp;IF(TEMPLATE_SPHERE="TKO","3","10")&amp;" дней до дня проведения заседания правления"</f>
        <v xml:space="preserve">не позднее чем за 10 дней до дня проведения заседания правления</v>
      </c>
      <c r="BH99" s="1103" t="s">
        <v>1850</v>
      </c>
      <c r="BJ99" s="1103" t="s">
        <v>1851</v>
      </c>
      <c r="BL99" s="1103" t="s">
        <v>1852</v>
      </c>
      <c r="BN99" s="1103" t="s">
        <v>1853</v>
      </c>
    </row>
    <row r="100" ht="22.5" customHeight="1">
      <c r="AZ100" s="1147" t="s">
        <v>1854</v>
      </c>
      <c r="BA100" s="575" t="str">
        <f>"в течение "&amp;IF(TEMPLATE_SPHERE="HEAT","5","7")&amp;" рабочих дней со дня принятия соответствующего решения"</f>
        <v xml:space="preserve">в течение 7 рабочих дней со дня принятия соответствующего решения</v>
      </c>
      <c r="BJ100" s="1103" t="s">
        <v>1446</v>
      </c>
      <c r="BL100" s="1103" t="s">
        <v>1446</v>
      </c>
      <c r="BN100" s="1103" t="s">
        <v>1855</v>
      </c>
    </row>
    <row r="101" ht="22.5" customHeight="1">
      <c r="AZ101" s="1147" t="s">
        <v>1856</v>
      </c>
      <c r="BA101" s="575" t="s">
        <v>1857</v>
      </c>
      <c r="BN101" s="1103" t="s">
        <v>1858</v>
      </c>
    </row>
    <row r="102" ht="22.5" customHeight="1">
      <c r="AZ102" s="1147" t="s">
        <v>1859</v>
      </c>
      <c r="BA102" s="575" t="str">
        <f>"в течение "&amp;IF(TEMPLATE_SPHERE="HEAT","5","7")&amp;" рабочих дней со дня принятия соответствующего решения"</f>
        <v xml:space="preserve">в течение 7 рабочих дней со дня принятия соответствующего решения</v>
      </c>
      <c r="BN102" s="1103" t="s">
        <v>1860</v>
      </c>
    </row>
    <row r="103" ht="11.25" customHeight="1">
      <c r="AZ103" s="1147" t="s">
        <v>1861</v>
      </c>
      <c r="BA103" s="575" t="s">
        <v>1862</v>
      </c>
      <c r="BN103" s="1103" t="s">
        <v>1863</v>
      </c>
    </row>
    <row r="104" ht="11.25" customHeight="1">
      <c r="BN104" s="1103" t="s">
        <v>1864</v>
      </c>
    </row>
    <row r="105" ht="11.25" customHeight="1">
      <c r="AZ105" s="1081" t="s">
        <v>1865</v>
      </c>
    </row>
    <row r="106" ht="11.25" customHeight="1">
      <c r="AZ106" s="1101" t="s">
        <v>1866</v>
      </c>
    </row>
    <row r="107" ht="11.25" customHeight="1">
      <c r="AZ107" s="1101" t="s">
        <v>1867</v>
      </c>
      <c r="BH107" s="1081" t="s">
        <v>1868</v>
      </c>
      <c r="BJ107" s="1081" t="s">
        <v>1869</v>
      </c>
      <c r="BL107" s="1081" t="s">
        <v>1870</v>
      </c>
      <c r="BN107" s="1081" t="s">
        <v>1871</v>
      </c>
    </row>
    <row r="108" ht="11.25" customHeight="1">
      <c r="AZ108" s="1101" t="s">
        <v>565</v>
      </c>
      <c r="BH108" s="1103" t="s">
        <v>1872</v>
      </c>
      <c r="BJ108" s="1103" t="s">
        <v>1873</v>
      </c>
      <c r="BL108" s="1103" t="s">
        <v>1527</v>
      </c>
      <c r="BN108" s="1103" t="s">
        <v>1874</v>
      </c>
    </row>
    <row r="109" ht="11.25" customHeight="1">
      <c r="BH109" s="1103" t="s">
        <v>1875</v>
      </c>
    </row>
    <row r="110" ht="11.25" customHeight="1">
      <c r="AZ110" s="1081" t="s">
        <v>1876</v>
      </c>
      <c r="BH110" s="1103" t="s">
        <v>1875</v>
      </c>
    </row>
    <row r="111" ht="11.25" customHeight="1">
      <c r="AZ111" s="1147" t="s">
        <v>1837</v>
      </c>
      <c r="BA111" s="575" t="s">
        <v>1838</v>
      </c>
    </row>
    <row r="112" ht="11.25" customHeight="1">
      <c r="AZ112" s="1147" t="s">
        <v>1843</v>
      </c>
      <c r="BA112" s="575" t="s">
        <v>1844</v>
      </c>
    </row>
    <row r="113" ht="22.5" customHeight="1">
      <c r="AZ113" s="1147" t="s">
        <v>1849</v>
      </c>
      <c r="BA113" s="575" t="str">
        <f>"не позднее чем за "&amp;IF(TEMPLATE_SPHERE="TKO","3","10")&amp;" дней до дня проведения заседания правления"</f>
        <v xml:space="preserve">не позднее чем за 10 дней до дня проведения заседания правления</v>
      </c>
    </row>
    <row r="114" ht="22.5" customHeight="1">
      <c r="AZ114" s="1147" t="s">
        <v>1854</v>
      </c>
      <c r="BA114" s="575" t="str">
        <f t="shared" ref="BA114:BA115" si="61">"в течение "&amp;IF(TEMPLATE_SPHERE="HEAT","5","7")&amp;" рабочих дней со дня принятия соответствующего решения"</f>
        <v xml:space="preserve">в течение 7 рабочих дней со дня принятия соответствующего решения</v>
      </c>
      <c r="BH114" s="1081" t="s">
        <v>1877</v>
      </c>
    </row>
    <row r="115" ht="22.5" customHeight="1">
      <c r="AZ115" s="1147" t="s">
        <v>1859</v>
      </c>
      <c r="BA115" s="575" t="str">
        <f t="shared" si="61"/>
        <v xml:space="preserve">в течение 7 рабочих дней со дня принятия соответствующего решения</v>
      </c>
      <c r="BH115" s="1103" t="s">
        <v>1246</v>
      </c>
    </row>
    <row r="116" ht="11.25" customHeight="1">
      <c r="AZ116" s="1147" t="s">
        <v>1861</v>
      </c>
      <c r="BA116" s="575" t="s">
        <v>1862</v>
      </c>
      <c r="BH116" s="1103" t="s">
        <v>1274</v>
      </c>
    </row>
    <row r="117" ht="11.25" customHeight="1">
      <c r="BH117" s="1103" t="s">
        <v>1309</v>
      </c>
    </row>
    <row r="118" ht="11.25" customHeight="1">
      <c r="BH118" s="1103" t="s">
        <v>1342</v>
      </c>
    </row>
  </sheetData>
  <sheetProtection autoFilter="0" deleteColumns="1" deleteRows="1" formatCells="1" formatColumns="0" formatRows="0" insertColumns="1" insertHyperlinks="1" insertRows="1" objects="0" pivotTables="1" scenarios="0" selectLockedCells="0" selectUnlockedCells="0" sheet="1" sort="1"/>
  <printOptions headings="0" gridLines="0"/>
  <pageMargins left="0.75" right="0.75" top="1" bottom="1" header="0.5" footer="0.5"/>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legacyDrawing r:id="rId3"/>
</worksheet>
</file>

<file path=xl/worksheets/sheet5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zoomScale="90" workbookViewId="0">
      <pane xSplit="5" ySplit="11" topLeftCell="F12" activePane="bottomRight" state="frozen"/>
      <selection activeCell="A1" activeCellId="0" sqref="A1"/>
    </sheetView>
  </sheetViews>
  <sheetFormatPr defaultColWidth="9.140625" defaultRowHeight="11.25" customHeight="1"/>
  <cols>
    <col customWidth="1" hidden="1" min="1" max="2" style="335" width="15.00390625"/>
    <col customWidth="1" min="3" max="3" style="336" width="3.00390625"/>
    <col customWidth="1" min="4" max="4" style="337" width="6.00390625"/>
    <col customWidth="1" min="5" max="5" style="336" width="52.00390625"/>
    <col customWidth="1" min="6" max="6" style="336" width="48.00390625"/>
    <col customWidth="1" min="7" max="7" style="336" width="93.00390625"/>
    <col customWidth="1" min="8" max="8" style="336" width="8.00390625"/>
    <col customWidth="1" min="9" max="9" style="336" width="64.00390625"/>
    <col hidden="1" min="10" max="10" style="336" width="9.140625"/>
  </cols>
  <sheetData>
    <row r="1" ht="11.25" hidden="1" customHeight="1">
      <c r="A1" s="335" t="s">
        <v>293</v>
      </c>
      <c r="J1" s="336" t="s">
        <v>14</v>
      </c>
    </row>
    <row r="2" ht="22.5" hidden="1" customHeight="1">
      <c r="A2" s="343"/>
      <c r="B2" s="343"/>
      <c r="C2" s="822" t="s">
        <v>683</v>
      </c>
      <c r="D2" s="1148"/>
      <c r="E2" s="449"/>
      <c r="F2" s="669"/>
      <c r="H2" s="353"/>
      <c r="J2" s="336">
        <v>0</v>
      </c>
    </row>
    <row r="3" ht="11.25" hidden="1" customHeight="1">
      <c r="J3" s="336">
        <v>0</v>
      </c>
    </row>
    <row r="4" ht="11.5" customHeight="1">
      <c r="A4" s="1149"/>
      <c r="B4" s="1149"/>
      <c r="J4" s="336">
        <v>11</v>
      </c>
    </row>
    <row r="5" ht="27.300000000000001" customHeight="1">
      <c r="D5" s="186"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 xml:space="preserve">Форма 1. Информация об органе регулирования тарифов в сфере водоснабжения и водоотведения (далее – орган регулирования тарифов)</v>
      </c>
      <c r="E5" s="187"/>
      <c r="F5" s="188"/>
      <c r="I5" s="340"/>
      <c r="J5" s="336">
        <v>26</v>
      </c>
    </row>
    <row r="6" ht="18" customHeight="1">
      <c r="D6" s="304" t="str">
        <f>IF(region_name=0,"Не определено",region_name)</f>
        <v xml:space="preserve">Еврейская автономная область</v>
      </c>
      <c r="E6" s="304"/>
      <c r="F6" s="304"/>
      <c r="I6" s="340"/>
      <c r="J6" s="336">
        <v>17</v>
      </c>
    </row>
    <row r="7" s="338" customFormat="1" ht="11.5" customHeight="1">
      <c r="A7" s="335"/>
      <c r="B7" s="335"/>
      <c r="D7" s="341"/>
      <c r="E7" s="341"/>
      <c r="F7" s="342"/>
      <c r="G7" s="341"/>
      <c r="J7" s="338">
        <v>11</v>
      </c>
    </row>
    <row r="8" ht="11.25" hidden="1" customHeight="1">
      <c r="A8" s="343"/>
      <c r="B8" s="343"/>
      <c r="C8" s="91"/>
      <c r="D8" s="83"/>
      <c r="E8" s="344"/>
      <c r="F8" s="344"/>
      <c r="J8" s="336">
        <v>0</v>
      </c>
    </row>
    <row r="9" ht="11.5" customHeight="1">
      <c r="A9" s="343"/>
      <c r="B9" s="343"/>
      <c r="C9" s="91"/>
      <c r="D9" s="345" t="s">
        <v>294</v>
      </c>
      <c r="E9" s="346"/>
      <c r="F9" s="346"/>
      <c r="G9" s="347" t="s">
        <v>295</v>
      </c>
      <c r="J9" s="336">
        <v>11</v>
      </c>
    </row>
    <row r="10" ht="11.5" customHeight="1">
      <c r="A10" s="343"/>
      <c r="B10" s="343"/>
      <c r="C10" s="91"/>
      <c r="D10" s="346" t="s">
        <v>87</v>
      </c>
      <c r="E10" s="347" t="s">
        <v>296</v>
      </c>
      <c r="F10" s="347" t="s">
        <v>297</v>
      </c>
      <c r="G10" s="348"/>
      <c r="J10" s="336">
        <v>11</v>
      </c>
    </row>
    <row r="11" ht="1.05" customHeight="1">
      <c r="A11" s="343"/>
      <c r="B11" s="343"/>
      <c r="C11" s="91"/>
      <c r="D11" s="349"/>
      <c r="E11" s="349"/>
      <c r="F11" s="349"/>
      <c r="G11" s="349"/>
      <c r="J11" s="336">
        <v>1</v>
      </c>
    </row>
    <row r="12" ht="24" customHeight="1">
      <c r="A12" s="343"/>
      <c r="B12" s="343"/>
      <c r="C12" s="91"/>
      <c r="D12" s="1148">
        <v>1</v>
      </c>
      <c r="E12" s="35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регулирования тарифов</v>
      </c>
      <c r="F12" s="605" t="str">
        <f>IF(org="","",org)</f>
        <v xml:space="preserve">АО "ДГК" СП "Биробиджанская ТЭЦ"</v>
      </c>
      <c r="G12" s="35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 xml:space="preserve">Указывается в соответствии с нормативным правовым актом, на основании которого орган  регулирования тарифов образован.</v>
      </c>
      <c r="H12" s="1150"/>
      <c r="J12" s="336">
        <v>23</v>
      </c>
    </row>
    <row r="13" ht="19.949999999999999" customHeight="1">
      <c r="A13" s="343"/>
      <c r="B13" s="343"/>
      <c r="C13" s="91"/>
      <c r="D13" s="1148">
        <v>2</v>
      </c>
      <c r="E13" s="485" t="s">
        <v>1878</v>
      </c>
      <c r="F13" s="158" t="s">
        <v>300</v>
      </c>
      <c r="G13" s="356"/>
      <c r="H13" s="1150"/>
      <c r="J13" s="336">
        <v>19</v>
      </c>
    </row>
    <row r="14" ht="19.949999999999999" customHeight="1">
      <c r="A14" s="343"/>
      <c r="B14" s="343"/>
      <c r="C14" s="91"/>
      <c r="D14" s="313" t="s">
        <v>703</v>
      </c>
      <c r="E14" s="674" t="s">
        <v>1879</v>
      </c>
      <c r="F14" s="449"/>
      <c r="G14" s="486" t="s">
        <v>1880</v>
      </c>
      <c r="H14" s="1150"/>
      <c r="J14" s="336">
        <v>19</v>
      </c>
    </row>
    <row r="15" ht="19.949999999999999" customHeight="1">
      <c r="A15" s="343"/>
      <c r="B15" s="343"/>
      <c r="C15" s="91"/>
      <c r="D15" s="313" t="s">
        <v>301</v>
      </c>
      <c r="E15" s="674" t="s">
        <v>1881</v>
      </c>
      <c r="F15" s="449"/>
      <c r="G15" s="486" t="s">
        <v>1882</v>
      </c>
      <c r="H15" s="1150"/>
      <c r="J15" s="336">
        <v>19</v>
      </c>
    </row>
    <row r="16" ht="24" customHeight="1">
      <c r="A16" s="343"/>
      <c r="B16" s="343"/>
      <c r="C16" s="91"/>
      <c r="D16" s="313" t="s">
        <v>304</v>
      </c>
      <c r="E16" s="495" t="s">
        <v>1883</v>
      </c>
      <c r="F16" s="388"/>
      <c r="G16" s="356" t="s">
        <v>1884</v>
      </c>
      <c r="H16" s="1150"/>
      <c r="J16" s="336">
        <v>23</v>
      </c>
    </row>
    <row r="17" ht="48.25" customHeight="1">
      <c r="A17" s="343"/>
      <c r="B17" s="343"/>
      <c r="C17" s="91"/>
      <c r="D17" s="1148">
        <v>3</v>
      </c>
      <c r="E17" s="485" t="s">
        <v>1885</v>
      </c>
      <c r="F17" s="449"/>
      <c r="G17" s="356" t="s">
        <v>1886</v>
      </c>
      <c r="H17" s="1150"/>
      <c r="J17" s="336">
        <v>46</v>
      </c>
    </row>
    <row r="18" ht="48.25" customHeight="1">
      <c r="A18" s="1151">
        <v>1</v>
      </c>
      <c r="B18" s="343"/>
      <c r="C18" s="361"/>
      <c r="D18" s="1148" t="s">
        <v>90</v>
      </c>
      <c r="E18" s="485" t="s">
        <v>1887</v>
      </c>
      <c r="F18" s="449"/>
      <c r="G18" s="356" t="s">
        <v>1886</v>
      </c>
      <c r="H18" s="1150"/>
      <c r="I18" s="362"/>
      <c r="J18" s="336">
        <v>46</v>
      </c>
    </row>
    <row r="19" ht="23.25" customHeight="1">
      <c r="A19" s="343"/>
      <c r="B19" s="343"/>
      <c r="C19" s="91"/>
      <c r="D19" s="1148" t="s">
        <v>107</v>
      </c>
      <c r="E19" s="485" t="s">
        <v>1888</v>
      </c>
      <c r="F19" s="158" t="s">
        <v>300</v>
      </c>
      <c r="G19" s="1152" t="s">
        <v>1889</v>
      </c>
      <c r="H19" s="353"/>
      <c r="J19" s="336">
        <v>22</v>
      </c>
    </row>
    <row r="20" s="1153" customFormat="1" ht="5.25" hidden="1" customHeight="1">
      <c r="A20" s="343"/>
      <c r="B20" s="343"/>
      <c r="C20" s="1154"/>
      <c r="D20" s="1155" t="s">
        <v>1148</v>
      </c>
      <c r="E20" s="374"/>
      <c r="F20" s="159"/>
      <c r="G20" s="1156"/>
      <c r="J20" s="1153">
        <v>0</v>
      </c>
    </row>
    <row r="21" ht="15.75" customHeight="1">
      <c r="A21" s="343"/>
      <c r="B21" s="343"/>
      <c r="C21" s="91"/>
      <c r="D21" s="368"/>
      <c r="E21" s="173" t="s">
        <v>333</v>
      </c>
      <c r="F21" s="370"/>
      <c r="G21" s="1157"/>
      <c r="H21" s="1150"/>
      <c r="J21" s="336">
        <v>15</v>
      </c>
    </row>
    <row r="22" s="335" customFormat="1" ht="26.25" customHeight="1">
      <c r="A22" s="343"/>
      <c r="B22" s="343"/>
      <c r="C22" s="343"/>
      <c r="D22" s="1148" t="s">
        <v>91</v>
      </c>
      <c r="E22" s="356" t="s">
        <v>1890</v>
      </c>
      <c r="F22" s="449"/>
      <c r="G22" s="356" t="s">
        <v>1891</v>
      </c>
      <c r="H22" s="1158"/>
      <c r="J22" s="335">
        <v>25</v>
      </c>
    </row>
    <row r="23" s="335" customFormat="1" ht="19.949999999999999" customHeight="1">
      <c r="A23" s="343"/>
      <c r="B23" s="343"/>
      <c r="C23" s="343"/>
      <c r="D23" s="1148" t="s">
        <v>92</v>
      </c>
      <c r="E23" s="485" t="s">
        <v>1892</v>
      </c>
      <c r="F23" s="388"/>
      <c r="G23" s="356" t="s">
        <v>1893</v>
      </c>
      <c r="H23" s="1158"/>
      <c r="J23" s="335">
        <v>19</v>
      </c>
    </row>
    <row r="24" s="335" customFormat="1" ht="144" hidden="1" customHeight="1">
      <c r="A24" s="343"/>
      <c r="B24" s="343"/>
      <c r="C24" s="343"/>
      <c r="D24" s="1148" t="s">
        <v>108</v>
      </c>
      <c r="E24" s="115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 xml:space="preserve">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160"/>
      <c r="G24" s="116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 xml:space="preserve">Указывается ссылка на документ, предварительно загруженный в хранилище файлов ФГИС ЕИАС.</v>
      </c>
      <c r="H24" s="1158"/>
      <c r="J24" s="335">
        <v>0</v>
      </c>
    </row>
    <row r="25" ht="11.25" hidden="1" customHeight="1">
      <c r="A25" s="335" t="s">
        <v>81</v>
      </c>
      <c r="B25" s="335">
        <v>0</v>
      </c>
      <c r="C25" s="336">
        <v>3</v>
      </c>
      <c r="D25" s="337">
        <v>6</v>
      </c>
      <c r="E25" s="336">
        <v>52</v>
      </c>
      <c r="F25" s="336">
        <v>48</v>
      </c>
      <c r="G25" s="336">
        <v>93</v>
      </c>
      <c r="H25" s="336">
        <v>8</v>
      </c>
      <c r="I25" s="336">
        <v>64</v>
      </c>
      <c r="J25" s="336">
        <v>11</v>
      </c>
    </row>
  </sheetData>
  <sheetProtection autoFilter="0" deleteColumns="1" deleteRows="1" formatCells="1" formatColumns="0" formatRows="0" insertColumns="1" insertHyperlinks="1" insertRows="1" objects="0" pivotTables="1" scenarios="0" selectLockedCells="0" selectUnlockedCells="0" sheet="1" sort="1"/>
  <mergeCells count="6">
    <mergeCell ref="D5:F5"/>
    <mergeCell ref="D6:F6"/>
    <mergeCell ref="E8:F8"/>
    <mergeCell ref="D9:F9"/>
    <mergeCell ref="G9:G10"/>
    <mergeCell ref="G19:G21"/>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610029-001E-4F84-9432-00A600140065}" type="textLength" allowBlank="1" error="Допускается ввод не более 900 символов!" errorStyle="stop" errorTitle="Ошибка" imeMode="noControl" operator="lessThanOrEqual" showDropDown="0" showErrorMessage="1" showInputMessage="1">
          <x14:formula1>
            <xm:f>900</xm:f>
          </x14:formula1>
          <xm:sqref>F12 F14:F18 F22:F23</xm:sqref>
        </x14:dataValidation>
        <x14:dataValidation xr:uid="{004B001A-00D8-46FD-9407-00DB00CE00D9}"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F24</xm:sqref>
        </x14:dataValidation>
      </x14:dataValidations>
    </ext>
  </extLst>
</worksheet>
</file>

<file path=xl/worksheets/sheet5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zoomScale="90" workbookViewId="0">
      <pane xSplit="5" ySplit="8" topLeftCell="F9" activePane="bottomRight" state="frozen"/>
      <selection activeCell="A1" activeCellId="0" sqref="A1"/>
    </sheetView>
  </sheetViews>
  <sheetFormatPr defaultColWidth="9.140625" defaultRowHeight="14.25" customHeight="1"/>
  <cols>
    <col hidden="1" min="1" max="1" style="50" width="9.140625"/>
    <col hidden="1" min="2" max="2" style="53" width="9.140625"/>
    <col customWidth="1" hidden="1" min="3" max="3" style="50" width="3.7109375"/>
    <col customWidth="1" min="4" max="4" style="129" width="3.00390625"/>
    <col customWidth="1" min="5" max="5" style="50" width="6.00390625"/>
    <col customWidth="1" min="6" max="6" style="50" width="46.00390625"/>
    <col customWidth="1" min="7" max="8" style="50" width="16.00390625"/>
    <col customWidth="1" min="9" max="9" style="50" width="35.00390625"/>
    <col customWidth="1" min="10" max="10" style="50" width="89.00390625"/>
    <col customWidth="1" min="11" max="11" style="130" width="3.00390625"/>
    <col customWidth="1" min="12" max="14" style="130" width="8.00390625"/>
    <col customWidth="1" min="15" max="15" style="130" width="25.00390625"/>
    <col customWidth="1" min="16" max="16" style="130" width="14.00390625"/>
    <col customWidth="1" min="17" max="20" style="131" width="8.00390625"/>
    <col customWidth="1" min="21" max="254" style="50" width="8.00390625"/>
    <col hidden="1" min="255" max="255" style="50" width="9.140625"/>
  </cols>
  <sheetData>
    <row r="1" ht="22.5" hidden="1" customHeight="1">
      <c r="F1" s="50" t="s">
        <v>1894</v>
      </c>
      <c r="G1" s="50" t="s">
        <v>47</v>
      </c>
      <c r="H1" s="50" t="s">
        <v>49</v>
      </c>
      <c r="IU1" s="50" t="s">
        <v>14</v>
      </c>
    </row>
    <row r="2" s="63" customFormat="1" ht="22.5" hidden="1" customHeight="1">
      <c r="A2" s="121"/>
      <c r="B2" s="53">
        <v>1</v>
      </c>
      <c r="C2" s="53"/>
      <c r="D2" s="1045" t="s">
        <v>683</v>
      </c>
      <c r="E2" s="158"/>
      <c r="F2" s="389"/>
      <c r="G2" s="389"/>
      <c r="H2" s="389"/>
      <c r="I2" s="1162"/>
      <c r="J2" s="1163"/>
      <c r="K2" s="1164"/>
      <c r="L2" s="57"/>
      <c r="M2" s="57"/>
      <c r="N2" s="130" t="str">
        <f t="array" ref="N2">IF(ISERROR(MATCH(MID(O2,1,250),MID(note_ter,1,250),0)),"n","y")</f>
        <v>n</v>
      </c>
      <c r="O2" s="57"/>
      <c r="P2" s="130" t="str">
        <f>G2&amp;"("&amp;J2&amp;")"</f>
        <v>()</v>
      </c>
      <c r="Q2" s="53"/>
      <c r="R2" s="53"/>
      <c r="S2" s="167"/>
      <c r="T2" s="53"/>
      <c r="U2" s="53"/>
      <c r="V2" s="53"/>
      <c r="W2" s="64"/>
      <c r="X2" s="64"/>
      <c r="Y2" s="168"/>
      <c r="Z2" s="168"/>
      <c r="AA2" s="168"/>
      <c r="AB2" s="168"/>
      <c r="AC2" s="168"/>
      <c r="AD2" s="168"/>
      <c r="AE2" s="168"/>
      <c r="AF2" s="168"/>
      <c r="AG2" s="168"/>
      <c r="AH2" s="168"/>
      <c r="AI2" s="168"/>
      <c r="AJ2" s="168"/>
      <c r="AK2" s="168"/>
      <c r="AL2" s="168"/>
      <c r="AM2" s="168"/>
      <c r="AN2" s="168"/>
      <c r="AO2" s="168"/>
      <c r="AP2" s="168"/>
      <c r="AQ2" s="168"/>
      <c r="AR2" s="168"/>
      <c r="AS2" s="168"/>
      <c r="AT2" s="168"/>
      <c r="AU2" s="168"/>
      <c r="AV2" s="168"/>
      <c r="AW2" s="168"/>
      <c r="AX2" s="168"/>
      <c r="AY2" s="168"/>
      <c r="AZ2" s="168"/>
      <c r="BA2" s="168"/>
      <c r="BB2" s="168"/>
      <c r="BC2" s="168"/>
      <c r="BD2" s="168"/>
      <c r="BE2" s="168"/>
      <c r="BF2" s="168"/>
      <c r="BG2" s="168"/>
      <c r="BH2" s="168"/>
      <c r="BI2" s="168"/>
      <c r="BJ2" s="168"/>
      <c r="BK2" s="168"/>
      <c r="BL2" s="168"/>
      <c r="BM2" s="168"/>
      <c r="BN2" s="168"/>
      <c r="BO2" s="168"/>
      <c r="BP2" s="168"/>
      <c r="BQ2" s="168"/>
      <c r="BR2" s="168"/>
      <c r="BS2" s="168"/>
      <c r="BT2" s="64"/>
      <c r="BU2" s="64"/>
      <c r="BV2" s="64"/>
      <c r="BW2" s="64"/>
      <c r="BX2" s="64"/>
      <c r="BY2" s="64"/>
      <c r="BZ2" s="64"/>
      <c r="CA2" s="64"/>
      <c r="CB2" s="64"/>
      <c r="CC2" s="64"/>
      <c r="IU2" s="63">
        <v>0</v>
      </c>
    </row>
    <row r="3" s="57" customFormat="1" ht="4.2000000000000002" customHeight="1">
      <c r="A3" s="132"/>
      <c r="D3" s="133"/>
      <c r="F3" s="134" t="s">
        <v>82</v>
      </c>
      <c r="G3" s="133" t="s">
        <v>83</v>
      </c>
      <c r="H3" s="133"/>
      <c r="I3" s="133"/>
      <c r="J3" s="135" t="s">
        <v>84</v>
      </c>
      <c r="K3" s="134" t="s">
        <v>82</v>
      </c>
      <c r="L3" s="134"/>
      <c r="M3" s="134"/>
      <c r="N3" s="134"/>
      <c r="O3" s="134"/>
      <c r="P3" s="134"/>
      <c r="Q3" s="134"/>
      <c r="R3" s="134"/>
      <c r="S3" s="134"/>
      <c r="T3" s="134"/>
      <c r="U3" s="135"/>
      <c r="V3" s="135"/>
      <c r="W3" s="135"/>
      <c r="X3" s="135"/>
      <c r="Y3" s="135"/>
      <c r="Z3" s="135"/>
      <c r="AA3" s="135"/>
      <c r="AB3" s="135"/>
      <c r="AC3" s="135"/>
      <c r="AD3" s="135"/>
      <c r="AE3" s="135"/>
      <c r="AF3" s="135"/>
      <c r="AG3" s="135"/>
      <c r="AH3" s="135"/>
      <c r="AI3" s="135"/>
      <c r="AJ3" s="135"/>
      <c r="AK3" s="135"/>
      <c r="AL3" s="135"/>
      <c r="AM3" s="135"/>
      <c r="AN3" s="135"/>
      <c r="AO3" s="135"/>
      <c r="AP3" s="135"/>
      <c r="AQ3" s="135"/>
      <c r="AR3" s="135"/>
      <c r="AS3" s="135"/>
      <c r="AT3" s="135"/>
      <c r="AU3" s="135"/>
      <c r="AV3" s="135"/>
      <c r="AW3" s="135"/>
      <c r="AX3" s="135"/>
      <c r="AY3" s="135"/>
      <c r="AZ3" s="135"/>
      <c r="BA3" s="135"/>
      <c r="BB3" s="135"/>
      <c r="BC3" s="135"/>
      <c r="BD3" s="135"/>
      <c r="BE3" s="135"/>
      <c r="BF3" s="135"/>
      <c r="BG3" s="135"/>
      <c r="BH3" s="135"/>
      <c r="BI3" s="135"/>
      <c r="BJ3" s="135"/>
      <c r="BK3" s="135"/>
      <c r="BL3" s="135"/>
      <c r="BM3" s="135"/>
      <c r="BN3" s="135"/>
      <c r="BO3" s="135"/>
      <c r="BP3" s="135"/>
      <c r="BQ3" s="135"/>
      <c r="BR3" s="135"/>
      <c r="BS3" s="135"/>
      <c r="BT3" s="135"/>
      <c r="BU3" s="135"/>
      <c r="BV3" s="135"/>
      <c r="BW3" s="135"/>
      <c r="BX3" s="135"/>
      <c r="BY3" s="135"/>
      <c r="BZ3" s="135"/>
      <c r="CA3" s="135"/>
      <c r="CB3" s="135"/>
      <c r="CC3" s="135"/>
      <c r="CD3" s="135"/>
      <c r="CE3" s="135"/>
      <c r="CF3" s="135"/>
      <c r="CG3" s="135"/>
      <c r="CH3" s="135"/>
      <c r="CI3" s="135"/>
      <c r="CJ3" s="135"/>
      <c r="CK3" s="135"/>
      <c r="CL3" s="135"/>
      <c r="CM3" s="135"/>
      <c r="CN3" s="135"/>
      <c r="CO3" s="135"/>
      <c r="CP3" s="135"/>
      <c r="CQ3" s="135"/>
      <c r="CR3" s="135"/>
      <c r="CS3" s="135"/>
      <c r="CT3" s="135"/>
      <c r="CU3" s="135"/>
      <c r="CV3" s="135"/>
      <c r="CW3" s="135"/>
      <c r="CX3" s="135"/>
      <c r="CY3" s="135"/>
      <c r="CZ3" s="135"/>
      <c r="DA3" s="135"/>
      <c r="DB3" s="135"/>
      <c r="DC3" s="135"/>
      <c r="DD3" s="135"/>
      <c r="DE3" s="135"/>
      <c r="DF3" s="135"/>
      <c r="DG3" s="135"/>
      <c r="DH3" s="135"/>
      <c r="DI3" s="135"/>
      <c r="DJ3" s="135"/>
      <c r="DK3" s="135"/>
      <c r="DL3" s="135"/>
      <c r="DM3" s="135"/>
      <c r="DN3" s="135"/>
      <c r="DO3" s="135"/>
      <c r="DP3" s="135"/>
      <c r="DQ3" s="135"/>
      <c r="DR3" s="135"/>
      <c r="DS3" s="135"/>
      <c r="DT3" s="135"/>
      <c r="DU3" s="135"/>
      <c r="DV3" s="135"/>
      <c r="DW3" s="135"/>
      <c r="DX3" s="135"/>
      <c r="DY3" s="135"/>
      <c r="DZ3" s="135"/>
      <c r="EA3" s="135"/>
      <c r="EB3" s="135"/>
      <c r="EC3" s="135"/>
      <c r="ED3" s="135"/>
      <c r="EE3" s="135"/>
      <c r="EF3" s="135"/>
      <c r="EG3" s="135"/>
      <c r="EH3" s="135"/>
      <c r="EI3" s="135"/>
      <c r="EJ3" s="135"/>
      <c r="EK3" s="135"/>
      <c r="EL3" s="135"/>
      <c r="EM3" s="135"/>
      <c r="EN3" s="135"/>
      <c r="EO3" s="135"/>
      <c r="EP3" s="135"/>
      <c r="EQ3" s="135"/>
      <c r="ER3" s="135"/>
      <c r="ES3" s="135"/>
      <c r="ET3" s="135"/>
      <c r="EU3" s="135"/>
      <c r="EV3" s="135"/>
      <c r="EW3" s="135"/>
      <c r="EX3" s="135"/>
      <c r="EY3" s="135"/>
      <c r="EZ3" s="135"/>
      <c r="FA3" s="135"/>
      <c r="FB3" s="135"/>
      <c r="FC3" s="135"/>
      <c r="FD3" s="135"/>
      <c r="FE3" s="135"/>
      <c r="FF3" s="135"/>
      <c r="FG3" s="135"/>
      <c r="FH3" s="135"/>
      <c r="FI3" s="135"/>
      <c r="FJ3" s="135"/>
      <c r="FK3" s="135"/>
      <c r="FL3" s="135"/>
      <c r="FM3" s="135"/>
      <c r="FN3" s="135"/>
      <c r="FO3" s="135"/>
      <c r="FP3" s="135"/>
      <c r="FQ3" s="135"/>
      <c r="FR3" s="135"/>
      <c r="FS3" s="135"/>
      <c r="FT3" s="135"/>
      <c r="FU3" s="135"/>
      <c r="FV3" s="135"/>
      <c r="FW3" s="135"/>
      <c r="FX3" s="135"/>
      <c r="FY3" s="135"/>
      <c r="FZ3" s="135"/>
      <c r="GA3" s="135"/>
      <c r="GB3" s="135"/>
      <c r="GC3" s="135"/>
      <c r="GD3" s="135"/>
      <c r="GE3" s="135"/>
      <c r="GF3" s="135"/>
      <c r="GG3" s="135"/>
      <c r="GH3" s="135"/>
      <c r="GI3" s="135"/>
      <c r="GJ3" s="135"/>
      <c r="GK3" s="135"/>
      <c r="GL3" s="135"/>
      <c r="GM3" s="135"/>
      <c r="GN3" s="135"/>
      <c r="GO3" s="135"/>
      <c r="GP3" s="135"/>
      <c r="GQ3" s="135"/>
      <c r="GR3" s="135"/>
      <c r="GS3" s="135"/>
      <c r="GT3" s="135"/>
      <c r="GU3" s="135"/>
      <c r="GV3" s="135"/>
      <c r="GW3" s="135"/>
      <c r="GX3" s="135"/>
      <c r="GY3" s="135"/>
      <c r="GZ3" s="135"/>
      <c r="HA3" s="135"/>
      <c r="HB3" s="135"/>
      <c r="HC3" s="135"/>
      <c r="HD3" s="135"/>
      <c r="HE3" s="135"/>
      <c r="HF3" s="135"/>
      <c r="HG3" s="135"/>
      <c r="HH3" s="135"/>
      <c r="HI3" s="135"/>
      <c r="HJ3" s="135"/>
      <c r="HK3" s="135"/>
      <c r="HL3" s="135"/>
      <c r="HM3" s="135"/>
      <c r="HN3" s="135"/>
      <c r="HO3" s="135"/>
      <c r="HP3" s="135"/>
      <c r="HQ3" s="135"/>
      <c r="HR3" s="135"/>
      <c r="HS3" s="135"/>
      <c r="HT3" s="135"/>
      <c r="HU3" s="135"/>
      <c r="HV3" s="135"/>
      <c r="HW3" s="135"/>
      <c r="HX3" s="135"/>
      <c r="HY3" s="135"/>
      <c r="HZ3" s="135"/>
      <c r="IA3" s="135"/>
      <c r="IB3" s="135"/>
      <c r="IC3" s="135"/>
      <c r="ID3" s="135"/>
      <c r="IE3" s="135"/>
      <c r="IF3" s="135"/>
      <c r="IG3" s="135"/>
      <c r="IH3" s="135"/>
      <c r="II3" s="135"/>
      <c r="IJ3" s="135"/>
      <c r="IK3" s="135"/>
      <c r="IL3" s="135"/>
      <c r="IM3" s="135"/>
      <c r="IN3" s="135"/>
      <c r="IO3" s="135"/>
      <c r="IP3" s="135"/>
      <c r="IQ3" s="135"/>
      <c r="IR3" s="135"/>
      <c r="IS3" s="135"/>
      <c r="IT3" s="135"/>
      <c r="IU3" s="57">
        <v>4</v>
      </c>
    </row>
    <row r="4" s="140" customFormat="1" ht="14.65" customHeight="1">
      <c r="A4" s="50"/>
      <c r="B4" s="53"/>
      <c r="C4" s="50"/>
      <c r="D4" s="129"/>
      <c r="E4" s="50"/>
      <c r="F4" s="57"/>
      <c r="G4" s="50"/>
      <c r="H4" s="50"/>
      <c r="I4" s="50"/>
      <c r="J4" s="141"/>
      <c r="K4" s="134"/>
      <c r="L4" s="130"/>
      <c r="M4" s="130"/>
      <c r="N4" s="130"/>
      <c r="O4" s="130"/>
      <c r="P4" s="130"/>
      <c r="Q4" s="131"/>
      <c r="R4" s="131"/>
      <c r="S4" s="131"/>
      <c r="T4" s="131"/>
      <c r="IU4" s="140">
        <v>14</v>
      </c>
    </row>
    <row r="5" s="140" customFormat="1" ht="27.300000000000001" customHeight="1">
      <c r="A5" s="50"/>
      <c r="B5" s="53"/>
      <c r="C5" s="50"/>
      <c r="D5" s="129"/>
      <c r="E5" s="14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 xml:space="preserve">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142"/>
      <c r="G5" s="142"/>
      <c r="H5" s="142"/>
      <c r="I5" s="142"/>
      <c r="J5" s="142"/>
      <c r="K5" s="134"/>
      <c r="L5" s="130"/>
      <c r="M5" s="130"/>
      <c r="N5" s="130"/>
      <c r="O5" s="130"/>
      <c r="P5" s="130"/>
      <c r="Q5" s="131"/>
      <c r="R5" s="131"/>
      <c r="S5" s="131"/>
      <c r="T5" s="131"/>
      <c r="IU5" s="140">
        <v>26</v>
      </c>
    </row>
    <row r="6" s="140" customFormat="1" ht="14.65" customHeight="1">
      <c r="A6" s="50"/>
      <c r="B6" s="53"/>
      <c r="C6" s="50"/>
      <c r="D6" s="129"/>
      <c r="E6" s="50"/>
      <c r="F6" s="143"/>
      <c r="G6" s="143"/>
      <c r="H6" s="143"/>
      <c r="I6" s="143"/>
      <c r="J6" s="121"/>
      <c r="K6" s="130"/>
      <c r="L6" s="130"/>
      <c r="M6" s="130"/>
      <c r="N6" s="130"/>
      <c r="O6" s="130"/>
      <c r="P6" s="130"/>
      <c r="Q6" s="131"/>
      <c r="R6" s="131"/>
      <c r="S6" s="131"/>
      <c r="T6" s="131"/>
      <c r="IU6" s="140">
        <v>14</v>
      </c>
    </row>
    <row r="7" s="140" customFormat="1" ht="14.65" customHeight="1">
      <c r="A7" s="50"/>
      <c r="B7" s="53"/>
      <c r="C7" s="50"/>
      <c r="D7" s="129"/>
      <c r="E7" s="73" t="s">
        <v>294</v>
      </c>
      <c r="F7" s="146"/>
      <c r="G7" s="146"/>
      <c r="H7" s="146"/>
      <c r="I7" s="146"/>
      <c r="J7" s="859" t="s">
        <v>295</v>
      </c>
      <c r="K7" s="130"/>
      <c r="L7" s="130"/>
      <c r="M7" s="130"/>
      <c r="N7" s="130"/>
      <c r="O7" s="130"/>
      <c r="P7" s="130"/>
      <c r="Q7" s="131"/>
      <c r="R7" s="131"/>
      <c r="S7" s="131"/>
      <c r="T7" s="131"/>
      <c r="IU7" s="140">
        <v>14</v>
      </c>
    </row>
    <row r="8" s="140" customFormat="1" ht="21" customHeight="1">
      <c r="A8" s="50"/>
      <c r="B8" s="53"/>
      <c r="C8" s="50"/>
      <c r="D8" s="129"/>
      <c r="E8" s="1165" t="s">
        <v>87</v>
      </c>
      <c r="F8" s="1166" t="s">
        <v>1894</v>
      </c>
      <c r="G8" s="1166" t="s">
        <v>47</v>
      </c>
      <c r="H8" s="1166" t="s">
        <v>49</v>
      </c>
      <c r="I8" s="1166" t="s">
        <v>1895</v>
      </c>
      <c r="J8" s="1167"/>
      <c r="K8" s="130"/>
      <c r="L8" s="130"/>
      <c r="M8" s="130"/>
      <c r="N8" s="130"/>
      <c r="O8" s="130"/>
      <c r="P8" s="130"/>
      <c r="Q8" s="131"/>
      <c r="R8" s="131"/>
      <c r="S8" s="131"/>
      <c r="T8" s="131"/>
      <c r="IU8" s="140">
        <v>20</v>
      </c>
    </row>
    <row r="9" s="63" customFormat="1" ht="23.25" customHeight="1">
      <c r="A9" s="50"/>
      <c r="B9" s="53">
        <v>1</v>
      </c>
      <c r="C9" s="53"/>
      <c r="D9" s="170"/>
      <c r="E9" s="158">
        <v>1</v>
      </c>
      <c r="F9" s="1168"/>
      <c r="G9" s="389"/>
      <c r="H9" s="389"/>
      <c r="I9" s="1169"/>
      <c r="J9" s="286"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164"/>
      <c r="L9" s="57"/>
      <c r="M9" s="57"/>
      <c r="N9" s="130" t="str">
        <f t="array" ref="N9">IF(ISERROR(MATCH(MID(O9,1,250),MID(note_ter,1,250),0)),"n","y")</f>
        <v>n</v>
      </c>
      <c r="O9" s="57"/>
      <c r="P9" s="130" t="str">
        <f>G9&amp;"("&amp;J9&amp;")"</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53"/>
      <c r="R9" s="53"/>
      <c r="S9" s="167"/>
      <c r="T9" s="53"/>
      <c r="U9" s="53"/>
      <c r="V9" s="53"/>
      <c r="W9" s="64"/>
      <c r="X9" s="64"/>
      <c r="Y9" s="168"/>
      <c r="Z9" s="168"/>
      <c r="AA9" s="168"/>
      <c r="AB9" s="168"/>
      <c r="AC9" s="168"/>
      <c r="AD9" s="168"/>
      <c r="AE9" s="168"/>
      <c r="AF9" s="168"/>
      <c r="AG9" s="168"/>
      <c r="AH9" s="168"/>
      <c r="AI9" s="168"/>
      <c r="AJ9" s="168"/>
      <c r="AK9" s="168"/>
      <c r="AL9" s="168"/>
      <c r="AM9" s="168"/>
      <c r="AN9" s="168"/>
      <c r="AO9" s="168"/>
      <c r="AP9" s="168"/>
      <c r="AQ9" s="168"/>
      <c r="AR9" s="168"/>
      <c r="AS9" s="168"/>
      <c r="AT9" s="168"/>
      <c r="AU9" s="168"/>
      <c r="AV9" s="168"/>
      <c r="AW9" s="168"/>
      <c r="AX9" s="168"/>
      <c r="AY9" s="168"/>
      <c r="AZ9" s="168"/>
      <c r="BA9" s="168"/>
      <c r="BB9" s="168"/>
      <c r="BC9" s="168"/>
      <c r="BD9" s="168"/>
      <c r="BE9" s="168"/>
      <c r="BF9" s="168"/>
      <c r="BG9" s="168"/>
      <c r="BH9" s="168"/>
      <c r="BI9" s="168"/>
      <c r="BJ9" s="168"/>
      <c r="BK9" s="168"/>
      <c r="BL9" s="168"/>
      <c r="BM9" s="168"/>
      <c r="BN9" s="168"/>
      <c r="BO9" s="168"/>
      <c r="BP9" s="168"/>
      <c r="BQ9" s="168"/>
      <c r="BR9" s="168"/>
      <c r="BS9" s="168"/>
      <c r="BT9" s="64"/>
      <c r="BU9" s="64"/>
      <c r="BV9" s="64"/>
      <c r="BW9" s="64"/>
      <c r="BX9" s="64"/>
      <c r="BY9" s="64"/>
      <c r="BZ9" s="64"/>
      <c r="CA9" s="64"/>
      <c r="CB9" s="64"/>
      <c r="CC9" s="64"/>
      <c r="IU9" s="63">
        <v>22</v>
      </c>
    </row>
    <row r="10" s="63" customFormat="1" ht="15.75" customHeight="1">
      <c r="A10" s="50"/>
      <c r="B10" s="53"/>
      <c r="C10" s="169"/>
      <c r="D10" s="170"/>
      <c r="E10" s="1170"/>
      <c r="F10" s="702" t="s">
        <v>1896</v>
      </c>
      <c r="G10" s="1171"/>
      <c r="H10" s="1171"/>
      <c r="I10" s="1172"/>
      <c r="J10" s="290"/>
      <c r="K10" s="1173"/>
      <c r="L10" s="57"/>
      <c r="M10" s="57"/>
      <c r="N10" s="57"/>
      <c r="O10" s="130"/>
      <c r="P10" s="57"/>
      <c r="Q10" s="53"/>
      <c r="R10" s="53"/>
      <c r="S10" s="167"/>
      <c r="T10" s="53"/>
      <c r="U10" s="53"/>
      <c r="V10" s="53"/>
      <c r="W10" s="64"/>
      <c r="X10" s="64"/>
      <c r="Y10" s="168"/>
      <c r="Z10" s="168"/>
      <c r="AA10" s="168"/>
      <c r="AB10" s="168"/>
      <c r="AC10" s="168"/>
      <c r="AD10" s="168"/>
      <c r="AE10" s="168"/>
      <c r="AF10" s="168"/>
      <c r="AG10" s="168"/>
      <c r="AH10" s="168"/>
      <c r="AI10" s="168"/>
      <c r="AJ10" s="168"/>
      <c r="AK10" s="168"/>
      <c r="AL10" s="168"/>
      <c r="AM10" s="168"/>
      <c r="AN10" s="168"/>
      <c r="AO10" s="168"/>
      <c r="AP10" s="168"/>
      <c r="AQ10" s="168"/>
      <c r="AR10" s="168"/>
      <c r="AS10" s="168"/>
      <c r="AT10" s="168"/>
      <c r="AU10" s="168"/>
      <c r="AV10" s="168"/>
      <c r="AW10" s="168"/>
      <c r="AX10" s="168"/>
      <c r="AY10" s="168"/>
      <c r="AZ10" s="168"/>
      <c r="BA10" s="168"/>
      <c r="BB10" s="168"/>
      <c r="BC10" s="168"/>
      <c r="BD10" s="168"/>
      <c r="BE10" s="168"/>
      <c r="BF10" s="168"/>
      <c r="BG10" s="168"/>
      <c r="BH10" s="168"/>
      <c r="BI10" s="168"/>
      <c r="BJ10" s="168"/>
      <c r="BK10" s="168"/>
      <c r="BL10" s="168"/>
      <c r="BM10" s="168"/>
      <c r="BN10" s="168"/>
      <c r="BO10" s="168"/>
      <c r="BP10" s="168"/>
      <c r="BQ10" s="168"/>
      <c r="BR10" s="168"/>
      <c r="BS10" s="168"/>
      <c r="BT10" s="64"/>
      <c r="BU10" s="64"/>
      <c r="BV10" s="64"/>
      <c r="BW10" s="64"/>
      <c r="BX10" s="64"/>
      <c r="BY10" s="64"/>
      <c r="BZ10" s="64"/>
      <c r="CA10" s="64"/>
      <c r="CB10" s="64"/>
      <c r="CC10" s="64"/>
      <c r="IU10" s="63">
        <v>15</v>
      </c>
    </row>
    <row r="11" s="140" customFormat="1" ht="22" customHeight="1">
      <c r="A11" s="50"/>
      <c r="B11" s="53"/>
      <c r="C11" s="50"/>
      <c r="D11" s="129"/>
      <c r="E11" s="180"/>
      <c r="F11" s="180"/>
      <c r="G11" s="180"/>
      <c r="H11" s="180"/>
      <c r="I11" s="180"/>
      <c r="J11" s="180"/>
      <c r="K11" s="130"/>
      <c r="L11" s="130"/>
      <c r="M11" s="130"/>
      <c r="N11" s="130"/>
      <c r="O11" s="130"/>
      <c r="P11" s="130"/>
      <c r="Q11" s="131"/>
      <c r="R11" s="131"/>
      <c r="S11" s="131"/>
      <c r="T11" s="131"/>
      <c r="IU11" s="140">
        <v>21</v>
      </c>
    </row>
    <row r="12" s="140" customFormat="1" ht="14.65" customHeight="1">
      <c r="A12" s="50"/>
      <c r="B12" s="53"/>
      <c r="C12" s="50"/>
      <c r="D12" s="129"/>
      <c r="E12" s="50"/>
      <c r="F12" s="50"/>
      <c r="G12" s="50"/>
      <c r="H12" s="50"/>
      <c r="I12" s="50"/>
      <c r="J12" s="50"/>
      <c r="K12" s="130"/>
      <c r="L12" s="130"/>
      <c r="M12" s="130"/>
      <c r="N12" s="130"/>
      <c r="O12" s="130"/>
      <c r="P12" s="130"/>
      <c r="Q12" s="131"/>
      <c r="R12" s="131"/>
      <c r="S12" s="131"/>
      <c r="T12" s="131"/>
      <c r="IU12" s="140">
        <v>14</v>
      </c>
    </row>
    <row r="13" s="140" customFormat="1" ht="1.05" customHeight="1">
      <c r="A13" s="50"/>
      <c r="B13" s="53"/>
      <c r="C13" s="50"/>
      <c r="D13" s="129"/>
      <c r="E13" s="50"/>
      <c r="F13" s="50"/>
      <c r="G13" s="50"/>
      <c r="H13" s="50"/>
      <c r="I13" s="50"/>
      <c r="J13" s="50"/>
      <c r="K13" s="130"/>
      <c r="L13" s="130"/>
      <c r="M13" s="130"/>
      <c r="N13" s="130"/>
      <c r="O13" s="130"/>
      <c r="P13" s="130"/>
      <c r="Q13" s="131"/>
      <c r="R13" s="131"/>
      <c r="S13" s="131"/>
      <c r="T13" s="131"/>
      <c r="IU13" s="140">
        <v>1</v>
      </c>
    </row>
    <row r="14" s="181" customFormat="1" ht="10.5" customHeight="1">
      <c r="B14" s="182"/>
      <c r="D14" s="183"/>
      <c r="K14" s="130"/>
      <c r="L14" s="130"/>
      <c r="M14" s="130"/>
      <c r="N14" s="130"/>
      <c r="O14" s="130"/>
      <c r="P14" s="130"/>
      <c r="Q14" s="131"/>
      <c r="R14" s="131"/>
      <c r="S14" s="131"/>
      <c r="T14" s="131"/>
      <c r="IU14" s="181">
        <v>10</v>
      </c>
    </row>
    <row r="15" s="181" customFormat="1" ht="10.5" customHeight="1">
      <c r="B15" s="182"/>
      <c r="D15" s="183"/>
      <c r="K15" s="130"/>
      <c r="L15" s="130"/>
      <c r="M15" s="130"/>
      <c r="N15" s="130"/>
      <c r="O15" s="130"/>
      <c r="P15" s="130"/>
      <c r="Q15" s="131"/>
      <c r="R15" s="131"/>
      <c r="S15" s="131"/>
      <c r="T15" s="131"/>
      <c r="IU15" s="181">
        <v>10</v>
      </c>
    </row>
    <row r="16" ht="14.65" customHeight="1">
      <c r="IU16" s="50">
        <v>14</v>
      </c>
    </row>
    <row r="17" ht="14.65" customHeight="1">
      <c r="IU17" s="50">
        <v>14</v>
      </c>
    </row>
    <row r="18" ht="14.65" customHeight="1">
      <c r="IU18" s="50">
        <v>14</v>
      </c>
    </row>
    <row r="19" ht="14.65" customHeight="1">
      <c r="G19" s="63"/>
      <c r="H19" s="63"/>
      <c r="I19" s="63"/>
      <c r="IU19" s="50">
        <v>14</v>
      </c>
    </row>
    <row r="20" ht="14.65" customHeight="1">
      <c r="IU20" s="50">
        <v>14</v>
      </c>
    </row>
    <row r="21" ht="14.65" customHeight="1">
      <c r="IU21" s="50">
        <v>14</v>
      </c>
    </row>
    <row r="22" ht="14.65" customHeight="1">
      <c r="IU22" s="50">
        <v>14</v>
      </c>
    </row>
    <row r="23" ht="14.65" customHeight="1">
      <c r="K23" s="50"/>
      <c r="L23" s="50"/>
      <c r="M23" s="50"/>
      <c r="IU23" s="50">
        <v>14</v>
      </c>
    </row>
    <row r="24" ht="22.5" hidden="1" customHeight="1">
      <c r="A24" s="50" t="s">
        <v>81</v>
      </c>
      <c r="B24" s="53">
        <v>0</v>
      </c>
      <c r="C24" s="50">
        <v>0</v>
      </c>
      <c r="D24" s="129">
        <v>3</v>
      </c>
      <c r="E24" s="50">
        <v>6</v>
      </c>
      <c r="F24" s="50">
        <v>46</v>
      </c>
      <c r="G24" s="50">
        <v>16</v>
      </c>
      <c r="H24" s="50">
        <v>16</v>
      </c>
      <c r="I24" s="50">
        <v>35</v>
      </c>
      <c r="J24" s="50">
        <v>89</v>
      </c>
      <c r="K24" s="130">
        <v>3</v>
      </c>
      <c r="L24" s="130">
        <v>8</v>
      </c>
      <c r="M24" s="130">
        <v>8</v>
      </c>
      <c r="N24" s="130">
        <v>8</v>
      </c>
      <c r="O24" s="130">
        <v>25</v>
      </c>
      <c r="P24" s="130">
        <v>14</v>
      </c>
      <c r="Q24" s="131">
        <v>8</v>
      </c>
      <c r="R24" s="131">
        <v>8</v>
      </c>
      <c r="S24" s="131">
        <v>8</v>
      </c>
      <c r="T24" s="131">
        <v>8</v>
      </c>
      <c r="U24" s="50">
        <v>8</v>
      </c>
      <c r="V24" s="50">
        <v>8</v>
      </c>
      <c r="W24" s="50">
        <v>8</v>
      </c>
      <c r="X24" s="50">
        <v>8</v>
      </c>
      <c r="Y24" s="50">
        <v>8</v>
      </c>
      <c r="Z24" s="50">
        <v>8</v>
      </c>
      <c r="AA24" s="50">
        <v>8</v>
      </c>
      <c r="AB24" s="50">
        <v>8</v>
      </c>
      <c r="AC24" s="50">
        <v>8</v>
      </c>
      <c r="AD24" s="50">
        <v>8</v>
      </c>
      <c r="AE24" s="50">
        <v>8</v>
      </c>
      <c r="AF24" s="50">
        <v>8</v>
      </c>
      <c r="AG24" s="50">
        <v>8</v>
      </c>
      <c r="AH24" s="50">
        <v>8</v>
      </c>
      <c r="AI24" s="50">
        <v>8</v>
      </c>
      <c r="AJ24" s="50">
        <v>8</v>
      </c>
      <c r="AK24" s="50">
        <v>8</v>
      </c>
      <c r="AL24" s="50">
        <v>8</v>
      </c>
      <c r="AM24" s="50">
        <v>8</v>
      </c>
      <c r="AN24" s="50">
        <v>8</v>
      </c>
      <c r="AO24" s="50">
        <v>8</v>
      </c>
      <c r="AP24" s="50">
        <v>8</v>
      </c>
      <c r="AQ24" s="50">
        <v>8</v>
      </c>
      <c r="AR24" s="50">
        <v>8</v>
      </c>
      <c r="AS24" s="50">
        <v>8</v>
      </c>
      <c r="AT24" s="50">
        <v>8</v>
      </c>
      <c r="AU24" s="50">
        <v>8</v>
      </c>
      <c r="AV24" s="50">
        <v>8</v>
      </c>
      <c r="AW24" s="50">
        <v>8</v>
      </c>
      <c r="AX24" s="50">
        <v>8</v>
      </c>
      <c r="AY24" s="50">
        <v>8</v>
      </c>
      <c r="AZ24" s="50">
        <v>8</v>
      </c>
      <c r="BA24" s="50">
        <v>8</v>
      </c>
      <c r="BB24" s="50">
        <v>8</v>
      </c>
      <c r="BC24" s="50">
        <v>8</v>
      </c>
      <c r="BD24" s="50">
        <v>8</v>
      </c>
      <c r="BE24" s="50">
        <v>8</v>
      </c>
      <c r="BF24" s="50">
        <v>8</v>
      </c>
      <c r="BG24" s="50">
        <v>8</v>
      </c>
      <c r="BH24" s="50">
        <v>8</v>
      </c>
      <c r="BI24" s="50">
        <v>8</v>
      </c>
      <c r="BJ24" s="50">
        <v>8</v>
      </c>
      <c r="BK24" s="50">
        <v>8</v>
      </c>
      <c r="BL24" s="50">
        <v>8</v>
      </c>
      <c r="BM24" s="50">
        <v>8</v>
      </c>
      <c r="BN24" s="50">
        <v>8</v>
      </c>
      <c r="BO24" s="50">
        <v>8</v>
      </c>
      <c r="BP24" s="50">
        <v>8</v>
      </c>
      <c r="BQ24" s="50">
        <v>8</v>
      </c>
      <c r="BR24" s="50">
        <v>8</v>
      </c>
      <c r="BS24" s="50">
        <v>8</v>
      </c>
      <c r="BT24" s="50">
        <v>8</v>
      </c>
      <c r="BU24" s="50">
        <v>8</v>
      </c>
      <c r="BV24" s="50">
        <v>8</v>
      </c>
      <c r="BW24" s="50">
        <v>8</v>
      </c>
      <c r="BX24" s="50">
        <v>8</v>
      </c>
      <c r="BY24" s="50">
        <v>8</v>
      </c>
      <c r="BZ24" s="50">
        <v>8</v>
      </c>
      <c r="CA24" s="50">
        <v>8</v>
      </c>
      <c r="CB24" s="50">
        <v>8</v>
      </c>
      <c r="CC24" s="50">
        <v>8</v>
      </c>
      <c r="CD24" s="50">
        <v>8</v>
      </c>
      <c r="CE24" s="50">
        <v>8</v>
      </c>
      <c r="CF24" s="50">
        <v>8</v>
      </c>
      <c r="CG24" s="50">
        <v>8</v>
      </c>
      <c r="CH24" s="50">
        <v>8</v>
      </c>
      <c r="CI24" s="50">
        <v>8</v>
      </c>
      <c r="CJ24" s="50">
        <v>8</v>
      </c>
      <c r="CK24" s="50">
        <v>8</v>
      </c>
      <c r="CL24" s="50">
        <v>8</v>
      </c>
      <c r="CM24" s="50">
        <v>8</v>
      </c>
      <c r="CN24" s="50">
        <v>8</v>
      </c>
      <c r="CO24" s="50">
        <v>8</v>
      </c>
      <c r="CP24" s="50">
        <v>8</v>
      </c>
      <c r="CQ24" s="50">
        <v>8</v>
      </c>
      <c r="CR24" s="50">
        <v>8</v>
      </c>
      <c r="CS24" s="50">
        <v>8</v>
      </c>
      <c r="CT24" s="50">
        <v>8</v>
      </c>
      <c r="CU24" s="50">
        <v>8</v>
      </c>
      <c r="CV24" s="50">
        <v>8</v>
      </c>
      <c r="CW24" s="50">
        <v>8</v>
      </c>
      <c r="CX24" s="50">
        <v>8</v>
      </c>
      <c r="CY24" s="50">
        <v>8</v>
      </c>
      <c r="CZ24" s="50">
        <v>8</v>
      </c>
      <c r="DA24" s="50">
        <v>8</v>
      </c>
      <c r="DB24" s="50">
        <v>8</v>
      </c>
      <c r="DC24" s="50">
        <v>8</v>
      </c>
      <c r="DD24" s="50">
        <v>8</v>
      </c>
      <c r="DE24" s="50">
        <v>8</v>
      </c>
      <c r="DF24" s="50">
        <v>8</v>
      </c>
      <c r="DG24" s="50">
        <v>8</v>
      </c>
      <c r="DH24" s="50">
        <v>8</v>
      </c>
      <c r="DI24" s="50">
        <v>8</v>
      </c>
      <c r="DJ24" s="50">
        <v>8</v>
      </c>
      <c r="DK24" s="50">
        <v>8</v>
      </c>
      <c r="DL24" s="50">
        <v>8</v>
      </c>
      <c r="DM24" s="50">
        <v>8</v>
      </c>
      <c r="DN24" s="50">
        <v>8</v>
      </c>
      <c r="DO24" s="50">
        <v>8</v>
      </c>
      <c r="DP24" s="50">
        <v>8</v>
      </c>
      <c r="DQ24" s="50">
        <v>8</v>
      </c>
      <c r="DR24" s="50">
        <v>8</v>
      </c>
      <c r="DS24" s="50">
        <v>8</v>
      </c>
      <c r="DT24" s="50">
        <v>8</v>
      </c>
      <c r="DU24" s="50">
        <v>8</v>
      </c>
      <c r="DV24" s="50">
        <v>8</v>
      </c>
      <c r="DW24" s="50">
        <v>8</v>
      </c>
      <c r="DX24" s="50">
        <v>8</v>
      </c>
      <c r="DY24" s="50">
        <v>8</v>
      </c>
      <c r="DZ24" s="50">
        <v>8</v>
      </c>
      <c r="EA24" s="50">
        <v>8</v>
      </c>
      <c r="EB24" s="50">
        <v>8</v>
      </c>
      <c r="EC24" s="50">
        <v>8</v>
      </c>
      <c r="ED24" s="50">
        <v>8</v>
      </c>
      <c r="EE24" s="50">
        <v>8</v>
      </c>
      <c r="EF24" s="50">
        <v>8</v>
      </c>
      <c r="EG24" s="50">
        <v>8</v>
      </c>
      <c r="EH24" s="50">
        <v>8</v>
      </c>
      <c r="EI24" s="50">
        <v>8</v>
      </c>
      <c r="EJ24" s="50">
        <v>8</v>
      </c>
      <c r="EK24" s="50">
        <v>8</v>
      </c>
      <c r="EL24" s="50">
        <v>8</v>
      </c>
      <c r="EM24" s="50">
        <v>8</v>
      </c>
      <c r="EN24" s="50">
        <v>8</v>
      </c>
      <c r="EO24" s="50">
        <v>8</v>
      </c>
      <c r="EP24" s="50">
        <v>8</v>
      </c>
      <c r="EQ24" s="50">
        <v>8</v>
      </c>
      <c r="ER24" s="50">
        <v>8</v>
      </c>
      <c r="ES24" s="50">
        <v>8</v>
      </c>
      <c r="ET24" s="50">
        <v>8</v>
      </c>
      <c r="EU24" s="50">
        <v>8</v>
      </c>
      <c r="EV24" s="50">
        <v>8</v>
      </c>
      <c r="EW24" s="50">
        <v>8</v>
      </c>
      <c r="EX24" s="50">
        <v>8</v>
      </c>
      <c r="EY24" s="50">
        <v>8</v>
      </c>
      <c r="EZ24" s="50">
        <v>8</v>
      </c>
      <c r="FA24" s="50">
        <v>8</v>
      </c>
      <c r="FB24" s="50">
        <v>8</v>
      </c>
      <c r="FC24" s="50">
        <v>8</v>
      </c>
      <c r="FD24" s="50">
        <v>8</v>
      </c>
      <c r="FE24" s="50">
        <v>8</v>
      </c>
      <c r="FF24" s="50">
        <v>8</v>
      </c>
      <c r="FG24" s="50">
        <v>8</v>
      </c>
      <c r="FH24" s="50">
        <v>8</v>
      </c>
      <c r="FI24" s="50">
        <v>8</v>
      </c>
      <c r="FJ24" s="50">
        <v>8</v>
      </c>
      <c r="FK24" s="50">
        <v>8</v>
      </c>
      <c r="FL24" s="50">
        <v>8</v>
      </c>
      <c r="FM24" s="50">
        <v>8</v>
      </c>
      <c r="FN24" s="50">
        <v>8</v>
      </c>
      <c r="FO24" s="50">
        <v>8</v>
      </c>
      <c r="FP24" s="50">
        <v>8</v>
      </c>
      <c r="FQ24" s="50">
        <v>8</v>
      </c>
      <c r="FR24" s="50">
        <v>8</v>
      </c>
      <c r="FS24" s="50">
        <v>8</v>
      </c>
      <c r="FT24" s="50">
        <v>8</v>
      </c>
      <c r="FU24" s="50">
        <v>8</v>
      </c>
      <c r="FV24" s="50">
        <v>8</v>
      </c>
      <c r="FW24" s="50">
        <v>8</v>
      </c>
      <c r="FX24" s="50">
        <v>8</v>
      </c>
      <c r="FY24" s="50">
        <v>8</v>
      </c>
      <c r="FZ24" s="50">
        <v>8</v>
      </c>
      <c r="GA24" s="50">
        <v>8</v>
      </c>
      <c r="GB24" s="50">
        <v>8</v>
      </c>
      <c r="GC24" s="50">
        <v>8</v>
      </c>
      <c r="GD24" s="50">
        <v>8</v>
      </c>
      <c r="GE24" s="50">
        <v>8</v>
      </c>
      <c r="GF24" s="50">
        <v>8</v>
      </c>
      <c r="GG24" s="50">
        <v>8</v>
      </c>
      <c r="GH24" s="50">
        <v>8</v>
      </c>
      <c r="GI24" s="50">
        <v>8</v>
      </c>
      <c r="GJ24" s="50">
        <v>8</v>
      </c>
      <c r="GK24" s="50">
        <v>8</v>
      </c>
      <c r="GL24" s="50">
        <v>8</v>
      </c>
      <c r="GM24" s="50">
        <v>8</v>
      </c>
      <c r="GN24" s="50">
        <v>8</v>
      </c>
      <c r="GO24" s="50">
        <v>8</v>
      </c>
      <c r="GP24" s="50">
        <v>8</v>
      </c>
      <c r="GQ24" s="50">
        <v>8</v>
      </c>
      <c r="GR24" s="50">
        <v>8</v>
      </c>
      <c r="GS24" s="50">
        <v>8</v>
      </c>
      <c r="GT24" s="50">
        <v>8</v>
      </c>
      <c r="GU24" s="50">
        <v>8</v>
      </c>
      <c r="GV24" s="50">
        <v>8</v>
      </c>
      <c r="GW24" s="50">
        <v>8</v>
      </c>
      <c r="GX24" s="50">
        <v>8</v>
      </c>
      <c r="GY24" s="50">
        <v>8</v>
      </c>
      <c r="GZ24" s="50">
        <v>8</v>
      </c>
      <c r="HA24" s="50">
        <v>8</v>
      </c>
      <c r="HB24" s="50">
        <v>8</v>
      </c>
      <c r="HC24" s="50">
        <v>8</v>
      </c>
      <c r="HD24" s="50">
        <v>8</v>
      </c>
      <c r="HE24" s="50">
        <v>8</v>
      </c>
      <c r="HF24" s="50">
        <v>8</v>
      </c>
      <c r="HG24" s="50">
        <v>8</v>
      </c>
      <c r="HH24" s="50">
        <v>8</v>
      </c>
      <c r="HI24" s="50">
        <v>8</v>
      </c>
      <c r="HJ24" s="50">
        <v>8</v>
      </c>
      <c r="HK24" s="50">
        <v>8</v>
      </c>
      <c r="HL24" s="50">
        <v>8</v>
      </c>
      <c r="HM24" s="50">
        <v>8</v>
      </c>
      <c r="HN24" s="50">
        <v>8</v>
      </c>
      <c r="HO24" s="50">
        <v>8</v>
      </c>
      <c r="HP24" s="50">
        <v>8</v>
      </c>
      <c r="HQ24" s="50">
        <v>8</v>
      </c>
      <c r="HR24" s="50">
        <v>8</v>
      </c>
      <c r="HS24" s="50">
        <v>8</v>
      </c>
      <c r="HT24" s="50">
        <v>8</v>
      </c>
      <c r="HU24" s="50">
        <v>8</v>
      </c>
      <c r="HV24" s="50">
        <v>8</v>
      </c>
      <c r="HW24" s="50">
        <v>8</v>
      </c>
      <c r="HX24" s="50">
        <v>8</v>
      </c>
      <c r="HY24" s="50">
        <v>8</v>
      </c>
      <c r="HZ24" s="50">
        <v>8</v>
      </c>
      <c r="IA24" s="50">
        <v>8</v>
      </c>
      <c r="IB24" s="50">
        <v>8</v>
      </c>
      <c r="IC24" s="50">
        <v>8</v>
      </c>
      <c r="ID24" s="50">
        <v>8</v>
      </c>
      <c r="IE24" s="50">
        <v>8</v>
      </c>
      <c r="IF24" s="50">
        <v>8</v>
      </c>
      <c r="IG24" s="50">
        <v>8</v>
      </c>
      <c r="IH24" s="50">
        <v>8</v>
      </c>
      <c r="II24" s="50">
        <v>8</v>
      </c>
      <c r="IJ24" s="50">
        <v>8</v>
      </c>
      <c r="IK24" s="50">
        <v>8</v>
      </c>
      <c r="IL24" s="50">
        <v>8</v>
      </c>
      <c r="IM24" s="50">
        <v>8</v>
      </c>
      <c r="IN24" s="50">
        <v>8</v>
      </c>
      <c r="IO24" s="50">
        <v>8</v>
      </c>
      <c r="IP24" s="50">
        <v>8</v>
      </c>
      <c r="IQ24" s="50">
        <v>8</v>
      </c>
      <c r="IR24" s="50">
        <v>8</v>
      </c>
      <c r="IS24" s="50">
        <v>8</v>
      </c>
      <c r="IT24" s="50">
        <v>8</v>
      </c>
      <c r="IU24" s="50">
        <v>23</v>
      </c>
    </row>
  </sheetData>
  <sheetProtection autoFilter="0" deleteColumns="1" deleteRows="1" formatCells="1" formatColumns="0" formatRows="0" insertColumns="1" insertHyperlinks="1" insertRows="1" objects="0" pivotTables="1" scenarios="0" selectLockedCells="0" selectUnlockedCells="0" sheet="1" sort="1"/>
  <mergeCells count="4">
    <mergeCell ref="E5:J5"/>
    <mergeCell ref="E7:I7"/>
    <mergeCell ref="J7:J8"/>
    <mergeCell ref="J9:J10"/>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220082-00BB-4968-88CE-009100460029}" type="textLength" allowBlank="1" errorStyle="stop" imeMode="noControl" operator="between" showDropDown="0" showErrorMessage="1" showInputMessage="1">
          <x14:formula1>
            <xm:f>13</xm:f>
          </x14:formula1>
          <x14:formula2>
            <xm:f>15</xm:f>
          </x14:formula2>
          <xm:sqref>I3</xm:sqref>
        </x14:dataValidation>
        <x14:dataValidation xr:uid="{00E900E2-0027-4984-95D3-005C007800A0}" type="textLength" allowBlank="1" errorStyle="stop" imeMode="noControl" operator="between" prompt="ОГРН состоит из 13 цифр, ОГРНИП - из 15" showDropDown="0" showErrorMessage="1" showInputMessage="1">
          <x14:formula1>
            <xm:f>13</xm:f>
          </x14:formula1>
          <x14:formula2>
            <xm:f>15</xm:f>
          </x14:formula2>
          <xm:sqref>I9 I2</xm:sqref>
        </x14:dataValidation>
      </x14:dataValidations>
    </ext>
  </extLst>
</worksheet>
</file>

<file path=xl/worksheets/sheet5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zoomScale="90" workbookViewId="0">
      <pane xSplit="6" ySplit="9" topLeftCell="G10" activePane="bottomRight" state="frozen"/>
      <selection activeCell="A1" activeCellId="0" sqref="A1"/>
    </sheetView>
  </sheetViews>
  <sheetFormatPr defaultColWidth="9.140625" defaultRowHeight="14.25" customHeight="1"/>
  <cols>
    <col hidden="1" min="1" max="1" style="50" width="9.140625"/>
    <col hidden="1" min="2" max="2" style="53" width="9.140625"/>
    <col customWidth="1" hidden="1" min="3" max="3" style="50" width="3.7109375"/>
    <col customWidth="1" min="4" max="4" style="129" width="3.00390625"/>
    <col customWidth="1" min="5" max="5" style="50" width="6.00390625"/>
    <col customWidth="1" min="6" max="6" style="50" width="27.00390625"/>
    <col customWidth="1" min="7" max="7" style="50" width="16.00390625"/>
    <col customWidth="1" min="8" max="8" style="50" width="12.00390625"/>
    <col customWidth="1" min="9" max="9" style="50" width="32.00390625"/>
    <col customWidth="1" min="10" max="11" style="50" width="41.00390625"/>
    <col customWidth="1" min="12" max="12" style="50" width="89.00390625"/>
    <col customWidth="1" min="13" max="13" style="130" width="3.00390625"/>
    <col customWidth="1" min="14" max="16" style="130" width="8.00390625"/>
    <col customWidth="1" min="17" max="17" style="130" width="25.00390625"/>
    <col customWidth="1" min="18" max="18" style="130" width="14.00390625"/>
    <col customWidth="1" min="19" max="22" style="131" width="8.00390625"/>
    <col customWidth="1" min="23" max="256" style="50" width="8.00390625"/>
    <col hidden="1" min="257" max="257" style="50" width="9.140625"/>
  </cols>
  <sheetData>
    <row r="1" ht="22.5" hidden="1" customHeight="1">
      <c r="IW1" s="50" t="s">
        <v>14</v>
      </c>
    </row>
    <row r="2" s="63" customFormat="1" ht="22.5" hidden="1" customHeight="1">
      <c r="A2" s="121"/>
      <c r="B2" s="53">
        <v>1</v>
      </c>
      <c r="C2" s="53"/>
      <c r="D2" s="1045" t="s">
        <v>683</v>
      </c>
      <c r="E2" s="73"/>
      <c r="F2" s="545" t="str">
        <f>IF(ROIV_INFO_NAME="","",ROIV_INFO_NAME)</f>
        <v xml:space="preserve">АО "ДГК" СП "Биробиджанская ТЭЦ"</v>
      </c>
      <c r="G2" s="1174" t="s">
        <v>22</v>
      </c>
      <c r="H2" s="1175"/>
      <c r="I2" s="1169"/>
      <c r="J2" s="759"/>
      <c r="K2" s="759"/>
      <c r="L2" s="137"/>
      <c r="M2" s="1164" t="e">
        <f>MERGEVALUE(F2)</f>
        <v>#NAME?</v>
      </c>
      <c r="N2" s="57"/>
      <c r="O2" s="57"/>
      <c r="P2" s="130" t="str">
        <f t="array" ref="P2">IF(ISERROR(MATCH(MID(Q2,1,250),MID(note_ter,1,250),0)),"n","y")</f>
        <v>n</v>
      </c>
      <c r="Q2" s="57"/>
      <c r="R2" s="130" t="str">
        <f>G2&amp;"("&amp;L2&amp;")"</f>
        <v>()</v>
      </c>
      <c r="S2" s="53"/>
      <c r="T2" s="53"/>
      <c r="U2" s="167"/>
      <c r="V2" s="53"/>
      <c r="W2" s="53"/>
      <c r="X2" s="53"/>
      <c r="Y2" s="64"/>
      <c r="Z2" s="64"/>
      <c r="AA2" s="168"/>
      <c r="AB2" s="168"/>
      <c r="AC2" s="168"/>
      <c r="AD2" s="168"/>
      <c r="AE2" s="168"/>
      <c r="AF2" s="168"/>
      <c r="AG2" s="168"/>
      <c r="AH2" s="168"/>
      <c r="AI2" s="168"/>
      <c r="AJ2" s="168"/>
      <c r="AK2" s="168"/>
      <c r="AL2" s="168"/>
      <c r="AM2" s="168"/>
      <c r="AN2" s="168"/>
      <c r="AO2" s="168"/>
      <c r="AP2" s="168"/>
      <c r="AQ2" s="168"/>
      <c r="AR2" s="168"/>
      <c r="AS2" s="168"/>
      <c r="AT2" s="168"/>
      <c r="AU2" s="168"/>
      <c r="AV2" s="168"/>
      <c r="AW2" s="168"/>
      <c r="AX2" s="168"/>
      <c r="AY2" s="168"/>
      <c r="AZ2" s="168"/>
      <c r="BA2" s="168"/>
      <c r="BB2" s="168"/>
      <c r="BC2" s="168"/>
      <c r="BD2" s="168"/>
      <c r="BE2" s="168"/>
      <c r="BF2" s="168"/>
      <c r="BG2" s="168"/>
      <c r="BH2" s="168"/>
      <c r="BI2" s="168"/>
      <c r="BJ2" s="168"/>
      <c r="BK2" s="168"/>
      <c r="BL2" s="168"/>
      <c r="BM2" s="168"/>
      <c r="BN2" s="168"/>
      <c r="BO2" s="168"/>
      <c r="BP2" s="168"/>
      <c r="BQ2" s="168"/>
      <c r="BR2" s="168"/>
      <c r="BS2" s="168"/>
      <c r="BT2" s="168"/>
      <c r="BU2" s="168"/>
      <c r="BV2" s="64"/>
      <c r="BW2" s="64"/>
      <c r="BX2" s="64"/>
      <c r="BY2" s="64"/>
      <c r="BZ2" s="64"/>
      <c r="CA2" s="64"/>
      <c r="CB2" s="64"/>
      <c r="CC2" s="64"/>
      <c r="CD2" s="64"/>
      <c r="CE2" s="64"/>
      <c r="IW2" s="63">
        <v>0</v>
      </c>
    </row>
    <row r="3" s="57" customFormat="1" ht="5.25" hidden="1" customHeight="1">
      <c r="A3" s="132"/>
      <c r="D3" s="133"/>
      <c r="F3" s="134" t="s">
        <v>82</v>
      </c>
      <c r="G3" s="1176" t="s">
        <v>83</v>
      </c>
      <c r="H3" s="133"/>
      <c r="I3" s="133"/>
      <c r="J3" s="133"/>
      <c r="K3" s="133"/>
      <c r="L3" s="135" t="s">
        <v>84</v>
      </c>
      <c r="M3" s="134" t="s">
        <v>82</v>
      </c>
      <c r="N3" s="134"/>
      <c r="O3" s="134"/>
      <c r="P3" s="134"/>
      <c r="Q3" s="134"/>
      <c r="R3" s="134"/>
      <c r="S3" s="134"/>
      <c r="T3" s="134"/>
      <c r="U3" s="134"/>
      <c r="V3" s="134"/>
      <c r="W3" s="135"/>
      <c r="X3" s="135"/>
      <c r="Y3" s="135"/>
      <c r="Z3" s="135"/>
      <c r="AA3" s="135"/>
      <c r="AB3" s="135"/>
      <c r="AC3" s="135"/>
      <c r="AD3" s="135"/>
      <c r="AE3" s="135"/>
      <c r="AF3" s="135"/>
      <c r="AG3" s="135"/>
      <c r="AH3" s="135"/>
      <c r="AI3" s="135"/>
      <c r="AJ3" s="135"/>
      <c r="AK3" s="135"/>
      <c r="AL3" s="135"/>
      <c r="AM3" s="135"/>
      <c r="AN3" s="135"/>
      <c r="AO3" s="135"/>
      <c r="AP3" s="135"/>
      <c r="AQ3" s="135"/>
      <c r="AR3" s="135"/>
      <c r="AS3" s="135"/>
      <c r="AT3" s="135"/>
      <c r="AU3" s="135"/>
      <c r="AV3" s="135"/>
      <c r="AW3" s="135"/>
      <c r="AX3" s="135"/>
      <c r="AY3" s="135"/>
      <c r="AZ3" s="135"/>
      <c r="BA3" s="135"/>
      <c r="BB3" s="135"/>
      <c r="BC3" s="135"/>
      <c r="BD3" s="135"/>
      <c r="BE3" s="135"/>
      <c r="BF3" s="135"/>
      <c r="BG3" s="135"/>
      <c r="BH3" s="135"/>
      <c r="BI3" s="135"/>
      <c r="BJ3" s="135"/>
      <c r="BK3" s="135"/>
      <c r="BL3" s="135"/>
      <c r="BM3" s="135"/>
      <c r="BN3" s="135"/>
      <c r="BO3" s="135"/>
      <c r="BP3" s="135"/>
      <c r="BQ3" s="135"/>
      <c r="BR3" s="135"/>
      <c r="BS3" s="135"/>
      <c r="BT3" s="135"/>
      <c r="BU3" s="135"/>
      <c r="BV3" s="135"/>
      <c r="BW3" s="135"/>
      <c r="BX3" s="135"/>
      <c r="BY3" s="135"/>
      <c r="BZ3" s="135"/>
      <c r="CA3" s="135"/>
      <c r="CB3" s="135"/>
      <c r="CC3" s="135"/>
      <c r="CD3" s="135"/>
      <c r="CE3" s="135"/>
      <c r="CF3" s="135"/>
      <c r="CG3" s="135"/>
      <c r="CH3" s="135"/>
      <c r="CI3" s="135"/>
      <c r="CJ3" s="135"/>
      <c r="CK3" s="135"/>
      <c r="CL3" s="135"/>
      <c r="CM3" s="135"/>
      <c r="CN3" s="135"/>
      <c r="CO3" s="135"/>
      <c r="CP3" s="135"/>
      <c r="CQ3" s="135"/>
      <c r="CR3" s="135"/>
      <c r="CS3" s="135"/>
      <c r="CT3" s="135"/>
      <c r="CU3" s="135"/>
      <c r="CV3" s="135"/>
      <c r="CW3" s="135"/>
      <c r="CX3" s="135"/>
      <c r="CY3" s="135"/>
      <c r="CZ3" s="135"/>
      <c r="DA3" s="135"/>
      <c r="DB3" s="135"/>
      <c r="DC3" s="135"/>
      <c r="DD3" s="135"/>
      <c r="DE3" s="135"/>
      <c r="DF3" s="135"/>
      <c r="DG3" s="135"/>
      <c r="DH3" s="135"/>
      <c r="DI3" s="135"/>
      <c r="DJ3" s="135"/>
      <c r="DK3" s="135"/>
      <c r="DL3" s="135"/>
      <c r="DM3" s="135"/>
      <c r="DN3" s="135"/>
      <c r="DO3" s="135"/>
      <c r="DP3" s="135"/>
      <c r="DQ3" s="135"/>
      <c r="DR3" s="135"/>
      <c r="DS3" s="135"/>
      <c r="DT3" s="135"/>
      <c r="DU3" s="135"/>
      <c r="DV3" s="135"/>
      <c r="DW3" s="135"/>
      <c r="DX3" s="135"/>
      <c r="DY3" s="135"/>
      <c r="DZ3" s="135"/>
      <c r="EA3" s="135"/>
      <c r="EB3" s="135"/>
      <c r="EC3" s="135"/>
      <c r="ED3" s="135"/>
      <c r="EE3" s="135"/>
      <c r="EF3" s="135"/>
      <c r="EG3" s="135"/>
      <c r="EH3" s="135"/>
      <c r="EI3" s="135"/>
      <c r="EJ3" s="135"/>
      <c r="EK3" s="135"/>
      <c r="EL3" s="135"/>
      <c r="EM3" s="135"/>
      <c r="EN3" s="135"/>
      <c r="EO3" s="135"/>
      <c r="EP3" s="135"/>
      <c r="EQ3" s="135"/>
      <c r="ER3" s="135"/>
      <c r="ES3" s="135"/>
      <c r="ET3" s="135"/>
      <c r="EU3" s="135"/>
      <c r="EV3" s="135"/>
      <c r="EW3" s="135"/>
      <c r="EX3" s="135"/>
      <c r="EY3" s="135"/>
      <c r="EZ3" s="135"/>
      <c r="FA3" s="135"/>
      <c r="FB3" s="135"/>
      <c r="FC3" s="135"/>
      <c r="FD3" s="135"/>
      <c r="FE3" s="135"/>
      <c r="FF3" s="135"/>
      <c r="FG3" s="135"/>
      <c r="FH3" s="135"/>
      <c r="FI3" s="135"/>
      <c r="FJ3" s="135"/>
      <c r="FK3" s="135"/>
      <c r="FL3" s="135"/>
      <c r="FM3" s="135"/>
      <c r="FN3" s="135"/>
      <c r="FO3" s="135"/>
      <c r="FP3" s="135"/>
      <c r="FQ3" s="135"/>
      <c r="FR3" s="135"/>
      <c r="FS3" s="135"/>
      <c r="FT3" s="135"/>
      <c r="FU3" s="135"/>
      <c r="FV3" s="135"/>
      <c r="FW3" s="135"/>
      <c r="FX3" s="135"/>
      <c r="FY3" s="135"/>
      <c r="FZ3" s="135"/>
      <c r="GA3" s="135"/>
      <c r="GB3" s="135"/>
      <c r="GC3" s="135"/>
      <c r="GD3" s="135"/>
      <c r="GE3" s="135"/>
      <c r="GF3" s="135"/>
      <c r="GG3" s="135"/>
      <c r="GH3" s="135"/>
      <c r="GI3" s="135"/>
      <c r="GJ3" s="135"/>
      <c r="GK3" s="135"/>
      <c r="GL3" s="135"/>
      <c r="GM3" s="135"/>
      <c r="GN3" s="135"/>
      <c r="GO3" s="135"/>
      <c r="GP3" s="135"/>
      <c r="GQ3" s="135"/>
      <c r="GR3" s="135"/>
      <c r="GS3" s="135"/>
      <c r="GT3" s="135"/>
      <c r="GU3" s="135"/>
      <c r="GV3" s="135"/>
      <c r="GW3" s="135"/>
      <c r="GX3" s="135"/>
      <c r="GY3" s="135"/>
      <c r="GZ3" s="135"/>
      <c r="HA3" s="135"/>
      <c r="HB3" s="135"/>
      <c r="HC3" s="135"/>
      <c r="HD3" s="135"/>
      <c r="HE3" s="135"/>
      <c r="HF3" s="135"/>
      <c r="HG3" s="135"/>
      <c r="HH3" s="135"/>
      <c r="HI3" s="135"/>
      <c r="HJ3" s="135"/>
      <c r="HK3" s="135"/>
      <c r="HL3" s="135"/>
      <c r="HM3" s="135"/>
      <c r="HN3" s="135"/>
      <c r="HO3" s="135"/>
      <c r="HP3" s="135"/>
      <c r="HQ3" s="135"/>
      <c r="HR3" s="135"/>
      <c r="HS3" s="135"/>
      <c r="HT3" s="135"/>
      <c r="HU3" s="135"/>
      <c r="HV3" s="135"/>
      <c r="HW3" s="135"/>
      <c r="HX3" s="135"/>
      <c r="HY3" s="135"/>
      <c r="HZ3" s="135"/>
      <c r="IA3" s="135"/>
      <c r="IB3" s="135"/>
      <c r="IC3" s="135"/>
      <c r="ID3" s="135"/>
      <c r="IE3" s="135"/>
      <c r="IF3" s="135"/>
      <c r="IG3" s="135"/>
      <c r="IH3" s="135"/>
      <c r="II3" s="135"/>
      <c r="IJ3" s="135"/>
      <c r="IK3" s="135"/>
      <c r="IL3" s="135"/>
      <c r="IM3" s="135"/>
      <c r="IN3" s="135"/>
      <c r="IO3" s="135"/>
      <c r="IP3" s="135"/>
      <c r="IQ3" s="135"/>
      <c r="IR3" s="135"/>
      <c r="IS3" s="135"/>
      <c r="IT3" s="135"/>
      <c r="IU3" s="135"/>
      <c r="IV3" s="135"/>
      <c r="IW3" s="57">
        <v>0</v>
      </c>
    </row>
    <row r="4" s="140" customFormat="1" ht="14.65" customHeight="1">
      <c r="A4" s="50"/>
      <c r="B4" s="53"/>
      <c r="C4" s="50"/>
      <c r="D4" s="129"/>
      <c r="E4" s="50"/>
      <c r="F4" s="50"/>
      <c r="G4" s="50"/>
      <c r="H4" s="50"/>
      <c r="I4" s="50"/>
      <c r="J4" s="50"/>
      <c r="K4" s="50"/>
      <c r="L4" s="141"/>
      <c r="M4" s="134"/>
      <c r="N4" s="130"/>
      <c r="O4" s="130"/>
      <c r="P4" s="130"/>
      <c r="Q4" s="130"/>
      <c r="R4" s="130"/>
      <c r="S4" s="131"/>
      <c r="T4" s="131"/>
      <c r="U4" s="131"/>
      <c r="V4" s="131"/>
      <c r="IW4" s="140">
        <v>14</v>
      </c>
    </row>
    <row r="5" s="140" customFormat="1" ht="27.300000000000001" customHeight="1">
      <c r="A5" s="50"/>
      <c r="B5" s="53"/>
      <c r="C5" s="50"/>
      <c r="D5" s="129"/>
      <c r="E5" s="142" t="str">
        <f>"Форма "&amp;IF(TEMPLATE_SPHERE="HEAT","4","3")&amp;". Информация о рассмотрении дел об установлении "&amp;IF(TEMPLATE_SPHERE="TKO","предельных тарифов","тарифов в сфере "&amp;TEMPLATE_SPHERE_RUS)</f>
        <v xml:space="preserve">Форма 3. Информация о рассмотрении дел об установлении тарифов в сфере горячего водоснабжения</v>
      </c>
      <c r="F5" s="142"/>
      <c r="G5" s="142"/>
      <c r="H5" s="142"/>
      <c r="I5" s="142"/>
      <c r="J5" s="142"/>
      <c r="K5" s="142"/>
      <c r="L5" s="50"/>
      <c r="M5" s="134"/>
      <c r="N5" s="130"/>
      <c r="O5" s="130"/>
      <c r="P5" s="130"/>
      <c r="Q5" s="130"/>
      <c r="R5" s="130"/>
      <c r="S5" s="131"/>
      <c r="T5" s="131"/>
      <c r="U5" s="131"/>
      <c r="V5" s="131"/>
      <c r="IW5" s="140">
        <v>26</v>
      </c>
    </row>
    <row r="6" s="140" customFormat="1" ht="14.65" customHeight="1">
      <c r="A6" s="50"/>
      <c r="B6" s="53"/>
      <c r="C6" s="50"/>
      <c r="D6" s="129"/>
      <c r="E6" s="50"/>
      <c r="F6" s="143"/>
      <c r="G6" s="143"/>
      <c r="H6" s="143"/>
      <c r="I6" s="143"/>
      <c r="J6" s="143"/>
      <c r="K6" s="143"/>
      <c r="L6" s="121"/>
      <c r="M6" s="130"/>
      <c r="N6" s="130"/>
      <c r="O6" s="130"/>
      <c r="P6" s="130"/>
      <c r="Q6" s="130"/>
      <c r="R6" s="130"/>
      <c r="S6" s="131"/>
      <c r="T6" s="131"/>
      <c r="U6" s="131"/>
      <c r="V6" s="131"/>
      <c r="IW6" s="140">
        <v>14</v>
      </c>
    </row>
    <row r="7" s="140" customFormat="1" ht="14.65" customHeight="1">
      <c r="A7" s="50"/>
      <c r="B7" s="53"/>
      <c r="C7" s="50"/>
      <c r="D7" s="129"/>
      <c r="E7" s="73" t="s">
        <v>294</v>
      </c>
      <c r="F7" s="146"/>
      <c r="G7" s="146"/>
      <c r="H7" s="146"/>
      <c r="I7" s="146"/>
      <c r="J7" s="146"/>
      <c r="K7" s="146"/>
      <c r="L7" s="859" t="s">
        <v>295</v>
      </c>
      <c r="M7" s="130"/>
      <c r="N7" s="130"/>
      <c r="O7" s="130"/>
      <c r="P7" s="130"/>
      <c r="Q7" s="130"/>
      <c r="R7" s="130"/>
      <c r="S7" s="131"/>
      <c r="T7" s="131"/>
      <c r="U7" s="131"/>
      <c r="V7" s="131"/>
      <c r="IW7" s="140">
        <v>14</v>
      </c>
    </row>
    <row r="8" s="140" customFormat="1" ht="67.200000000000003" customHeight="1">
      <c r="A8" s="50"/>
      <c r="B8" s="53"/>
      <c r="C8" s="50"/>
      <c r="D8" s="129"/>
      <c r="E8" s="1166" t="s">
        <v>87</v>
      </c>
      <c r="F8" s="1166"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 xml:space="preserve">Наименование органа регулирования тарифов</v>
      </c>
      <c r="G8" s="148"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 xml:space="preserve">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1177"/>
      <c r="I8" s="1178"/>
      <c r="J8" s="1166"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 xml:space="preserve">Принятые органом регулирования тарифов решения об установлении тарифов в сфере водоснабжения и водоотведения</v>
      </c>
      <c r="K8" s="116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 xml:space="preserve">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179"/>
      <c r="M8" s="130"/>
      <c r="N8" s="130"/>
      <c r="O8" s="130"/>
      <c r="P8" s="130"/>
      <c r="Q8" s="130"/>
      <c r="R8" s="130"/>
      <c r="S8" s="131"/>
      <c r="T8" s="131"/>
      <c r="U8" s="131"/>
      <c r="V8" s="131"/>
      <c r="IW8" s="140">
        <v>64</v>
      </c>
    </row>
    <row r="9" s="140" customFormat="1" ht="29.25" customHeight="1">
      <c r="A9" s="50"/>
      <c r="B9" s="53"/>
      <c r="C9" s="50"/>
      <c r="D9" s="129"/>
      <c r="E9" s="1180"/>
      <c r="F9" s="1180"/>
      <c r="G9" s="1180" t="s">
        <v>1897</v>
      </c>
      <c r="H9" s="1180" t="s">
        <v>1898</v>
      </c>
      <c r="I9" s="1180" t="s">
        <v>1899</v>
      </c>
      <c r="J9" s="1180"/>
      <c r="K9" s="1180"/>
      <c r="L9" s="1167"/>
      <c r="M9" s="130"/>
      <c r="N9" s="130"/>
      <c r="O9" s="130"/>
      <c r="P9" s="130"/>
      <c r="Q9" s="130"/>
      <c r="R9" s="130"/>
      <c r="S9" s="131"/>
      <c r="T9" s="131"/>
      <c r="U9" s="131"/>
      <c r="V9" s="131"/>
      <c r="IW9" s="140">
        <v>28</v>
      </c>
    </row>
    <row r="10" s="63" customFormat="1" ht="23.25" customHeight="1">
      <c r="A10" s="51"/>
      <c r="B10" s="53">
        <v>1</v>
      </c>
      <c r="C10" s="53"/>
      <c r="D10" s="162"/>
      <c r="E10" s="163">
        <v>1</v>
      </c>
      <c r="F10" s="1181" t="str">
        <f>IF(ROIV_INFO_NAME="","",ROIV_INFO_NAME)</f>
        <v xml:space="preserve">АО "ДГК" СП "Биробиджанская ТЭЦ"</v>
      </c>
      <c r="G10" s="89" t="s">
        <v>22</v>
      </c>
      <c r="H10" s="1175"/>
      <c r="I10" s="1182"/>
      <c r="J10" s="759"/>
      <c r="K10" s="759"/>
      <c r="L10" s="99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 xml:space="preserve">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164" t="e">
        <f>MERGEVALUE(F10)</f>
        <v>#NAME?</v>
      </c>
      <c r="N10" s="57"/>
      <c r="O10" s="57"/>
      <c r="P10" s="130" t="str">
        <f t="array" ref="P10">IF(ISERROR(MATCH(MID(Q10,1,250),MID(note_ter,1,250),0)),"n","y")</f>
        <v>n</v>
      </c>
      <c r="Q10" s="57"/>
      <c r="R10" s="130" t="str">
        <f>G10&amp;"("&amp;L10&amp;")"</f>
        <v xml:space="preserve">(В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53"/>
      <c r="T10" s="53"/>
      <c r="U10" s="167"/>
      <c r="V10" s="53"/>
      <c r="W10" s="53"/>
      <c r="X10" s="53"/>
      <c r="Y10" s="64"/>
      <c r="Z10" s="64"/>
      <c r="AA10" s="168"/>
      <c r="AB10" s="168"/>
      <c r="AC10" s="168"/>
      <c r="AD10" s="168"/>
      <c r="AE10" s="168"/>
      <c r="AF10" s="168"/>
      <c r="AG10" s="168"/>
      <c r="AH10" s="168"/>
      <c r="AI10" s="168"/>
      <c r="AJ10" s="168"/>
      <c r="AK10" s="168"/>
      <c r="AL10" s="168"/>
      <c r="AM10" s="168"/>
      <c r="AN10" s="168"/>
      <c r="AO10" s="168"/>
      <c r="AP10" s="168"/>
      <c r="AQ10" s="168"/>
      <c r="AR10" s="168"/>
      <c r="AS10" s="168"/>
      <c r="AT10" s="168"/>
      <c r="AU10" s="168"/>
      <c r="AV10" s="168"/>
      <c r="AW10" s="168"/>
      <c r="AX10" s="168"/>
      <c r="AY10" s="168"/>
      <c r="AZ10" s="168"/>
      <c r="BA10" s="168"/>
      <c r="BB10" s="168"/>
      <c r="BC10" s="168"/>
      <c r="BD10" s="168"/>
      <c r="BE10" s="168"/>
      <c r="BF10" s="168"/>
      <c r="BG10" s="168"/>
      <c r="BH10" s="168"/>
      <c r="BI10" s="168"/>
      <c r="BJ10" s="168"/>
      <c r="BK10" s="168"/>
      <c r="BL10" s="168"/>
      <c r="BM10" s="168"/>
      <c r="BN10" s="168"/>
      <c r="BO10" s="168"/>
      <c r="BP10" s="168"/>
      <c r="BQ10" s="168"/>
      <c r="BR10" s="168"/>
      <c r="BS10" s="168"/>
      <c r="BT10" s="168"/>
      <c r="BU10" s="168"/>
      <c r="BV10" s="64"/>
      <c r="BW10" s="64"/>
      <c r="BX10" s="64"/>
      <c r="BY10" s="64"/>
      <c r="BZ10" s="64"/>
      <c r="CA10" s="64"/>
      <c r="CB10" s="64"/>
      <c r="CC10" s="64"/>
      <c r="CD10" s="64"/>
      <c r="CE10" s="64"/>
      <c r="IW10" s="63">
        <v>22</v>
      </c>
    </row>
    <row r="11" s="63" customFormat="1" ht="15.75" customHeight="1">
      <c r="A11" s="51"/>
      <c r="B11" s="53"/>
      <c r="C11" s="169"/>
      <c r="D11" s="170"/>
      <c r="E11" s="171"/>
      <c r="F11" s="178" t="s">
        <v>1900</v>
      </c>
      <c r="G11" s="174"/>
      <c r="H11" s="174"/>
      <c r="I11" s="174"/>
      <c r="J11" s="174"/>
      <c r="K11" s="175"/>
      <c r="L11" s="1183"/>
      <c r="M11" s="1173"/>
      <c r="N11" s="57"/>
      <c r="O11" s="57"/>
      <c r="P11" s="57"/>
      <c r="Q11" s="130"/>
      <c r="R11" s="57"/>
      <c r="S11" s="53"/>
      <c r="T11" s="53"/>
      <c r="U11" s="167"/>
      <c r="V11" s="53"/>
      <c r="W11" s="53"/>
      <c r="X11" s="53"/>
      <c r="Y11" s="64"/>
      <c r="Z11" s="64"/>
      <c r="AA11" s="168"/>
      <c r="AB11" s="168"/>
      <c r="AC11" s="168"/>
      <c r="AD11" s="168"/>
      <c r="AE11" s="168"/>
      <c r="AF11" s="168"/>
      <c r="AG11" s="168"/>
      <c r="AH11" s="168"/>
      <c r="AI11" s="168"/>
      <c r="AJ11" s="168"/>
      <c r="AK11" s="168"/>
      <c r="AL11" s="168"/>
      <c r="AM11" s="168"/>
      <c r="AN11" s="168"/>
      <c r="AO11" s="168"/>
      <c r="AP11" s="168"/>
      <c r="AQ11" s="168"/>
      <c r="AR11" s="168"/>
      <c r="AS11" s="168"/>
      <c r="AT11" s="168"/>
      <c r="AU11" s="168"/>
      <c r="AV11" s="168"/>
      <c r="AW11" s="168"/>
      <c r="AX11" s="168"/>
      <c r="AY11" s="168"/>
      <c r="AZ11" s="168"/>
      <c r="BA11" s="168"/>
      <c r="BB11" s="168"/>
      <c r="BC11" s="168"/>
      <c r="BD11" s="168"/>
      <c r="BE11" s="168"/>
      <c r="BF11" s="168"/>
      <c r="BG11" s="168"/>
      <c r="BH11" s="168"/>
      <c r="BI11" s="168"/>
      <c r="BJ11" s="168"/>
      <c r="BK11" s="168"/>
      <c r="BL11" s="168"/>
      <c r="BM11" s="168"/>
      <c r="BN11" s="168"/>
      <c r="BO11" s="168"/>
      <c r="BP11" s="168"/>
      <c r="BQ11" s="168"/>
      <c r="BR11" s="168"/>
      <c r="BS11" s="168"/>
      <c r="BT11" s="168"/>
      <c r="BU11" s="168"/>
      <c r="BV11" s="64"/>
      <c r="BW11" s="64"/>
      <c r="BX11" s="64"/>
      <c r="BY11" s="64"/>
      <c r="BZ11" s="64"/>
      <c r="CA11" s="64"/>
      <c r="CB11" s="64"/>
      <c r="CC11" s="64"/>
      <c r="CD11" s="64"/>
      <c r="CE11" s="64"/>
      <c r="IW11" s="63">
        <v>15</v>
      </c>
    </row>
    <row r="12" s="140" customFormat="1" ht="22" customHeight="1">
      <c r="A12" s="50"/>
      <c r="B12" s="53"/>
      <c r="C12" s="50"/>
      <c r="D12" s="129"/>
      <c r="E12" s="180"/>
      <c r="F12" s="180"/>
      <c r="G12" s="180"/>
      <c r="H12" s="180"/>
      <c r="I12" s="180"/>
      <c r="J12" s="180"/>
      <c r="K12" s="180"/>
      <c r="L12" s="180"/>
      <c r="M12" s="130"/>
      <c r="N12" s="130"/>
      <c r="O12" s="130"/>
      <c r="P12" s="130"/>
      <c r="Q12" s="130"/>
      <c r="R12" s="130"/>
      <c r="S12" s="131"/>
      <c r="T12" s="131"/>
      <c r="U12" s="131"/>
      <c r="V12" s="131"/>
      <c r="IW12" s="140">
        <v>21</v>
      </c>
    </row>
    <row r="13" s="140" customFormat="1" ht="14.65" customHeight="1">
      <c r="A13" s="50"/>
      <c r="B13" s="53"/>
      <c r="C13" s="50"/>
      <c r="D13" s="129"/>
      <c r="E13" s="50"/>
      <c r="F13" s="50"/>
      <c r="G13" s="50"/>
      <c r="H13" s="50"/>
      <c r="I13" s="50"/>
      <c r="J13" s="50"/>
      <c r="K13" s="50"/>
      <c r="L13" s="50"/>
      <c r="M13" s="130"/>
      <c r="N13" s="130"/>
      <c r="O13" s="130"/>
      <c r="P13" s="130"/>
      <c r="Q13" s="130"/>
      <c r="R13" s="130"/>
      <c r="S13" s="131"/>
      <c r="T13" s="131"/>
      <c r="U13" s="131"/>
      <c r="V13" s="131"/>
      <c r="IW13" s="140">
        <v>14</v>
      </c>
    </row>
    <row r="14" s="140" customFormat="1" ht="1.05" customHeight="1">
      <c r="A14" s="50"/>
      <c r="B14" s="53"/>
      <c r="C14" s="50"/>
      <c r="D14" s="129"/>
      <c r="E14" s="50"/>
      <c r="F14" s="50"/>
      <c r="G14" s="50"/>
      <c r="H14" s="50"/>
      <c r="I14" s="50"/>
      <c r="J14" s="50"/>
      <c r="K14" s="50"/>
      <c r="L14" s="50"/>
      <c r="M14" s="130"/>
      <c r="N14" s="130"/>
      <c r="O14" s="130"/>
      <c r="P14" s="130"/>
      <c r="Q14" s="130"/>
      <c r="R14" s="130"/>
      <c r="S14" s="131"/>
      <c r="T14" s="131"/>
      <c r="U14" s="131"/>
      <c r="V14" s="131"/>
      <c r="IW14" s="140">
        <v>1</v>
      </c>
    </row>
    <row r="15" ht="22.5" hidden="1" customHeight="1">
      <c r="A15" s="50" t="s">
        <v>81</v>
      </c>
      <c r="B15" s="53">
        <v>0</v>
      </c>
      <c r="C15" s="50">
        <v>0</v>
      </c>
      <c r="D15" s="129">
        <v>3</v>
      </c>
      <c r="E15" s="50">
        <v>6</v>
      </c>
      <c r="F15" s="50">
        <v>27</v>
      </c>
      <c r="G15" s="50">
        <v>16</v>
      </c>
      <c r="H15" s="50">
        <v>12</v>
      </c>
      <c r="I15" s="50">
        <v>32</v>
      </c>
      <c r="J15" s="50">
        <v>41</v>
      </c>
      <c r="K15" s="50">
        <v>41</v>
      </c>
      <c r="L15" s="50">
        <v>89</v>
      </c>
      <c r="M15" s="130">
        <v>3</v>
      </c>
      <c r="N15" s="130">
        <v>8</v>
      </c>
      <c r="O15" s="130">
        <v>8</v>
      </c>
      <c r="P15" s="130">
        <v>8</v>
      </c>
      <c r="Q15" s="130">
        <v>25</v>
      </c>
      <c r="R15" s="130">
        <v>14</v>
      </c>
      <c r="S15" s="131">
        <v>8</v>
      </c>
      <c r="T15" s="131">
        <v>8</v>
      </c>
      <c r="U15" s="131">
        <v>8</v>
      </c>
      <c r="V15" s="131">
        <v>8</v>
      </c>
      <c r="W15" s="50">
        <v>8</v>
      </c>
      <c r="X15" s="50">
        <v>8</v>
      </c>
      <c r="Y15" s="50">
        <v>8</v>
      </c>
      <c r="Z15" s="50">
        <v>8</v>
      </c>
      <c r="AA15" s="50">
        <v>8</v>
      </c>
      <c r="AB15" s="50">
        <v>8</v>
      </c>
      <c r="AC15" s="50">
        <v>8</v>
      </c>
      <c r="AD15" s="50">
        <v>8</v>
      </c>
      <c r="AE15" s="50">
        <v>8</v>
      </c>
      <c r="AF15" s="50">
        <v>8</v>
      </c>
      <c r="AG15" s="50">
        <v>8</v>
      </c>
      <c r="AH15" s="50">
        <v>8</v>
      </c>
      <c r="AI15" s="50">
        <v>8</v>
      </c>
      <c r="AJ15" s="50">
        <v>8</v>
      </c>
      <c r="AK15" s="50">
        <v>8</v>
      </c>
      <c r="AL15" s="50">
        <v>8</v>
      </c>
      <c r="AM15" s="50">
        <v>8</v>
      </c>
      <c r="AN15" s="50">
        <v>8</v>
      </c>
      <c r="AO15" s="50">
        <v>8</v>
      </c>
      <c r="AP15" s="50">
        <v>8</v>
      </c>
      <c r="AQ15" s="50">
        <v>8</v>
      </c>
      <c r="AR15" s="50">
        <v>8</v>
      </c>
      <c r="AS15" s="50">
        <v>8</v>
      </c>
      <c r="AT15" s="50">
        <v>8</v>
      </c>
      <c r="AU15" s="50">
        <v>8</v>
      </c>
      <c r="AV15" s="50">
        <v>8</v>
      </c>
      <c r="AW15" s="50">
        <v>8</v>
      </c>
      <c r="AX15" s="50">
        <v>8</v>
      </c>
      <c r="AY15" s="50">
        <v>8</v>
      </c>
      <c r="AZ15" s="50">
        <v>8</v>
      </c>
      <c r="BA15" s="50">
        <v>8</v>
      </c>
      <c r="BB15" s="50">
        <v>8</v>
      </c>
      <c r="BC15" s="50">
        <v>8</v>
      </c>
      <c r="BD15" s="50">
        <v>8</v>
      </c>
      <c r="BE15" s="50">
        <v>8</v>
      </c>
      <c r="BF15" s="50">
        <v>8</v>
      </c>
      <c r="BG15" s="50">
        <v>8</v>
      </c>
      <c r="BH15" s="50">
        <v>8</v>
      </c>
      <c r="BI15" s="50">
        <v>8</v>
      </c>
      <c r="BJ15" s="50">
        <v>8</v>
      </c>
      <c r="BK15" s="50">
        <v>8</v>
      </c>
      <c r="BL15" s="50">
        <v>8</v>
      </c>
      <c r="BM15" s="50">
        <v>8</v>
      </c>
      <c r="BN15" s="50">
        <v>8</v>
      </c>
      <c r="BO15" s="50">
        <v>8</v>
      </c>
      <c r="BP15" s="50">
        <v>8</v>
      </c>
      <c r="BQ15" s="50">
        <v>8</v>
      </c>
      <c r="BR15" s="50">
        <v>8</v>
      </c>
      <c r="BS15" s="50">
        <v>8</v>
      </c>
      <c r="BT15" s="50">
        <v>8</v>
      </c>
      <c r="BU15" s="50">
        <v>8</v>
      </c>
      <c r="BV15" s="50">
        <v>8</v>
      </c>
      <c r="BW15" s="50">
        <v>8</v>
      </c>
      <c r="BX15" s="50">
        <v>8</v>
      </c>
      <c r="BY15" s="50">
        <v>8</v>
      </c>
      <c r="BZ15" s="50">
        <v>8</v>
      </c>
      <c r="CA15" s="50">
        <v>8</v>
      </c>
      <c r="CB15" s="50">
        <v>8</v>
      </c>
      <c r="CC15" s="50">
        <v>8</v>
      </c>
      <c r="CD15" s="50">
        <v>8</v>
      </c>
      <c r="CE15" s="50">
        <v>8</v>
      </c>
      <c r="CF15" s="50">
        <v>8</v>
      </c>
      <c r="CG15" s="50">
        <v>8</v>
      </c>
      <c r="CH15" s="50">
        <v>8</v>
      </c>
      <c r="CI15" s="50">
        <v>8</v>
      </c>
      <c r="CJ15" s="50">
        <v>8</v>
      </c>
      <c r="CK15" s="50">
        <v>8</v>
      </c>
      <c r="CL15" s="50">
        <v>8</v>
      </c>
      <c r="CM15" s="50">
        <v>8</v>
      </c>
      <c r="CN15" s="50">
        <v>8</v>
      </c>
      <c r="CO15" s="50">
        <v>8</v>
      </c>
      <c r="CP15" s="50">
        <v>8</v>
      </c>
      <c r="CQ15" s="50">
        <v>8</v>
      </c>
      <c r="CR15" s="50">
        <v>8</v>
      </c>
      <c r="CS15" s="50">
        <v>8</v>
      </c>
      <c r="CT15" s="50">
        <v>8</v>
      </c>
      <c r="CU15" s="50">
        <v>8</v>
      </c>
      <c r="CV15" s="50">
        <v>8</v>
      </c>
      <c r="CW15" s="50">
        <v>8</v>
      </c>
      <c r="CX15" s="50">
        <v>8</v>
      </c>
      <c r="CY15" s="50">
        <v>8</v>
      </c>
      <c r="CZ15" s="50">
        <v>8</v>
      </c>
      <c r="DA15" s="50">
        <v>8</v>
      </c>
      <c r="DB15" s="50">
        <v>8</v>
      </c>
      <c r="DC15" s="50">
        <v>8</v>
      </c>
      <c r="DD15" s="50">
        <v>8</v>
      </c>
      <c r="DE15" s="50">
        <v>8</v>
      </c>
      <c r="DF15" s="50">
        <v>8</v>
      </c>
      <c r="DG15" s="50">
        <v>8</v>
      </c>
      <c r="DH15" s="50">
        <v>8</v>
      </c>
      <c r="DI15" s="50">
        <v>8</v>
      </c>
      <c r="DJ15" s="50">
        <v>8</v>
      </c>
      <c r="DK15" s="50">
        <v>8</v>
      </c>
      <c r="DL15" s="50">
        <v>8</v>
      </c>
      <c r="DM15" s="50">
        <v>8</v>
      </c>
      <c r="DN15" s="50">
        <v>8</v>
      </c>
      <c r="DO15" s="50">
        <v>8</v>
      </c>
      <c r="DP15" s="50">
        <v>8</v>
      </c>
      <c r="DQ15" s="50">
        <v>8</v>
      </c>
      <c r="DR15" s="50">
        <v>8</v>
      </c>
      <c r="DS15" s="50">
        <v>8</v>
      </c>
      <c r="DT15" s="50">
        <v>8</v>
      </c>
      <c r="DU15" s="50">
        <v>8</v>
      </c>
      <c r="DV15" s="50">
        <v>8</v>
      </c>
      <c r="DW15" s="50">
        <v>8</v>
      </c>
      <c r="DX15" s="50">
        <v>8</v>
      </c>
      <c r="DY15" s="50">
        <v>8</v>
      </c>
      <c r="DZ15" s="50">
        <v>8</v>
      </c>
      <c r="EA15" s="50">
        <v>8</v>
      </c>
      <c r="EB15" s="50">
        <v>8</v>
      </c>
      <c r="EC15" s="50">
        <v>8</v>
      </c>
      <c r="ED15" s="50">
        <v>8</v>
      </c>
      <c r="EE15" s="50">
        <v>8</v>
      </c>
      <c r="EF15" s="50">
        <v>8</v>
      </c>
      <c r="EG15" s="50">
        <v>8</v>
      </c>
      <c r="EH15" s="50">
        <v>8</v>
      </c>
      <c r="EI15" s="50">
        <v>8</v>
      </c>
      <c r="EJ15" s="50">
        <v>8</v>
      </c>
      <c r="EK15" s="50">
        <v>8</v>
      </c>
      <c r="EL15" s="50">
        <v>8</v>
      </c>
      <c r="EM15" s="50">
        <v>8</v>
      </c>
      <c r="EN15" s="50">
        <v>8</v>
      </c>
      <c r="EO15" s="50">
        <v>8</v>
      </c>
      <c r="EP15" s="50">
        <v>8</v>
      </c>
      <c r="EQ15" s="50">
        <v>8</v>
      </c>
      <c r="ER15" s="50">
        <v>8</v>
      </c>
      <c r="ES15" s="50">
        <v>8</v>
      </c>
      <c r="ET15" s="50">
        <v>8</v>
      </c>
      <c r="EU15" s="50">
        <v>8</v>
      </c>
      <c r="EV15" s="50">
        <v>8</v>
      </c>
      <c r="EW15" s="50">
        <v>8</v>
      </c>
      <c r="EX15" s="50">
        <v>8</v>
      </c>
      <c r="EY15" s="50">
        <v>8</v>
      </c>
      <c r="EZ15" s="50">
        <v>8</v>
      </c>
      <c r="FA15" s="50">
        <v>8</v>
      </c>
      <c r="FB15" s="50">
        <v>8</v>
      </c>
      <c r="FC15" s="50">
        <v>8</v>
      </c>
      <c r="FD15" s="50">
        <v>8</v>
      </c>
      <c r="FE15" s="50">
        <v>8</v>
      </c>
      <c r="FF15" s="50">
        <v>8</v>
      </c>
      <c r="FG15" s="50">
        <v>8</v>
      </c>
      <c r="FH15" s="50">
        <v>8</v>
      </c>
      <c r="FI15" s="50">
        <v>8</v>
      </c>
      <c r="FJ15" s="50">
        <v>8</v>
      </c>
      <c r="FK15" s="50">
        <v>8</v>
      </c>
      <c r="FL15" s="50">
        <v>8</v>
      </c>
      <c r="FM15" s="50">
        <v>8</v>
      </c>
      <c r="FN15" s="50">
        <v>8</v>
      </c>
      <c r="FO15" s="50">
        <v>8</v>
      </c>
      <c r="FP15" s="50">
        <v>8</v>
      </c>
      <c r="FQ15" s="50">
        <v>8</v>
      </c>
      <c r="FR15" s="50">
        <v>8</v>
      </c>
      <c r="FS15" s="50">
        <v>8</v>
      </c>
      <c r="FT15" s="50">
        <v>8</v>
      </c>
      <c r="FU15" s="50">
        <v>8</v>
      </c>
      <c r="FV15" s="50">
        <v>8</v>
      </c>
      <c r="FW15" s="50">
        <v>8</v>
      </c>
      <c r="FX15" s="50">
        <v>8</v>
      </c>
      <c r="FY15" s="50">
        <v>8</v>
      </c>
      <c r="FZ15" s="50">
        <v>8</v>
      </c>
      <c r="GA15" s="50">
        <v>8</v>
      </c>
      <c r="GB15" s="50">
        <v>8</v>
      </c>
      <c r="GC15" s="50">
        <v>8</v>
      </c>
      <c r="GD15" s="50">
        <v>8</v>
      </c>
      <c r="GE15" s="50">
        <v>8</v>
      </c>
      <c r="GF15" s="50">
        <v>8</v>
      </c>
      <c r="GG15" s="50">
        <v>8</v>
      </c>
      <c r="GH15" s="50">
        <v>8</v>
      </c>
      <c r="GI15" s="50">
        <v>8</v>
      </c>
      <c r="GJ15" s="50">
        <v>8</v>
      </c>
      <c r="GK15" s="50">
        <v>8</v>
      </c>
      <c r="GL15" s="50">
        <v>8</v>
      </c>
      <c r="GM15" s="50">
        <v>8</v>
      </c>
      <c r="GN15" s="50">
        <v>8</v>
      </c>
      <c r="GO15" s="50">
        <v>8</v>
      </c>
      <c r="GP15" s="50">
        <v>8</v>
      </c>
      <c r="GQ15" s="50">
        <v>8</v>
      </c>
      <c r="GR15" s="50">
        <v>8</v>
      </c>
      <c r="GS15" s="50">
        <v>8</v>
      </c>
      <c r="GT15" s="50">
        <v>8</v>
      </c>
      <c r="GU15" s="50">
        <v>8</v>
      </c>
      <c r="GV15" s="50">
        <v>8</v>
      </c>
      <c r="GW15" s="50">
        <v>8</v>
      </c>
      <c r="GX15" s="50">
        <v>8</v>
      </c>
      <c r="GY15" s="50">
        <v>8</v>
      </c>
      <c r="GZ15" s="50">
        <v>8</v>
      </c>
      <c r="HA15" s="50">
        <v>8</v>
      </c>
      <c r="HB15" s="50">
        <v>8</v>
      </c>
      <c r="HC15" s="50">
        <v>8</v>
      </c>
      <c r="HD15" s="50">
        <v>8</v>
      </c>
      <c r="HE15" s="50">
        <v>8</v>
      </c>
      <c r="HF15" s="50">
        <v>8</v>
      </c>
      <c r="HG15" s="50">
        <v>8</v>
      </c>
      <c r="HH15" s="50">
        <v>8</v>
      </c>
      <c r="HI15" s="50">
        <v>8</v>
      </c>
      <c r="HJ15" s="50">
        <v>8</v>
      </c>
      <c r="HK15" s="50">
        <v>8</v>
      </c>
      <c r="HL15" s="50">
        <v>8</v>
      </c>
      <c r="HM15" s="50">
        <v>8</v>
      </c>
      <c r="HN15" s="50">
        <v>8</v>
      </c>
      <c r="HO15" s="50">
        <v>8</v>
      </c>
      <c r="HP15" s="50">
        <v>8</v>
      </c>
      <c r="HQ15" s="50">
        <v>8</v>
      </c>
      <c r="HR15" s="50">
        <v>8</v>
      </c>
      <c r="HS15" s="50">
        <v>8</v>
      </c>
      <c r="HT15" s="50">
        <v>8</v>
      </c>
      <c r="HU15" s="50">
        <v>8</v>
      </c>
      <c r="HV15" s="50">
        <v>8</v>
      </c>
      <c r="HW15" s="50">
        <v>8</v>
      </c>
      <c r="HX15" s="50">
        <v>8</v>
      </c>
      <c r="HY15" s="50">
        <v>8</v>
      </c>
      <c r="HZ15" s="50">
        <v>8</v>
      </c>
      <c r="IA15" s="50">
        <v>8</v>
      </c>
      <c r="IB15" s="50">
        <v>8</v>
      </c>
      <c r="IC15" s="50">
        <v>8</v>
      </c>
      <c r="ID15" s="50">
        <v>8</v>
      </c>
      <c r="IE15" s="50">
        <v>8</v>
      </c>
      <c r="IF15" s="50">
        <v>8</v>
      </c>
      <c r="IG15" s="50">
        <v>8</v>
      </c>
      <c r="IH15" s="50">
        <v>8</v>
      </c>
      <c r="II15" s="50">
        <v>8</v>
      </c>
      <c r="IJ15" s="50">
        <v>8</v>
      </c>
      <c r="IK15" s="50">
        <v>8</v>
      </c>
      <c r="IL15" s="50">
        <v>8</v>
      </c>
      <c r="IM15" s="50">
        <v>8</v>
      </c>
      <c r="IN15" s="50">
        <v>8</v>
      </c>
      <c r="IO15" s="50">
        <v>8</v>
      </c>
      <c r="IP15" s="50">
        <v>8</v>
      </c>
      <c r="IQ15" s="50">
        <v>8</v>
      </c>
      <c r="IR15" s="50">
        <v>8</v>
      </c>
      <c r="IS15" s="50">
        <v>8</v>
      </c>
      <c r="IT15" s="50">
        <v>8</v>
      </c>
      <c r="IU15" s="50">
        <v>8</v>
      </c>
      <c r="IV15" s="50">
        <v>8</v>
      </c>
      <c r="IW15" s="50">
        <v>23</v>
      </c>
    </row>
  </sheetData>
  <sheetProtection autoFilter="0" deleteColumns="1" deleteRows="1" formatCells="1" formatColumns="0" formatRows="0" insertColumns="1" insertHyperlinks="1" insertRows="1" objects="0" pivotTables="1" scenarios="0" selectLockedCells="0" selectUnlockedCells="0" sheet="1" sort="1"/>
  <mergeCells count="10">
    <mergeCell ref="E5:K5"/>
    <mergeCell ref="E7:K7"/>
    <mergeCell ref="L7:L9"/>
    <mergeCell ref="E8:E9"/>
    <mergeCell ref="F8:F9"/>
    <mergeCell ref="G8:I8"/>
    <mergeCell ref="J8:J9"/>
    <mergeCell ref="K8:K9"/>
    <mergeCell ref="A10:A11"/>
    <mergeCell ref="L10:L11"/>
  </mergeCells>
  <dataValidations count="1" disablePrompts="0">
    <dataValidation sqref="G2:G3 G10"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7F0020-007B-47A6-A1C7-00510088003B}" type="textLength" allowBlank="1" errorStyle="stop" imeMode="noControl" operator="between" showDropDown="0" showErrorMessage="1" showInputMessage="1">
          <x14:formula1>
            <xm:f>13</xm:f>
          </x14:formula1>
          <x14:formula2>
            <xm:f>15</xm:f>
          </x14:formula2>
          <xm:sqref>H3:I3</xm:sqref>
        </x14:dataValidation>
        <x14:dataValidation xr:uid="{00FD0091-0079-4BD4-847F-005F00FB0049}"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J10:K10 J2:K3</xm:sqref>
        </x14:dataValidation>
        <x14:dataValidation xr:uid="{007E004A-00C7-47DD-B0C3-0045002200BF}" type="time" allowBlank="1" errorStyle="stop" imeMode="noControl" operator="between" prompt="Укажите время в формате ЧЧ:ММ" showDropDown="0" showErrorMessage="1" showInputMessage="1">
          <x14:formula1>
            <xm:f>0</xm:f>
          </x14:formula1>
          <x14:formula2>
            <xm:f>0.9993055555555556</xm:f>
          </x14:formula2>
          <xm:sqref>H10 H2</xm:sqref>
        </x14:dataValidation>
        <x14:dataValidation xr:uid="{000800AE-00C0-4ECD-B27B-00DE00A60040}" type="textLength" allowBlank="1" errorStyle="stop" imeMode="noControl" operator="lessThanOrEqual" showDropDown="0" showErrorMessage="1" showInputMessage="1">
          <x14:formula1>
            <xm:f>990</xm:f>
          </x14:formula1>
          <xm:sqref>I10 I2</xm:sqref>
        </x14:dataValidation>
      </x14:dataValidations>
    </ext>
  </extLst>
</worksheet>
</file>

<file path=xl/worksheets/sheet5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zoomScale="90" workbookViewId="0">
      <pane xSplit="6" ySplit="9" topLeftCell="G10" activePane="bottomRight" state="frozen"/>
      <selection activeCell="A1" activeCellId="0" sqref="A1"/>
    </sheetView>
  </sheetViews>
  <sheetFormatPr defaultColWidth="9.140625" defaultRowHeight="14.25" customHeight="1"/>
  <cols>
    <col hidden="1" min="1" max="1" style="50" width="9.140625"/>
    <col hidden="1" min="2" max="2" style="53" width="9.140625"/>
    <col customWidth="1" hidden="1" min="3" max="3" style="50" width="3.7109375"/>
    <col customWidth="1" min="4" max="4" style="129" width="3.00390625"/>
    <col customWidth="1" min="5" max="5" style="50" width="6.00390625"/>
    <col customWidth="1" min="6" max="6" style="50" width="27.00390625"/>
    <col customWidth="1" min="7" max="7" style="50" width="16.00390625"/>
    <col customWidth="1" min="8" max="8" style="50" width="12.00390625"/>
    <col customWidth="1" min="9" max="9" style="50" width="32.00390625"/>
    <col customWidth="1" min="10" max="11" style="50" width="41.00390625"/>
    <col customWidth="1" min="12" max="12" style="50" width="89.00390625"/>
    <col customWidth="1" min="13" max="13" style="130" width="3.00390625"/>
    <col customWidth="1" min="14" max="16" style="130" width="8.00390625"/>
    <col customWidth="1" min="17" max="17" style="130" width="25.00390625"/>
    <col customWidth="1" min="18" max="18" style="130" width="14.00390625"/>
    <col customWidth="1" min="19" max="22" style="131" width="8.00390625"/>
    <col customWidth="1" min="23" max="256" style="50" width="8.00390625"/>
    <col hidden="1" min="257" max="257" style="50" width="9.140625"/>
  </cols>
  <sheetData>
    <row r="1" ht="22.5" hidden="1" customHeight="1">
      <c r="IW1" s="50" t="s">
        <v>14</v>
      </c>
    </row>
    <row r="2" s="63" customFormat="1" ht="22.5" hidden="1" customHeight="1">
      <c r="A2" s="121"/>
      <c r="B2" s="53">
        <v>1</v>
      </c>
      <c r="C2" s="53"/>
      <c r="D2" s="1045" t="s">
        <v>683</v>
      </c>
      <c r="E2" s="158"/>
      <c r="F2" s="545" t="str">
        <f>IF(ROIV_INFO_NAME="","",ROIV_INFO_NAME)</f>
        <v xml:space="preserve">АО "ДГК" СП "Биробиджанская ТЭЦ"</v>
      </c>
      <c r="G2" s="89" t="s">
        <v>22</v>
      </c>
      <c r="H2" s="1175"/>
      <c r="I2" s="1169"/>
      <c r="J2" s="759"/>
      <c r="K2" s="759"/>
      <c r="L2" s="137"/>
      <c r="M2" s="1164" t="e">
        <f>MERGEVALUE(F2)</f>
        <v>#NAME?</v>
      </c>
      <c r="N2" s="57"/>
      <c r="O2" s="57"/>
      <c r="P2" s="130" t="str">
        <f t="array" ref="P2">IF(ISERROR(MATCH(MID(Q2,1,250),MID(note_ter,1,250),0)),"n","y")</f>
        <v>n</v>
      </c>
      <c r="Q2" s="57"/>
      <c r="R2" s="130" t="str">
        <f>G2&amp;"("&amp;L2&amp;")"</f>
        <v>()</v>
      </c>
      <c r="S2" s="53"/>
      <c r="T2" s="53"/>
      <c r="U2" s="167"/>
      <c r="V2" s="53"/>
      <c r="W2" s="53"/>
      <c r="X2" s="53"/>
      <c r="Y2" s="64"/>
      <c r="Z2" s="64"/>
      <c r="AA2" s="168"/>
      <c r="AB2" s="168"/>
      <c r="AC2" s="168"/>
      <c r="AD2" s="168"/>
      <c r="AE2" s="168"/>
      <c r="AF2" s="168"/>
      <c r="AG2" s="168"/>
      <c r="AH2" s="168"/>
      <c r="AI2" s="168"/>
      <c r="AJ2" s="168"/>
      <c r="AK2" s="168"/>
      <c r="AL2" s="168"/>
      <c r="AM2" s="168"/>
      <c r="AN2" s="168"/>
      <c r="AO2" s="168"/>
      <c r="AP2" s="168"/>
      <c r="AQ2" s="168"/>
      <c r="AR2" s="168"/>
      <c r="AS2" s="168"/>
      <c r="AT2" s="168"/>
      <c r="AU2" s="168"/>
      <c r="AV2" s="168"/>
      <c r="AW2" s="168"/>
      <c r="AX2" s="168"/>
      <c r="AY2" s="168"/>
      <c r="AZ2" s="168"/>
      <c r="BA2" s="168"/>
      <c r="BB2" s="168"/>
      <c r="BC2" s="168"/>
      <c r="BD2" s="168"/>
      <c r="BE2" s="168"/>
      <c r="BF2" s="168"/>
      <c r="BG2" s="168"/>
      <c r="BH2" s="168"/>
      <c r="BI2" s="168"/>
      <c r="BJ2" s="168"/>
      <c r="BK2" s="168"/>
      <c r="BL2" s="168"/>
      <c r="BM2" s="168"/>
      <c r="BN2" s="168"/>
      <c r="BO2" s="168"/>
      <c r="BP2" s="168"/>
      <c r="BQ2" s="168"/>
      <c r="BR2" s="168"/>
      <c r="BS2" s="168"/>
      <c r="BT2" s="168"/>
      <c r="BU2" s="168"/>
      <c r="BV2" s="64"/>
      <c r="BW2" s="64"/>
      <c r="BX2" s="64"/>
      <c r="BY2" s="64"/>
      <c r="BZ2" s="64"/>
      <c r="CA2" s="64"/>
      <c r="CB2" s="64"/>
      <c r="CC2" s="64"/>
      <c r="CD2" s="64"/>
      <c r="CE2" s="64"/>
      <c r="IW2" s="63">
        <v>0</v>
      </c>
    </row>
    <row r="3" s="57" customFormat="1" ht="5.25" hidden="1" customHeight="1">
      <c r="A3" s="132"/>
      <c r="D3" s="133"/>
      <c r="F3" s="134" t="s">
        <v>82</v>
      </c>
      <c r="G3" s="1176" t="s">
        <v>83</v>
      </c>
      <c r="H3" s="133"/>
      <c r="I3" s="133"/>
      <c r="J3" s="133"/>
      <c r="K3" s="133"/>
      <c r="L3" s="135" t="s">
        <v>84</v>
      </c>
      <c r="M3" s="134" t="s">
        <v>82</v>
      </c>
      <c r="N3" s="134"/>
      <c r="O3" s="134"/>
      <c r="P3" s="134"/>
      <c r="Q3" s="134"/>
      <c r="R3" s="134"/>
      <c r="S3" s="134"/>
      <c r="T3" s="134"/>
      <c r="U3" s="134"/>
      <c r="V3" s="134"/>
      <c r="W3" s="135"/>
      <c r="X3" s="135"/>
      <c r="Y3" s="135"/>
      <c r="Z3" s="135"/>
      <c r="AA3" s="135"/>
      <c r="AB3" s="135"/>
      <c r="AC3" s="135"/>
      <c r="AD3" s="135"/>
      <c r="AE3" s="135"/>
      <c r="AF3" s="135"/>
      <c r="AG3" s="135"/>
      <c r="AH3" s="135"/>
      <c r="AI3" s="135"/>
      <c r="AJ3" s="135"/>
      <c r="AK3" s="135"/>
      <c r="AL3" s="135"/>
      <c r="AM3" s="135"/>
      <c r="AN3" s="135"/>
      <c r="AO3" s="135"/>
      <c r="AP3" s="135"/>
      <c r="AQ3" s="135"/>
      <c r="AR3" s="135"/>
      <c r="AS3" s="135"/>
      <c r="AT3" s="135"/>
      <c r="AU3" s="135"/>
      <c r="AV3" s="135"/>
      <c r="AW3" s="135"/>
      <c r="AX3" s="135"/>
      <c r="AY3" s="135"/>
      <c r="AZ3" s="135"/>
      <c r="BA3" s="135"/>
      <c r="BB3" s="135"/>
      <c r="BC3" s="135"/>
      <c r="BD3" s="135"/>
      <c r="BE3" s="135"/>
      <c r="BF3" s="135"/>
      <c r="BG3" s="135"/>
      <c r="BH3" s="135"/>
      <c r="BI3" s="135"/>
      <c r="BJ3" s="135"/>
      <c r="BK3" s="135"/>
      <c r="BL3" s="135"/>
      <c r="BM3" s="135"/>
      <c r="BN3" s="135"/>
      <c r="BO3" s="135"/>
      <c r="BP3" s="135"/>
      <c r="BQ3" s="135"/>
      <c r="BR3" s="135"/>
      <c r="BS3" s="135"/>
      <c r="BT3" s="135"/>
      <c r="BU3" s="135"/>
      <c r="BV3" s="135"/>
      <c r="BW3" s="135"/>
      <c r="BX3" s="135"/>
      <c r="BY3" s="135"/>
      <c r="BZ3" s="135"/>
      <c r="CA3" s="135"/>
      <c r="CB3" s="135"/>
      <c r="CC3" s="135"/>
      <c r="CD3" s="135"/>
      <c r="CE3" s="135"/>
      <c r="CF3" s="135"/>
      <c r="CG3" s="135"/>
      <c r="CH3" s="135"/>
      <c r="CI3" s="135"/>
      <c r="CJ3" s="135"/>
      <c r="CK3" s="135"/>
      <c r="CL3" s="135"/>
      <c r="CM3" s="135"/>
      <c r="CN3" s="135"/>
      <c r="CO3" s="135"/>
      <c r="CP3" s="135"/>
      <c r="CQ3" s="135"/>
      <c r="CR3" s="135"/>
      <c r="CS3" s="135"/>
      <c r="CT3" s="135"/>
      <c r="CU3" s="135"/>
      <c r="CV3" s="135"/>
      <c r="CW3" s="135"/>
      <c r="CX3" s="135"/>
      <c r="CY3" s="135"/>
      <c r="CZ3" s="135"/>
      <c r="DA3" s="135"/>
      <c r="DB3" s="135"/>
      <c r="DC3" s="135"/>
      <c r="DD3" s="135"/>
      <c r="DE3" s="135"/>
      <c r="DF3" s="135"/>
      <c r="DG3" s="135"/>
      <c r="DH3" s="135"/>
      <c r="DI3" s="135"/>
      <c r="DJ3" s="135"/>
      <c r="DK3" s="135"/>
      <c r="DL3" s="135"/>
      <c r="DM3" s="135"/>
      <c r="DN3" s="135"/>
      <c r="DO3" s="135"/>
      <c r="DP3" s="135"/>
      <c r="DQ3" s="135"/>
      <c r="DR3" s="135"/>
      <c r="DS3" s="135"/>
      <c r="DT3" s="135"/>
      <c r="DU3" s="135"/>
      <c r="DV3" s="135"/>
      <c r="DW3" s="135"/>
      <c r="DX3" s="135"/>
      <c r="DY3" s="135"/>
      <c r="DZ3" s="135"/>
      <c r="EA3" s="135"/>
      <c r="EB3" s="135"/>
      <c r="EC3" s="135"/>
      <c r="ED3" s="135"/>
      <c r="EE3" s="135"/>
      <c r="EF3" s="135"/>
      <c r="EG3" s="135"/>
      <c r="EH3" s="135"/>
      <c r="EI3" s="135"/>
      <c r="EJ3" s="135"/>
      <c r="EK3" s="135"/>
      <c r="EL3" s="135"/>
      <c r="EM3" s="135"/>
      <c r="EN3" s="135"/>
      <c r="EO3" s="135"/>
      <c r="EP3" s="135"/>
      <c r="EQ3" s="135"/>
      <c r="ER3" s="135"/>
      <c r="ES3" s="135"/>
      <c r="ET3" s="135"/>
      <c r="EU3" s="135"/>
      <c r="EV3" s="135"/>
      <c r="EW3" s="135"/>
      <c r="EX3" s="135"/>
      <c r="EY3" s="135"/>
      <c r="EZ3" s="135"/>
      <c r="FA3" s="135"/>
      <c r="FB3" s="135"/>
      <c r="FC3" s="135"/>
      <c r="FD3" s="135"/>
      <c r="FE3" s="135"/>
      <c r="FF3" s="135"/>
      <c r="FG3" s="135"/>
      <c r="FH3" s="135"/>
      <c r="FI3" s="135"/>
      <c r="FJ3" s="135"/>
      <c r="FK3" s="135"/>
      <c r="FL3" s="135"/>
      <c r="FM3" s="135"/>
      <c r="FN3" s="135"/>
      <c r="FO3" s="135"/>
      <c r="FP3" s="135"/>
      <c r="FQ3" s="135"/>
      <c r="FR3" s="135"/>
      <c r="FS3" s="135"/>
      <c r="FT3" s="135"/>
      <c r="FU3" s="135"/>
      <c r="FV3" s="135"/>
      <c r="FW3" s="135"/>
      <c r="FX3" s="135"/>
      <c r="FY3" s="135"/>
      <c r="FZ3" s="135"/>
      <c r="GA3" s="135"/>
      <c r="GB3" s="135"/>
      <c r="GC3" s="135"/>
      <c r="GD3" s="135"/>
      <c r="GE3" s="135"/>
      <c r="GF3" s="135"/>
      <c r="GG3" s="135"/>
      <c r="GH3" s="135"/>
      <c r="GI3" s="135"/>
      <c r="GJ3" s="135"/>
      <c r="GK3" s="135"/>
      <c r="GL3" s="135"/>
      <c r="GM3" s="135"/>
      <c r="GN3" s="135"/>
      <c r="GO3" s="135"/>
      <c r="GP3" s="135"/>
      <c r="GQ3" s="135"/>
      <c r="GR3" s="135"/>
      <c r="GS3" s="135"/>
      <c r="GT3" s="135"/>
      <c r="GU3" s="135"/>
      <c r="GV3" s="135"/>
      <c r="GW3" s="135"/>
      <c r="GX3" s="135"/>
      <c r="GY3" s="135"/>
      <c r="GZ3" s="135"/>
      <c r="HA3" s="135"/>
      <c r="HB3" s="135"/>
      <c r="HC3" s="135"/>
      <c r="HD3" s="135"/>
      <c r="HE3" s="135"/>
      <c r="HF3" s="135"/>
      <c r="HG3" s="135"/>
      <c r="HH3" s="135"/>
      <c r="HI3" s="135"/>
      <c r="HJ3" s="135"/>
      <c r="HK3" s="135"/>
      <c r="HL3" s="135"/>
      <c r="HM3" s="135"/>
      <c r="HN3" s="135"/>
      <c r="HO3" s="135"/>
      <c r="HP3" s="135"/>
      <c r="HQ3" s="135"/>
      <c r="HR3" s="135"/>
      <c r="HS3" s="135"/>
      <c r="HT3" s="135"/>
      <c r="HU3" s="135"/>
      <c r="HV3" s="135"/>
      <c r="HW3" s="135"/>
      <c r="HX3" s="135"/>
      <c r="HY3" s="135"/>
      <c r="HZ3" s="135"/>
      <c r="IA3" s="135"/>
      <c r="IB3" s="135"/>
      <c r="IC3" s="135"/>
      <c r="ID3" s="135"/>
      <c r="IE3" s="135"/>
      <c r="IF3" s="135"/>
      <c r="IG3" s="135"/>
      <c r="IH3" s="135"/>
      <c r="II3" s="135"/>
      <c r="IJ3" s="135"/>
      <c r="IK3" s="135"/>
      <c r="IL3" s="135"/>
      <c r="IM3" s="135"/>
      <c r="IN3" s="135"/>
      <c r="IO3" s="135"/>
      <c r="IP3" s="135"/>
      <c r="IQ3" s="135"/>
      <c r="IR3" s="135"/>
      <c r="IS3" s="135"/>
      <c r="IT3" s="135"/>
      <c r="IU3" s="135"/>
      <c r="IV3" s="135"/>
      <c r="IW3" s="57">
        <v>0</v>
      </c>
    </row>
    <row r="4" s="140" customFormat="1" ht="14.65" customHeight="1">
      <c r="A4" s="50"/>
      <c r="B4" s="53"/>
      <c r="C4" s="50"/>
      <c r="D4" s="129"/>
      <c r="E4" s="50"/>
      <c r="F4" s="50"/>
      <c r="G4" s="50"/>
      <c r="H4" s="50"/>
      <c r="I4" s="50"/>
      <c r="J4" s="50"/>
      <c r="K4" s="50"/>
      <c r="L4" s="141"/>
      <c r="M4" s="134"/>
      <c r="N4" s="130"/>
      <c r="O4" s="130"/>
      <c r="P4" s="130"/>
      <c r="Q4" s="130"/>
      <c r="R4" s="130"/>
      <c r="S4" s="131"/>
      <c r="T4" s="131"/>
      <c r="U4" s="131"/>
      <c r="V4" s="131"/>
      <c r="IW4" s="140">
        <v>14</v>
      </c>
    </row>
    <row r="5" s="140" customFormat="1" ht="27.300000000000001" customHeight="1">
      <c r="A5" s="50"/>
      <c r="B5" s="53"/>
      <c r="C5" s="50"/>
      <c r="D5" s="129"/>
      <c r="E5" s="142" t="str">
        <f>"Форма "&amp;IF(TEMPLATE_SPHERE="HEAT","4","3")&amp;". Информация о рассмотрении дел об установлении "&amp;IF(TEMPLATE_SPHERE="TKO","предельных тарифов","тарифов в сфере "&amp;TEMPLATE_SPHERE_RUS)</f>
        <v xml:space="preserve">Форма 3. Информация о рассмотрении дел об установлении тарифов в сфере горячего водоснабжения</v>
      </c>
      <c r="F5" s="142"/>
      <c r="G5" s="142"/>
      <c r="H5" s="142"/>
      <c r="I5" s="142"/>
      <c r="J5" s="142"/>
      <c r="K5" s="142"/>
      <c r="L5" s="50"/>
      <c r="M5" s="134"/>
      <c r="N5" s="130"/>
      <c r="O5" s="130"/>
      <c r="P5" s="130"/>
      <c r="Q5" s="130"/>
      <c r="R5" s="130"/>
      <c r="S5" s="131"/>
      <c r="T5" s="131"/>
      <c r="U5" s="131"/>
      <c r="V5" s="131"/>
      <c r="IW5" s="140">
        <v>26</v>
      </c>
    </row>
    <row r="6" s="140" customFormat="1" ht="14.65" customHeight="1">
      <c r="A6" s="50"/>
      <c r="B6" s="53"/>
      <c r="C6" s="50"/>
      <c r="D6" s="129"/>
      <c r="E6" s="50"/>
      <c r="F6" s="143"/>
      <c r="G6" s="143"/>
      <c r="H6" s="143"/>
      <c r="I6" s="143"/>
      <c r="J6" s="143"/>
      <c r="K6" s="143"/>
      <c r="L6" s="121"/>
      <c r="M6" s="130"/>
      <c r="N6" s="130"/>
      <c r="O6" s="130"/>
      <c r="P6" s="130"/>
      <c r="Q6" s="130"/>
      <c r="R6" s="130"/>
      <c r="S6" s="131"/>
      <c r="T6" s="131"/>
      <c r="U6" s="131"/>
      <c r="V6" s="131"/>
      <c r="IW6" s="140">
        <v>14</v>
      </c>
    </row>
    <row r="7" s="140" customFormat="1" ht="14.65" customHeight="1">
      <c r="A7" s="50"/>
      <c r="B7" s="53"/>
      <c r="C7" s="50"/>
      <c r="D7" s="129"/>
      <c r="E7" s="73" t="s">
        <v>294</v>
      </c>
      <c r="F7" s="146"/>
      <c r="G7" s="146"/>
      <c r="H7" s="146"/>
      <c r="I7" s="146"/>
      <c r="J7" s="146"/>
      <c r="K7" s="146"/>
      <c r="L7" s="859" t="s">
        <v>295</v>
      </c>
      <c r="M7" s="130"/>
      <c r="N7" s="130"/>
      <c r="O7" s="130"/>
      <c r="P7" s="130"/>
      <c r="Q7" s="130"/>
      <c r="R7" s="130"/>
      <c r="S7" s="131"/>
      <c r="T7" s="131"/>
      <c r="U7" s="131"/>
      <c r="V7" s="131"/>
      <c r="IW7" s="140">
        <v>14</v>
      </c>
    </row>
    <row r="8" s="140" customFormat="1" ht="67.200000000000003" customHeight="1">
      <c r="A8" s="50"/>
      <c r="B8" s="53"/>
      <c r="C8" s="50"/>
      <c r="D8" s="129"/>
      <c r="E8" s="1166" t="s">
        <v>87</v>
      </c>
      <c r="F8" s="1166" t="s">
        <v>1901</v>
      </c>
      <c r="G8" s="148" t="s">
        <v>1902</v>
      </c>
      <c r="H8" s="1177"/>
      <c r="I8" s="1178"/>
      <c r="J8" s="1166" t="s">
        <v>1903</v>
      </c>
      <c r="K8" s="1166"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 xml:space="preserve">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179"/>
      <c r="M8" s="130"/>
      <c r="N8" s="130"/>
      <c r="O8" s="130"/>
      <c r="P8" s="130"/>
      <c r="Q8" s="130"/>
      <c r="R8" s="130"/>
      <c r="S8" s="131"/>
      <c r="T8" s="131"/>
      <c r="U8" s="131"/>
      <c r="V8" s="131"/>
      <c r="IW8" s="140">
        <v>64</v>
      </c>
    </row>
    <row r="9" s="140" customFormat="1" ht="29.25" customHeight="1">
      <c r="A9" s="50"/>
      <c r="B9" s="53"/>
      <c r="C9" s="50"/>
      <c r="D9" s="129"/>
      <c r="E9" s="1180"/>
      <c r="F9" s="1180"/>
      <c r="G9" s="1180" t="s">
        <v>1897</v>
      </c>
      <c r="H9" s="1180" t="s">
        <v>1898</v>
      </c>
      <c r="I9" s="1180" t="s">
        <v>1899</v>
      </c>
      <c r="J9" s="1180"/>
      <c r="K9" s="1180"/>
      <c r="L9" s="1167"/>
      <c r="M9" s="130"/>
      <c r="N9" s="130"/>
      <c r="O9" s="130"/>
      <c r="P9" s="130"/>
      <c r="Q9" s="130"/>
      <c r="R9" s="130"/>
      <c r="S9" s="131"/>
      <c r="T9" s="131"/>
      <c r="U9" s="131"/>
      <c r="V9" s="131"/>
      <c r="IW9" s="140">
        <v>28</v>
      </c>
    </row>
    <row r="10" s="63" customFormat="1" ht="1.05" customHeight="1">
      <c r="A10" s="51"/>
      <c r="B10" s="53">
        <v>1</v>
      </c>
      <c r="C10" s="53"/>
      <c r="D10" s="162"/>
      <c r="E10" s="164">
        <v>0</v>
      </c>
      <c r="F10" s="410" t="str">
        <f>IF(ROIV_INFO_NAME="","",ROIV_INFO_NAME)</f>
        <v xml:space="preserve">АО "ДГК" СП "Биробиджанская ТЭЦ"</v>
      </c>
      <c r="G10" s="96" t="s">
        <v>22</v>
      </c>
      <c r="H10" s="1184"/>
      <c r="I10" s="1184"/>
      <c r="J10" s="850"/>
      <c r="K10" s="850"/>
      <c r="L10" s="99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 xml:space="preserve">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164" t="e">
        <f>MERGEVALUE(F10)</f>
        <v>#NAME?</v>
      </c>
      <c r="N10" s="57"/>
      <c r="O10" s="57"/>
      <c r="P10" s="130" t="str">
        <f t="array" ref="P10">IF(ISERROR(MATCH(MID(Q10,1,250),MID(note_ter,1,250),0)),"n","y")</f>
        <v>n</v>
      </c>
      <c r="Q10" s="57"/>
      <c r="R10" s="130" t="str">
        <f>G10&amp;"("&amp;L10&amp;")"</f>
        <v xml:space="preserve">(В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53"/>
      <c r="T10" s="53"/>
      <c r="U10" s="167"/>
      <c r="V10" s="53"/>
      <c r="W10" s="53"/>
      <c r="X10" s="53"/>
      <c r="Y10" s="64"/>
      <c r="Z10" s="64"/>
      <c r="AA10" s="168"/>
      <c r="AB10" s="168"/>
      <c r="AC10" s="168"/>
      <c r="AD10" s="168"/>
      <c r="AE10" s="168"/>
      <c r="AF10" s="168"/>
      <c r="AG10" s="168"/>
      <c r="AH10" s="168"/>
      <c r="AI10" s="168"/>
      <c r="AJ10" s="168"/>
      <c r="AK10" s="168"/>
      <c r="AL10" s="168"/>
      <c r="AM10" s="168"/>
      <c r="AN10" s="168"/>
      <c r="AO10" s="168"/>
      <c r="AP10" s="168"/>
      <c r="AQ10" s="168"/>
      <c r="AR10" s="168"/>
      <c r="AS10" s="168"/>
      <c r="AT10" s="168"/>
      <c r="AU10" s="168"/>
      <c r="AV10" s="168"/>
      <c r="AW10" s="168"/>
      <c r="AX10" s="168"/>
      <c r="AY10" s="168"/>
      <c r="AZ10" s="168"/>
      <c r="BA10" s="168"/>
      <c r="BB10" s="168"/>
      <c r="BC10" s="168"/>
      <c r="BD10" s="168"/>
      <c r="BE10" s="168"/>
      <c r="BF10" s="168"/>
      <c r="BG10" s="168"/>
      <c r="BH10" s="168"/>
      <c r="BI10" s="168"/>
      <c r="BJ10" s="168"/>
      <c r="BK10" s="168"/>
      <c r="BL10" s="168"/>
      <c r="BM10" s="168"/>
      <c r="BN10" s="168"/>
      <c r="BO10" s="168"/>
      <c r="BP10" s="168"/>
      <c r="BQ10" s="168"/>
      <c r="BR10" s="168"/>
      <c r="BS10" s="168"/>
      <c r="BT10" s="168"/>
      <c r="BU10" s="168"/>
      <c r="BV10" s="64"/>
      <c r="BW10" s="64"/>
      <c r="BX10" s="64"/>
      <c r="BY10" s="64"/>
      <c r="BZ10" s="64"/>
      <c r="CA10" s="64"/>
      <c r="CB10" s="64"/>
      <c r="CC10" s="64"/>
      <c r="CD10" s="64"/>
      <c r="CE10" s="64"/>
      <c r="IW10" s="63">
        <v>1</v>
      </c>
    </row>
    <row r="11" s="63" customFormat="1" ht="15.75" customHeight="1">
      <c r="A11" s="51"/>
      <c r="B11" s="53"/>
      <c r="C11" s="169"/>
      <c r="D11" s="170"/>
      <c r="E11" s="171"/>
      <c r="F11" s="178" t="s">
        <v>1900</v>
      </c>
      <c r="G11" s="174"/>
      <c r="H11" s="174"/>
      <c r="I11" s="174"/>
      <c r="J11" s="174"/>
      <c r="K11" s="175"/>
      <c r="L11" s="1183"/>
      <c r="M11" s="1173"/>
      <c r="N11" s="57"/>
      <c r="O11" s="57"/>
      <c r="P11" s="57"/>
      <c r="Q11" s="130"/>
      <c r="R11" s="57"/>
      <c r="S11" s="53"/>
      <c r="T11" s="53"/>
      <c r="U11" s="167"/>
      <c r="V11" s="53"/>
      <c r="W11" s="53"/>
      <c r="X11" s="53"/>
      <c r="Y11" s="64"/>
      <c r="Z11" s="64"/>
      <c r="AA11" s="168"/>
      <c r="AB11" s="168"/>
      <c r="AC11" s="168"/>
      <c r="AD11" s="168"/>
      <c r="AE11" s="168"/>
      <c r="AF11" s="168"/>
      <c r="AG11" s="168"/>
      <c r="AH11" s="168"/>
      <c r="AI11" s="168"/>
      <c r="AJ11" s="168"/>
      <c r="AK11" s="168"/>
      <c r="AL11" s="168"/>
      <c r="AM11" s="168"/>
      <c r="AN11" s="168"/>
      <c r="AO11" s="168"/>
      <c r="AP11" s="168"/>
      <c r="AQ11" s="168"/>
      <c r="AR11" s="168"/>
      <c r="AS11" s="168"/>
      <c r="AT11" s="168"/>
      <c r="AU11" s="168"/>
      <c r="AV11" s="168"/>
      <c r="AW11" s="168"/>
      <c r="AX11" s="168"/>
      <c r="AY11" s="168"/>
      <c r="AZ11" s="168"/>
      <c r="BA11" s="168"/>
      <c r="BB11" s="168"/>
      <c r="BC11" s="168"/>
      <c r="BD11" s="168"/>
      <c r="BE11" s="168"/>
      <c r="BF11" s="168"/>
      <c r="BG11" s="168"/>
      <c r="BH11" s="168"/>
      <c r="BI11" s="168"/>
      <c r="BJ11" s="168"/>
      <c r="BK11" s="168"/>
      <c r="BL11" s="168"/>
      <c r="BM11" s="168"/>
      <c r="BN11" s="168"/>
      <c r="BO11" s="168"/>
      <c r="BP11" s="168"/>
      <c r="BQ11" s="168"/>
      <c r="BR11" s="168"/>
      <c r="BS11" s="168"/>
      <c r="BT11" s="168"/>
      <c r="BU11" s="168"/>
      <c r="BV11" s="64"/>
      <c r="BW11" s="64"/>
      <c r="BX11" s="64"/>
      <c r="BY11" s="64"/>
      <c r="BZ11" s="64"/>
      <c r="CA11" s="64"/>
      <c r="CB11" s="64"/>
      <c r="CC11" s="64"/>
      <c r="CD11" s="64"/>
      <c r="CE11" s="64"/>
      <c r="IW11" s="63">
        <v>15</v>
      </c>
    </row>
    <row r="12" s="140" customFormat="1" ht="22" customHeight="1">
      <c r="A12" s="50"/>
      <c r="B12" s="53"/>
      <c r="C12" s="50"/>
      <c r="D12" s="129"/>
      <c r="E12" s="180"/>
      <c r="F12" s="180"/>
      <c r="G12" s="180"/>
      <c r="H12" s="180"/>
      <c r="I12" s="180"/>
      <c r="J12" s="180"/>
      <c r="K12" s="180"/>
      <c r="L12" s="180"/>
      <c r="M12" s="130"/>
      <c r="N12" s="130"/>
      <c r="O12" s="130"/>
      <c r="P12" s="130"/>
      <c r="Q12" s="130"/>
      <c r="R12" s="130"/>
      <c r="S12" s="131"/>
      <c r="T12" s="131"/>
      <c r="U12" s="131"/>
      <c r="V12" s="131"/>
      <c r="IW12" s="140">
        <v>21</v>
      </c>
    </row>
    <row r="13" s="140" customFormat="1" ht="14.65" customHeight="1">
      <c r="A13" s="50"/>
      <c r="B13" s="53"/>
      <c r="C13" s="50"/>
      <c r="D13" s="129"/>
      <c r="E13" s="50"/>
      <c r="F13" s="50"/>
      <c r="G13" s="50"/>
      <c r="H13" s="50"/>
      <c r="I13" s="50"/>
      <c r="J13" s="50"/>
      <c r="K13" s="50"/>
      <c r="L13" s="50"/>
      <c r="M13" s="130"/>
      <c r="N13" s="130"/>
      <c r="O13" s="130"/>
      <c r="P13" s="130"/>
      <c r="Q13" s="130"/>
      <c r="R13" s="130"/>
      <c r="S13" s="131"/>
      <c r="T13" s="131"/>
      <c r="U13" s="131"/>
      <c r="V13" s="131"/>
      <c r="IW13" s="140">
        <v>14</v>
      </c>
    </row>
    <row r="14" s="140" customFormat="1" ht="1.05" customHeight="1">
      <c r="A14" s="50"/>
      <c r="B14" s="53"/>
      <c r="C14" s="50"/>
      <c r="D14" s="129"/>
      <c r="E14" s="50"/>
      <c r="F14" s="50"/>
      <c r="G14" s="50"/>
      <c r="H14" s="50"/>
      <c r="I14" s="50"/>
      <c r="J14" s="50"/>
      <c r="K14" s="50"/>
      <c r="L14" s="50"/>
      <c r="M14" s="130"/>
      <c r="N14" s="130"/>
      <c r="O14" s="130"/>
      <c r="P14" s="130"/>
      <c r="Q14" s="130"/>
      <c r="R14" s="130"/>
      <c r="S14" s="131"/>
      <c r="T14" s="131"/>
      <c r="U14" s="131"/>
      <c r="V14" s="131"/>
      <c r="IW14" s="140">
        <v>1</v>
      </c>
    </row>
    <row r="15" ht="22.5" hidden="1" customHeight="1">
      <c r="A15" s="50" t="s">
        <v>81</v>
      </c>
      <c r="B15" s="53">
        <v>0</v>
      </c>
      <c r="C15" s="50">
        <v>0</v>
      </c>
      <c r="D15" s="129">
        <v>3</v>
      </c>
      <c r="E15" s="50">
        <v>6</v>
      </c>
      <c r="F15" s="50">
        <v>27</v>
      </c>
      <c r="G15" s="50">
        <v>16</v>
      </c>
      <c r="H15" s="50">
        <v>12</v>
      </c>
      <c r="I15" s="50">
        <v>32</v>
      </c>
      <c r="J15" s="50">
        <v>41</v>
      </c>
      <c r="K15" s="50">
        <v>41</v>
      </c>
      <c r="L15" s="50">
        <v>89</v>
      </c>
      <c r="M15" s="130">
        <v>3</v>
      </c>
      <c r="N15" s="130">
        <v>8</v>
      </c>
      <c r="O15" s="130">
        <v>8</v>
      </c>
      <c r="P15" s="130">
        <v>8</v>
      </c>
      <c r="Q15" s="130">
        <v>25</v>
      </c>
      <c r="R15" s="130">
        <v>14</v>
      </c>
      <c r="S15" s="131">
        <v>8</v>
      </c>
      <c r="T15" s="131">
        <v>8</v>
      </c>
      <c r="U15" s="131">
        <v>8</v>
      </c>
      <c r="V15" s="131">
        <v>8</v>
      </c>
      <c r="W15" s="50">
        <v>8</v>
      </c>
      <c r="X15" s="50">
        <v>8</v>
      </c>
      <c r="Y15" s="50">
        <v>8</v>
      </c>
      <c r="Z15" s="50">
        <v>8</v>
      </c>
      <c r="AA15" s="50">
        <v>8</v>
      </c>
      <c r="AB15" s="50">
        <v>8</v>
      </c>
      <c r="AC15" s="50">
        <v>8</v>
      </c>
      <c r="AD15" s="50">
        <v>8</v>
      </c>
      <c r="AE15" s="50">
        <v>8</v>
      </c>
      <c r="AF15" s="50">
        <v>8</v>
      </c>
      <c r="AG15" s="50">
        <v>8</v>
      </c>
      <c r="AH15" s="50">
        <v>8</v>
      </c>
      <c r="AI15" s="50">
        <v>8</v>
      </c>
      <c r="AJ15" s="50">
        <v>8</v>
      </c>
      <c r="AK15" s="50">
        <v>8</v>
      </c>
      <c r="AL15" s="50">
        <v>8</v>
      </c>
      <c r="AM15" s="50">
        <v>8</v>
      </c>
      <c r="AN15" s="50">
        <v>8</v>
      </c>
      <c r="AO15" s="50">
        <v>8</v>
      </c>
      <c r="AP15" s="50">
        <v>8</v>
      </c>
      <c r="AQ15" s="50">
        <v>8</v>
      </c>
      <c r="AR15" s="50">
        <v>8</v>
      </c>
      <c r="AS15" s="50">
        <v>8</v>
      </c>
      <c r="AT15" s="50">
        <v>8</v>
      </c>
      <c r="AU15" s="50">
        <v>8</v>
      </c>
      <c r="AV15" s="50">
        <v>8</v>
      </c>
      <c r="AW15" s="50">
        <v>8</v>
      </c>
      <c r="AX15" s="50">
        <v>8</v>
      </c>
      <c r="AY15" s="50">
        <v>8</v>
      </c>
      <c r="AZ15" s="50">
        <v>8</v>
      </c>
      <c r="BA15" s="50">
        <v>8</v>
      </c>
      <c r="BB15" s="50">
        <v>8</v>
      </c>
      <c r="BC15" s="50">
        <v>8</v>
      </c>
      <c r="BD15" s="50">
        <v>8</v>
      </c>
      <c r="BE15" s="50">
        <v>8</v>
      </c>
      <c r="BF15" s="50">
        <v>8</v>
      </c>
      <c r="BG15" s="50">
        <v>8</v>
      </c>
      <c r="BH15" s="50">
        <v>8</v>
      </c>
      <c r="BI15" s="50">
        <v>8</v>
      </c>
      <c r="BJ15" s="50">
        <v>8</v>
      </c>
      <c r="BK15" s="50">
        <v>8</v>
      </c>
      <c r="BL15" s="50">
        <v>8</v>
      </c>
      <c r="BM15" s="50">
        <v>8</v>
      </c>
      <c r="BN15" s="50">
        <v>8</v>
      </c>
      <c r="BO15" s="50">
        <v>8</v>
      </c>
      <c r="BP15" s="50">
        <v>8</v>
      </c>
      <c r="BQ15" s="50">
        <v>8</v>
      </c>
      <c r="BR15" s="50">
        <v>8</v>
      </c>
      <c r="BS15" s="50">
        <v>8</v>
      </c>
      <c r="BT15" s="50">
        <v>8</v>
      </c>
      <c r="BU15" s="50">
        <v>8</v>
      </c>
      <c r="BV15" s="50">
        <v>8</v>
      </c>
      <c r="BW15" s="50">
        <v>8</v>
      </c>
      <c r="BX15" s="50">
        <v>8</v>
      </c>
      <c r="BY15" s="50">
        <v>8</v>
      </c>
      <c r="BZ15" s="50">
        <v>8</v>
      </c>
      <c r="CA15" s="50">
        <v>8</v>
      </c>
      <c r="CB15" s="50">
        <v>8</v>
      </c>
      <c r="CC15" s="50">
        <v>8</v>
      </c>
      <c r="CD15" s="50">
        <v>8</v>
      </c>
      <c r="CE15" s="50">
        <v>8</v>
      </c>
      <c r="CF15" s="50">
        <v>8</v>
      </c>
      <c r="CG15" s="50">
        <v>8</v>
      </c>
      <c r="CH15" s="50">
        <v>8</v>
      </c>
      <c r="CI15" s="50">
        <v>8</v>
      </c>
      <c r="CJ15" s="50">
        <v>8</v>
      </c>
      <c r="CK15" s="50">
        <v>8</v>
      </c>
      <c r="CL15" s="50">
        <v>8</v>
      </c>
      <c r="CM15" s="50">
        <v>8</v>
      </c>
      <c r="CN15" s="50">
        <v>8</v>
      </c>
      <c r="CO15" s="50">
        <v>8</v>
      </c>
      <c r="CP15" s="50">
        <v>8</v>
      </c>
      <c r="CQ15" s="50">
        <v>8</v>
      </c>
      <c r="CR15" s="50">
        <v>8</v>
      </c>
      <c r="CS15" s="50">
        <v>8</v>
      </c>
      <c r="CT15" s="50">
        <v>8</v>
      </c>
      <c r="CU15" s="50">
        <v>8</v>
      </c>
      <c r="CV15" s="50">
        <v>8</v>
      </c>
      <c r="CW15" s="50">
        <v>8</v>
      </c>
      <c r="CX15" s="50">
        <v>8</v>
      </c>
      <c r="CY15" s="50">
        <v>8</v>
      </c>
      <c r="CZ15" s="50">
        <v>8</v>
      </c>
      <c r="DA15" s="50">
        <v>8</v>
      </c>
      <c r="DB15" s="50">
        <v>8</v>
      </c>
      <c r="DC15" s="50">
        <v>8</v>
      </c>
      <c r="DD15" s="50">
        <v>8</v>
      </c>
      <c r="DE15" s="50">
        <v>8</v>
      </c>
      <c r="DF15" s="50">
        <v>8</v>
      </c>
      <c r="DG15" s="50">
        <v>8</v>
      </c>
      <c r="DH15" s="50">
        <v>8</v>
      </c>
      <c r="DI15" s="50">
        <v>8</v>
      </c>
      <c r="DJ15" s="50">
        <v>8</v>
      </c>
      <c r="DK15" s="50">
        <v>8</v>
      </c>
      <c r="DL15" s="50">
        <v>8</v>
      </c>
      <c r="DM15" s="50">
        <v>8</v>
      </c>
      <c r="DN15" s="50">
        <v>8</v>
      </c>
      <c r="DO15" s="50">
        <v>8</v>
      </c>
      <c r="DP15" s="50">
        <v>8</v>
      </c>
      <c r="DQ15" s="50">
        <v>8</v>
      </c>
      <c r="DR15" s="50">
        <v>8</v>
      </c>
      <c r="DS15" s="50">
        <v>8</v>
      </c>
      <c r="DT15" s="50">
        <v>8</v>
      </c>
      <c r="DU15" s="50">
        <v>8</v>
      </c>
      <c r="DV15" s="50">
        <v>8</v>
      </c>
      <c r="DW15" s="50">
        <v>8</v>
      </c>
      <c r="DX15" s="50">
        <v>8</v>
      </c>
      <c r="DY15" s="50">
        <v>8</v>
      </c>
      <c r="DZ15" s="50">
        <v>8</v>
      </c>
      <c r="EA15" s="50">
        <v>8</v>
      </c>
      <c r="EB15" s="50">
        <v>8</v>
      </c>
      <c r="EC15" s="50">
        <v>8</v>
      </c>
      <c r="ED15" s="50">
        <v>8</v>
      </c>
      <c r="EE15" s="50">
        <v>8</v>
      </c>
      <c r="EF15" s="50">
        <v>8</v>
      </c>
      <c r="EG15" s="50">
        <v>8</v>
      </c>
      <c r="EH15" s="50">
        <v>8</v>
      </c>
      <c r="EI15" s="50">
        <v>8</v>
      </c>
      <c r="EJ15" s="50">
        <v>8</v>
      </c>
      <c r="EK15" s="50">
        <v>8</v>
      </c>
      <c r="EL15" s="50">
        <v>8</v>
      </c>
      <c r="EM15" s="50">
        <v>8</v>
      </c>
      <c r="EN15" s="50">
        <v>8</v>
      </c>
      <c r="EO15" s="50">
        <v>8</v>
      </c>
      <c r="EP15" s="50">
        <v>8</v>
      </c>
      <c r="EQ15" s="50">
        <v>8</v>
      </c>
      <c r="ER15" s="50">
        <v>8</v>
      </c>
      <c r="ES15" s="50">
        <v>8</v>
      </c>
      <c r="ET15" s="50">
        <v>8</v>
      </c>
      <c r="EU15" s="50">
        <v>8</v>
      </c>
      <c r="EV15" s="50">
        <v>8</v>
      </c>
      <c r="EW15" s="50">
        <v>8</v>
      </c>
      <c r="EX15" s="50">
        <v>8</v>
      </c>
      <c r="EY15" s="50">
        <v>8</v>
      </c>
      <c r="EZ15" s="50">
        <v>8</v>
      </c>
      <c r="FA15" s="50">
        <v>8</v>
      </c>
      <c r="FB15" s="50">
        <v>8</v>
      </c>
      <c r="FC15" s="50">
        <v>8</v>
      </c>
      <c r="FD15" s="50">
        <v>8</v>
      </c>
      <c r="FE15" s="50">
        <v>8</v>
      </c>
      <c r="FF15" s="50">
        <v>8</v>
      </c>
      <c r="FG15" s="50">
        <v>8</v>
      </c>
      <c r="FH15" s="50">
        <v>8</v>
      </c>
      <c r="FI15" s="50">
        <v>8</v>
      </c>
      <c r="FJ15" s="50">
        <v>8</v>
      </c>
      <c r="FK15" s="50">
        <v>8</v>
      </c>
      <c r="FL15" s="50">
        <v>8</v>
      </c>
      <c r="FM15" s="50">
        <v>8</v>
      </c>
      <c r="FN15" s="50">
        <v>8</v>
      </c>
      <c r="FO15" s="50">
        <v>8</v>
      </c>
      <c r="FP15" s="50">
        <v>8</v>
      </c>
      <c r="FQ15" s="50">
        <v>8</v>
      </c>
      <c r="FR15" s="50">
        <v>8</v>
      </c>
      <c r="FS15" s="50">
        <v>8</v>
      </c>
      <c r="FT15" s="50">
        <v>8</v>
      </c>
      <c r="FU15" s="50">
        <v>8</v>
      </c>
      <c r="FV15" s="50">
        <v>8</v>
      </c>
      <c r="FW15" s="50">
        <v>8</v>
      </c>
      <c r="FX15" s="50">
        <v>8</v>
      </c>
      <c r="FY15" s="50">
        <v>8</v>
      </c>
      <c r="FZ15" s="50">
        <v>8</v>
      </c>
      <c r="GA15" s="50">
        <v>8</v>
      </c>
      <c r="GB15" s="50">
        <v>8</v>
      </c>
      <c r="GC15" s="50">
        <v>8</v>
      </c>
      <c r="GD15" s="50">
        <v>8</v>
      </c>
      <c r="GE15" s="50">
        <v>8</v>
      </c>
      <c r="GF15" s="50">
        <v>8</v>
      </c>
      <c r="GG15" s="50">
        <v>8</v>
      </c>
      <c r="GH15" s="50">
        <v>8</v>
      </c>
      <c r="GI15" s="50">
        <v>8</v>
      </c>
      <c r="GJ15" s="50">
        <v>8</v>
      </c>
      <c r="GK15" s="50">
        <v>8</v>
      </c>
      <c r="GL15" s="50">
        <v>8</v>
      </c>
      <c r="GM15" s="50">
        <v>8</v>
      </c>
      <c r="GN15" s="50">
        <v>8</v>
      </c>
      <c r="GO15" s="50">
        <v>8</v>
      </c>
      <c r="GP15" s="50">
        <v>8</v>
      </c>
      <c r="GQ15" s="50">
        <v>8</v>
      </c>
      <c r="GR15" s="50">
        <v>8</v>
      </c>
      <c r="GS15" s="50">
        <v>8</v>
      </c>
      <c r="GT15" s="50">
        <v>8</v>
      </c>
      <c r="GU15" s="50">
        <v>8</v>
      </c>
      <c r="GV15" s="50">
        <v>8</v>
      </c>
      <c r="GW15" s="50">
        <v>8</v>
      </c>
      <c r="GX15" s="50">
        <v>8</v>
      </c>
      <c r="GY15" s="50">
        <v>8</v>
      </c>
      <c r="GZ15" s="50">
        <v>8</v>
      </c>
      <c r="HA15" s="50">
        <v>8</v>
      </c>
      <c r="HB15" s="50">
        <v>8</v>
      </c>
      <c r="HC15" s="50">
        <v>8</v>
      </c>
      <c r="HD15" s="50">
        <v>8</v>
      </c>
      <c r="HE15" s="50">
        <v>8</v>
      </c>
      <c r="HF15" s="50">
        <v>8</v>
      </c>
      <c r="HG15" s="50">
        <v>8</v>
      </c>
      <c r="HH15" s="50">
        <v>8</v>
      </c>
      <c r="HI15" s="50">
        <v>8</v>
      </c>
      <c r="HJ15" s="50">
        <v>8</v>
      </c>
      <c r="HK15" s="50">
        <v>8</v>
      </c>
      <c r="HL15" s="50">
        <v>8</v>
      </c>
      <c r="HM15" s="50">
        <v>8</v>
      </c>
      <c r="HN15" s="50">
        <v>8</v>
      </c>
      <c r="HO15" s="50">
        <v>8</v>
      </c>
      <c r="HP15" s="50">
        <v>8</v>
      </c>
      <c r="HQ15" s="50">
        <v>8</v>
      </c>
      <c r="HR15" s="50">
        <v>8</v>
      </c>
      <c r="HS15" s="50">
        <v>8</v>
      </c>
      <c r="HT15" s="50">
        <v>8</v>
      </c>
      <c r="HU15" s="50">
        <v>8</v>
      </c>
      <c r="HV15" s="50">
        <v>8</v>
      </c>
      <c r="HW15" s="50">
        <v>8</v>
      </c>
      <c r="HX15" s="50">
        <v>8</v>
      </c>
      <c r="HY15" s="50">
        <v>8</v>
      </c>
      <c r="HZ15" s="50">
        <v>8</v>
      </c>
      <c r="IA15" s="50">
        <v>8</v>
      </c>
      <c r="IB15" s="50">
        <v>8</v>
      </c>
      <c r="IC15" s="50">
        <v>8</v>
      </c>
      <c r="ID15" s="50">
        <v>8</v>
      </c>
      <c r="IE15" s="50">
        <v>8</v>
      </c>
      <c r="IF15" s="50">
        <v>8</v>
      </c>
      <c r="IG15" s="50">
        <v>8</v>
      </c>
      <c r="IH15" s="50">
        <v>8</v>
      </c>
      <c r="II15" s="50">
        <v>8</v>
      </c>
      <c r="IJ15" s="50">
        <v>8</v>
      </c>
      <c r="IK15" s="50">
        <v>8</v>
      </c>
      <c r="IL15" s="50">
        <v>8</v>
      </c>
      <c r="IM15" s="50">
        <v>8</v>
      </c>
      <c r="IN15" s="50">
        <v>8</v>
      </c>
      <c r="IO15" s="50">
        <v>8</v>
      </c>
      <c r="IP15" s="50">
        <v>8</v>
      </c>
      <c r="IQ15" s="50">
        <v>8</v>
      </c>
      <c r="IR15" s="50">
        <v>8</v>
      </c>
      <c r="IS15" s="50">
        <v>8</v>
      </c>
      <c r="IT15" s="50">
        <v>8</v>
      </c>
      <c r="IU15" s="50">
        <v>8</v>
      </c>
      <c r="IV15" s="50">
        <v>8</v>
      </c>
      <c r="IW15" s="50">
        <v>23</v>
      </c>
    </row>
  </sheetData>
  <sheetProtection autoFilter="0" deleteColumns="1" deleteRows="1" formatCells="1" formatColumns="1" formatRows="1" insertColumns="1" insertHyperlinks="1" insertRows="1" objects="0" pivotTables="1" scenarios="0" selectLockedCells="0" selectUnlockedCells="0" sheet="1" sort="1"/>
  <mergeCells count="10">
    <mergeCell ref="E5:K5"/>
    <mergeCell ref="E7:K7"/>
    <mergeCell ref="L7:L9"/>
    <mergeCell ref="E8:E9"/>
    <mergeCell ref="F8:F9"/>
    <mergeCell ref="G8:I8"/>
    <mergeCell ref="J8:J9"/>
    <mergeCell ref="K8:K9"/>
    <mergeCell ref="A10:A11"/>
    <mergeCell ref="L10:L11"/>
  </mergeCells>
  <dataValidations count="1" disablePrompts="0">
    <dataValidation sqref="G2:G3"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C3006E-00E8-497A-982C-00C800FF0048}"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J2:K3</xm:sqref>
        </x14:dataValidation>
        <x14:dataValidation xr:uid="{000600B5-009A-4047-9572-000900CD00E4}" type="textLength" allowBlank="1" errorStyle="stop" imeMode="noControl" operator="between" showDropDown="0" showErrorMessage="1" showInputMessage="1">
          <x14:formula1>
            <xm:f>13</xm:f>
          </x14:formula1>
          <x14:formula2>
            <xm:f>15</xm:f>
          </x14:formula2>
          <xm:sqref>H3:I3</xm:sqref>
        </x14:dataValidation>
        <x14:dataValidation xr:uid="{00020018-0078-4BC2-9667-002E00FA00BC}" type="textLength" allowBlank="1" errorStyle="stop" imeMode="noControl" operator="lessThanOrEqual" showDropDown="0" showErrorMessage="1" showInputMessage="1">
          <x14:formula1>
            <xm:f>990</xm:f>
          </x14:formula1>
          <xm:sqref>I2</xm:sqref>
        </x14:dataValidation>
        <x14:dataValidation xr:uid="{00FF00F4-0074-4BB7-950A-00C600F6001E}" type="time" allowBlank="1" errorStyle="stop" imeMode="noControl" operator="between" prompt="Укажите время в формате ЧЧ:ММ" showDropDown="0" showErrorMessage="1" showInputMessage="1">
          <x14:formula1>
            <xm:f>0</xm:f>
          </x14:formula1>
          <x14:formula2>
            <xm:f>0.9993055555555556</xm:f>
          </x14:formula2>
          <xm:sqref>H2</xm:sqref>
        </x14:dataValidation>
      </x14:dataValidations>
    </ext>
  </extLst>
</worksheet>
</file>

<file path=xl/worksheets/sheet5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zoomScale="90" workbookViewId="0">
      <pane xSplit="10" ySplit="12" topLeftCell="K13" activePane="bottomRight" state="frozen"/>
      <selection activeCell="A1" activeCellId="0" sqref="A1"/>
    </sheetView>
  </sheetViews>
  <sheetFormatPr defaultColWidth="9.140625" defaultRowHeight="14.25" customHeight="1"/>
  <cols>
    <col hidden="1" min="1" max="1" style="50" width="9.140625"/>
    <col hidden="1" min="2" max="2" style="53" width="9.140625"/>
    <col customWidth="1" hidden="1" min="3" max="3" style="50" width="3.7109375"/>
    <col customWidth="1" min="4" max="4" style="129" width="3.00390625"/>
    <col customWidth="1" min="5" max="5" style="50" width="6.00390625"/>
    <col customWidth="1" min="6" max="6" style="50" width="27.00390625"/>
    <col customWidth="1" min="7" max="7" style="50" width="29.00390625"/>
    <col customWidth="1" min="8" max="8" style="50" width="25.00390625"/>
    <col customWidth="1" min="9" max="9" style="50" width="5.00390625"/>
    <col customWidth="1" min="10" max="10" style="50" width="6.00390625"/>
    <col customWidth="1" min="11" max="11" style="50" width="41.00390625"/>
    <col customWidth="1" min="12" max="12" style="50" width="42.00390625"/>
    <col customWidth="1" min="13" max="13" style="50" width="41.00390625"/>
    <col customWidth="1" min="14" max="14" style="50" width="89.00390625"/>
    <col customWidth="1" min="15" max="15" style="130" width="3.00390625"/>
    <col customWidth="1" min="16" max="16" style="130" width="8.00390625"/>
    <col hidden="1" min="17" max="17" style="50" width="9.140625"/>
  </cols>
  <sheetData>
    <row r="1" ht="22.5" hidden="1" customHeight="1">
      <c r="Q1" s="50" t="s">
        <v>14</v>
      </c>
    </row>
    <row r="2" s="63" customFormat="1" ht="22.5" hidden="1" customHeight="1">
      <c r="A2" s="132"/>
      <c r="B2" s="53">
        <v>1</v>
      </c>
      <c r="C2" s="53"/>
      <c r="D2" s="1045" t="s">
        <v>683</v>
      </c>
      <c r="E2" s="158">
        <v>1</v>
      </c>
      <c r="F2" s="605" t="str">
        <f>IF(region_name="","",region_name)</f>
        <v xml:space="preserve">Еврейская автономная область</v>
      </c>
      <c r="G2" s="1168"/>
      <c r="H2" s="391"/>
      <c r="I2" s="356"/>
      <c r="J2" s="73">
        <v>1</v>
      </c>
      <c r="K2" s="449"/>
      <c r="L2" s="449"/>
      <c r="M2" s="449"/>
      <c r="N2" s="367"/>
      <c r="O2" s="1164"/>
      <c r="P2" s="57"/>
      <c r="Q2" s="63">
        <v>0</v>
      </c>
    </row>
    <row r="3" s="63" customFormat="1" ht="22.5" hidden="1" customHeight="1">
      <c r="A3" s="121"/>
      <c r="B3" s="53"/>
      <c r="C3" s="53"/>
      <c r="D3" s="170"/>
      <c r="E3" s="158"/>
      <c r="F3" s="605"/>
      <c r="G3" s="1168"/>
      <c r="H3" s="389"/>
      <c r="I3" s="171"/>
      <c r="J3" s="702"/>
      <c r="K3" s="702" t="s">
        <v>1904</v>
      </c>
      <c r="L3" s="1185"/>
      <c r="M3" s="1186"/>
      <c r="N3" s="1187"/>
      <c r="O3" s="1164"/>
      <c r="P3" s="57"/>
      <c r="Q3" s="63">
        <v>0</v>
      </c>
    </row>
    <row r="4" s="57" customFormat="1" ht="5.25" hidden="1" customHeight="1">
      <c r="A4" s="132"/>
      <c r="D4" s="133"/>
      <c r="F4" s="134" t="s">
        <v>82</v>
      </c>
      <c r="G4" s="133" t="s">
        <v>83</v>
      </c>
      <c r="H4" s="133"/>
      <c r="I4" s="133"/>
      <c r="J4" s="1188"/>
      <c r="K4" s="133"/>
      <c r="L4" s="133"/>
      <c r="M4" s="133"/>
      <c r="N4" s="133"/>
      <c r="O4" s="134" t="s">
        <v>82</v>
      </c>
      <c r="P4" s="134"/>
      <c r="Q4" s="57">
        <v>0</v>
      </c>
    </row>
    <row r="5" s="63" customFormat="1" ht="22.5" hidden="1" customHeight="1">
      <c r="A5" s="132"/>
      <c r="B5" s="53">
        <v>1</v>
      </c>
      <c r="C5" s="53"/>
      <c r="D5" s="170"/>
      <c r="E5" s="1187"/>
      <c r="F5" s="1187"/>
      <c r="G5" s="1187"/>
      <c r="H5" s="1189"/>
      <c r="I5" s="1190" t="s">
        <v>683</v>
      </c>
      <c r="J5" s="146">
        <v>1</v>
      </c>
      <c r="K5" s="449"/>
      <c r="L5" s="449"/>
      <c r="M5" s="449"/>
      <c r="N5" s="367"/>
      <c r="O5" s="1164"/>
      <c r="P5" s="57"/>
      <c r="Q5" s="63">
        <v>0</v>
      </c>
    </row>
    <row r="6" s="140" customFormat="1" ht="14.65" customHeight="1">
      <c r="A6" s="50"/>
      <c r="B6" s="53"/>
      <c r="C6" s="50"/>
      <c r="D6" s="129"/>
      <c r="E6" s="50"/>
      <c r="F6" s="50"/>
      <c r="G6" s="50"/>
      <c r="H6" s="50"/>
      <c r="I6" s="50"/>
      <c r="J6" s="50"/>
      <c r="K6" s="50"/>
      <c r="L6" s="50"/>
      <c r="M6" s="50"/>
      <c r="N6" s="50"/>
      <c r="O6" s="134"/>
      <c r="P6" s="130"/>
      <c r="Q6" s="140">
        <v>14</v>
      </c>
    </row>
    <row r="7" s="140" customFormat="1" ht="27.300000000000001" customHeight="1">
      <c r="A7" s="50"/>
      <c r="B7" s="53"/>
      <c r="C7" s="50"/>
      <c r="D7" s="129"/>
      <c r="E7" s="11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 xml:space="preserve">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1191"/>
      <c r="G7" s="1191"/>
      <c r="H7" s="1191"/>
      <c r="I7" s="1191"/>
      <c r="J7" s="1191"/>
      <c r="K7" s="1191"/>
      <c r="L7" s="1191"/>
      <c r="M7" s="1191"/>
      <c r="N7" s="121"/>
      <c r="O7" s="134"/>
      <c r="P7" s="130"/>
      <c r="Q7" s="140">
        <v>26</v>
      </c>
    </row>
    <row r="8" s="140" customFormat="1" ht="14.65" customHeight="1">
      <c r="A8" s="50"/>
      <c r="B8" s="53"/>
      <c r="C8" s="50"/>
      <c r="D8" s="129"/>
      <c r="E8" s="50"/>
      <c r="F8" s="143"/>
      <c r="G8" s="143"/>
      <c r="H8" s="143"/>
      <c r="I8" s="143"/>
      <c r="J8" s="143"/>
      <c r="K8" s="143"/>
      <c r="L8" s="143"/>
      <c r="M8" s="143"/>
      <c r="N8" s="143"/>
      <c r="O8" s="130"/>
      <c r="P8" s="130"/>
      <c r="Q8" s="140">
        <v>14</v>
      </c>
    </row>
    <row r="9" s="1192" customFormat="1" ht="14.25" hidden="1" customHeight="1">
      <c r="A9" s="51"/>
      <c r="B9" s="114"/>
      <c r="C9" s="51"/>
      <c r="D9" s="129"/>
      <c r="E9" s="1193"/>
      <c r="F9" s="1193"/>
      <c r="G9" s="1193"/>
      <c r="H9" s="1193"/>
      <c r="I9" s="1193"/>
      <c r="J9" s="1193"/>
      <c r="K9" s="1193"/>
      <c r="L9" s="1193"/>
      <c r="M9" s="1194"/>
      <c r="O9" s="213"/>
      <c r="P9" s="213"/>
      <c r="Q9" s="1192">
        <v>0</v>
      </c>
    </row>
    <row r="10" s="140" customFormat="1" ht="14.65" customHeight="1">
      <c r="A10" s="50"/>
      <c r="B10" s="53"/>
      <c r="C10" s="50"/>
      <c r="D10" s="129"/>
      <c r="E10" s="158" t="s">
        <v>294</v>
      </c>
      <c r="F10" s="158"/>
      <c r="G10" s="158"/>
      <c r="H10" s="158"/>
      <c r="I10" s="158"/>
      <c r="J10" s="158"/>
      <c r="K10" s="158"/>
      <c r="L10" s="158"/>
      <c r="M10" s="73"/>
      <c r="N10" s="1166" t="s">
        <v>295</v>
      </c>
      <c r="O10" s="130"/>
      <c r="P10" s="130"/>
      <c r="Q10" s="140">
        <v>14</v>
      </c>
    </row>
    <row r="11" s="140" customFormat="1" ht="44.25" customHeight="1">
      <c r="A11" s="50"/>
      <c r="B11" s="53"/>
      <c r="C11" s="50"/>
      <c r="D11" s="129"/>
      <c r="E11" s="149" t="s">
        <v>87</v>
      </c>
      <c r="F11" s="149" t="s">
        <v>298</v>
      </c>
      <c r="G11" s="149" t="s">
        <v>1905</v>
      </c>
      <c r="H11" s="149"/>
      <c r="I11" s="149" t="s">
        <v>1906</v>
      </c>
      <c r="J11" s="149"/>
      <c r="K11" s="149"/>
      <c r="L11" s="149" t="s">
        <v>1907</v>
      </c>
      <c r="M11" s="148" t="s">
        <v>1908</v>
      </c>
      <c r="N11" s="1195"/>
      <c r="O11" s="130"/>
      <c r="P11" s="130"/>
      <c r="Q11" s="140">
        <v>42</v>
      </c>
    </row>
    <row r="12" s="140" customFormat="1" ht="29.25" customHeight="1">
      <c r="A12" s="50"/>
      <c r="B12" s="53"/>
      <c r="C12" s="50"/>
      <c r="D12" s="129"/>
      <c r="E12" s="1166"/>
      <c r="F12" s="149"/>
      <c r="G12" s="149" t="s">
        <v>1909</v>
      </c>
      <c r="H12" s="149" t="s">
        <v>302</v>
      </c>
      <c r="I12" s="149"/>
      <c r="J12" s="149"/>
      <c r="K12" s="149"/>
      <c r="L12" s="149"/>
      <c r="M12" s="148"/>
      <c r="N12" s="1180"/>
      <c r="O12" s="130"/>
      <c r="P12" s="130"/>
      <c r="Q12" s="140">
        <v>28</v>
      </c>
    </row>
    <row r="13" s="63" customFormat="1" ht="23.25" customHeight="1">
      <c r="A13" s="51">
        <v>26379339</v>
      </c>
      <c r="B13" s="53">
        <v>1</v>
      </c>
      <c r="C13" s="53"/>
      <c r="D13" s="170"/>
      <c r="E13" s="158">
        <v>1</v>
      </c>
      <c r="F13" s="1196" t="str">
        <f>IF(region_name="","",region_name)</f>
        <v xml:space="preserve">Еврейская автономная область</v>
      </c>
      <c r="G13" s="469"/>
      <c r="H13" s="1197"/>
      <c r="I13" s="356"/>
      <c r="J13" s="163">
        <v>1</v>
      </c>
      <c r="K13" s="1198"/>
      <c r="L13" s="1199"/>
      <c r="M13" s="1199"/>
      <c r="N13" s="1200" t="s">
        <v>1910</v>
      </c>
      <c r="O13" s="1164"/>
      <c r="P13" s="57"/>
      <c r="Q13" s="63">
        <v>22</v>
      </c>
    </row>
    <row r="14" s="63" customFormat="1" ht="23.25" customHeight="1">
      <c r="A14" s="51"/>
      <c r="B14" s="53"/>
      <c r="C14" s="53"/>
      <c r="D14" s="170"/>
      <c r="E14" s="158"/>
      <c r="F14" s="1196"/>
      <c r="G14" s="469"/>
      <c r="H14" s="1201"/>
      <c r="I14" s="171"/>
      <c r="J14" s="702"/>
      <c r="K14" s="702" t="s">
        <v>1904</v>
      </c>
      <c r="L14" s="1185"/>
      <c r="M14" s="1185"/>
      <c r="N14" s="1202"/>
      <c r="O14" s="1164"/>
      <c r="P14" s="57"/>
      <c r="Q14" s="63">
        <v>22</v>
      </c>
    </row>
    <row r="15" s="63" customFormat="1" ht="23.25" customHeight="1">
      <c r="A15" s="51"/>
      <c r="B15" s="53"/>
      <c r="C15" s="169"/>
      <c r="D15" s="170"/>
      <c r="E15" s="171"/>
      <c r="F15" s="702" t="s">
        <v>1896</v>
      </c>
      <c r="G15" s="1171"/>
      <c r="H15" s="1171"/>
      <c r="I15" s="174"/>
      <c r="J15" s="174"/>
      <c r="K15" s="174"/>
      <c r="L15" s="174"/>
      <c r="M15" s="174"/>
      <c r="N15" s="1202"/>
      <c r="O15" s="1173"/>
      <c r="P15" s="57"/>
      <c r="Q15" s="63">
        <v>22</v>
      </c>
    </row>
    <row r="16" s="140" customFormat="1" ht="22" customHeight="1">
      <c r="A16" s="50"/>
      <c r="B16" s="53"/>
      <c r="C16" s="50"/>
      <c r="D16" s="129"/>
      <c r="E16" s="180"/>
      <c r="F16" s="180"/>
      <c r="G16" s="180"/>
      <c r="H16" s="180"/>
      <c r="I16" s="180"/>
      <c r="J16" s="180"/>
      <c r="K16" s="180"/>
      <c r="L16" s="180"/>
      <c r="M16" s="50"/>
      <c r="N16" s="50"/>
      <c r="O16" s="130"/>
      <c r="P16" s="130"/>
      <c r="Q16" s="140">
        <v>21</v>
      </c>
    </row>
    <row r="17" s="140" customFormat="1" ht="14.65" customHeight="1">
      <c r="A17" s="50"/>
      <c r="B17" s="53"/>
      <c r="C17" s="50"/>
      <c r="D17" s="129"/>
      <c r="E17" s="50"/>
      <c r="F17" s="50"/>
      <c r="G17" s="50"/>
      <c r="H17" s="50"/>
      <c r="I17" s="50"/>
      <c r="J17" s="50"/>
      <c r="K17" s="50"/>
      <c r="L17" s="50"/>
      <c r="M17" s="50"/>
      <c r="N17" s="50"/>
      <c r="O17" s="130"/>
      <c r="P17" s="130"/>
      <c r="Q17" s="140">
        <v>14</v>
      </c>
    </row>
    <row r="18" s="140" customFormat="1" ht="1.05" customHeight="1">
      <c r="A18" s="50"/>
      <c r="B18" s="53"/>
      <c r="C18" s="50"/>
      <c r="D18" s="129"/>
      <c r="E18" s="50"/>
      <c r="F18" s="50"/>
      <c r="G18" s="50"/>
      <c r="H18" s="50"/>
      <c r="I18" s="50"/>
      <c r="J18" s="50"/>
      <c r="K18" s="50"/>
      <c r="L18" s="50"/>
      <c r="M18" s="50"/>
      <c r="N18" s="50"/>
      <c r="O18" s="130"/>
      <c r="P18" s="130"/>
      <c r="Q18" s="140">
        <v>1</v>
      </c>
    </row>
    <row r="19" ht="22.5" hidden="1" customHeight="1">
      <c r="A19" s="50" t="s">
        <v>81</v>
      </c>
      <c r="B19" s="53">
        <v>0</v>
      </c>
      <c r="C19" s="50">
        <v>0</v>
      </c>
      <c r="D19" s="129">
        <v>3</v>
      </c>
      <c r="E19" s="50">
        <v>6</v>
      </c>
      <c r="F19" s="50">
        <v>27</v>
      </c>
      <c r="G19" s="50">
        <v>29</v>
      </c>
      <c r="H19" s="50">
        <v>25</v>
      </c>
      <c r="I19" s="50">
        <v>5</v>
      </c>
      <c r="J19" s="50">
        <v>6</v>
      </c>
      <c r="K19" s="50">
        <v>41</v>
      </c>
      <c r="L19" s="50">
        <v>42</v>
      </c>
      <c r="M19" s="50">
        <v>41</v>
      </c>
      <c r="N19" s="50">
        <v>89</v>
      </c>
      <c r="O19" s="130">
        <v>3</v>
      </c>
      <c r="P19" s="130">
        <v>8</v>
      </c>
      <c r="Q19" s="50">
        <v>23</v>
      </c>
    </row>
  </sheetData>
  <sheetProtection autoFilter="0" deleteColumns="1" deleteRows="1" formatCells="1" formatColumns="0" formatRows="0" insertColumns="1" insertHyperlinks="1" insertRows="1" objects="0" pivotTables="1" scenarios="0" selectLockedCells="0" selectUnlockedCells="0" sheet="1" sort="1"/>
  <mergeCells count="20">
    <mergeCell ref="E2:E3"/>
    <mergeCell ref="F2:F3"/>
    <mergeCell ref="G2:G3"/>
    <mergeCell ref="H2:H3"/>
    <mergeCell ref="E7:M7"/>
    <mergeCell ref="I9:K9"/>
    <mergeCell ref="E10:M10"/>
    <mergeCell ref="N10:N12"/>
    <mergeCell ref="E11:E12"/>
    <mergeCell ref="F11:F12"/>
    <mergeCell ref="G11:H11"/>
    <mergeCell ref="I11:K12"/>
    <mergeCell ref="L11:L12"/>
    <mergeCell ref="M11:M12"/>
    <mergeCell ref="A13:A15"/>
    <mergeCell ref="E13:E14"/>
    <mergeCell ref="F13:F14"/>
    <mergeCell ref="G13:G14"/>
    <mergeCell ref="H13:H14"/>
    <mergeCell ref="N13:N15"/>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8800B2-005C-49A4-B3D4-00EE00BC0074}"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 showDropDown="0" showErrorMessage="1" showInputMessage="1">
          <x14:formula1>
            <xm:f>900</xm:f>
          </x14:formula1>
          <xm:sqref>M4</xm:sqref>
        </x14:dataValidation>
        <x14:dataValidation xr:uid="{00120077-00F6-4A56-A300-004000BB0029}"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L4</xm:sqref>
        </x14:dataValidation>
      </x14:dataValidations>
    </ext>
  </extLst>
</worksheet>
</file>

<file path=xl/worksheets/sheet5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rgb="FFEAEBEE"/>
    <outlinePr applyStyles="0" summaryBelow="1" summaryRight="1" showOutlineSymbols="1"/>
    <pageSetUpPr autoPageBreaks="1" fitToPage="1"/>
  </sheetPr>
  <sheetViews>
    <sheetView showGridLines="0" zoomScale="90" workbookViewId="0">
      <pane xSplit="4" ySplit="11" topLeftCell="E12" activePane="bottomRight" state="frozen"/>
      <selection activeCell="A1" activeCellId="0" sqref="A1"/>
    </sheetView>
  </sheetViews>
  <sheetFormatPr defaultColWidth="9.140625" defaultRowHeight="14.25" customHeight="1"/>
  <cols>
    <col hidden="1" min="1" max="1" style="295" width="9.140625"/>
    <col hidden="1" min="2" max="2" style="144" width="9.140625"/>
    <col customWidth="1" min="3" max="3" style="1203" width="3.00390625"/>
    <col customWidth="1" min="4" max="4" style="144" width="6.00390625"/>
    <col customWidth="1" min="5" max="5" style="144" width="22.00390625"/>
    <col customWidth="1" min="6" max="6" style="144" width="15.00390625"/>
    <col customWidth="1" min="7" max="7" style="144" width="14.00390625"/>
    <col customWidth="1" min="8" max="8" style="144" width="47.00390625"/>
    <col customWidth="1" min="9" max="9" style="144" width="115.00390625"/>
    <col customWidth="1" min="10" max="10" style="144" width="3.00390625"/>
    <col customWidth="1" min="11" max="12" style="144" width="8.00390625"/>
    <col hidden="1" min="13" max="13" style="144" width="9.140625"/>
  </cols>
  <sheetData>
    <row r="1" ht="14.25" hidden="1" customHeight="1">
      <c r="M1" s="144" t="s">
        <v>14</v>
      </c>
    </row>
    <row r="2" ht="14.25" hidden="1" customHeight="1">
      <c r="M2" s="144">
        <v>0</v>
      </c>
    </row>
    <row r="3" ht="14.25" hidden="1" customHeight="1">
      <c r="M3" s="144">
        <v>0</v>
      </c>
    </row>
    <row r="4" ht="3" customHeight="1">
      <c r="M4" s="144">
        <v>3</v>
      </c>
    </row>
    <row r="5" s="50" customFormat="1" ht="31.5" customHeight="1">
      <c r="A5" s="56"/>
      <c r="C5" s="382"/>
      <c r="D5" s="142" t="s">
        <v>1911</v>
      </c>
      <c r="E5" s="142"/>
      <c r="F5" s="142"/>
      <c r="G5" s="142"/>
      <c r="H5" s="142"/>
      <c r="I5" s="240"/>
      <c r="M5" s="50">
        <v>30</v>
      </c>
    </row>
    <row r="6" ht="3" hidden="1" customHeight="1">
      <c r="D6" s="334"/>
      <c r="E6" s="334"/>
      <c r="F6" s="334"/>
      <c r="G6" s="334"/>
      <c r="H6" s="334"/>
      <c r="I6" s="334"/>
      <c r="M6" s="144">
        <v>0</v>
      </c>
    </row>
    <row r="7" s="295" customFormat="1" ht="14.65" customHeight="1">
      <c r="B7" s="144"/>
      <c r="C7" s="1203"/>
      <c r="D7" s="1204"/>
      <c r="E7" s="1204"/>
      <c r="F7" s="1204"/>
      <c r="G7" s="1204"/>
      <c r="H7" s="342"/>
      <c r="I7" s="1204"/>
      <c r="J7" s="1205"/>
      <c r="M7" s="295">
        <v>14</v>
      </c>
    </row>
    <row r="8" ht="14.65" customHeight="1">
      <c r="D8" s="348" t="s">
        <v>294</v>
      </c>
      <c r="E8" s="348"/>
      <c r="F8" s="348"/>
      <c r="G8" s="348"/>
      <c r="H8" s="348"/>
      <c r="I8" s="348" t="s">
        <v>295</v>
      </c>
      <c r="M8" s="144">
        <v>14</v>
      </c>
    </row>
    <row r="9" ht="29.25" customHeight="1">
      <c r="D9" s="348" t="s">
        <v>87</v>
      </c>
      <c r="E9" s="348" t="s">
        <v>1912</v>
      </c>
      <c r="F9" s="348"/>
      <c r="G9" s="348"/>
      <c r="H9" s="348"/>
      <c r="I9" s="348"/>
      <c r="M9" s="144">
        <v>28</v>
      </c>
    </row>
    <row r="10" ht="24" customHeight="1">
      <c r="D10" s="348"/>
      <c r="E10" s="348" t="s">
        <v>1913</v>
      </c>
      <c r="F10" s="348" t="s">
        <v>1914</v>
      </c>
      <c r="G10" s="348" t="s">
        <v>1915</v>
      </c>
      <c r="H10" s="348" t="s">
        <v>384</v>
      </c>
      <c r="I10" s="348"/>
      <c r="M10" s="144">
        <v>23</v>
      </c>
    </row>
    <row r="11" ht="12" hidden="1" customHeight="1">
      <c r="D11" s="426" t="s">
        <v>105</v>
      </c>
      <c r="E11" s="426" t="s">
        <v>90</v>
      </c>
      <c r="F11" s="426" t="s">
        <v>107</v>
      </c>
      <c r="G11" s="426" t="s">
        <v>91</v>
      </c>
      <c r="H11" s="426" t="s">
        <v>92</v>
      </c>
      <c r="I11" s="426" t="s">
        <v>108</v>
      </c>
      <c r="M11" s="144">
        <v>0</v>
      </c>
    </row>
    <row r="12" s="144" customFormat="1" ht="26.25" customHeight="1">
      <c r="A12" s="64" t="s">
        <v>89</v>
      </c>
      <c r="B12" s="144" t="s">
        <v>22</v>
      </c>
      <c r="C12" s="325"/>
      <c r="D12" s="219" t="s">
        <v>105</v>
      </c>
      <c r="E12" s="449"/>
      <c r="F12" s="449"/>
      <c r="G12" s="511" t="s">
        <v>22</v>
      </c>
      <c r="H12" s="471"/>
      <c r="I12" s="286" t="s">
        <v>1916</v>
      </c>
      <c r="K12" s="1206"/>
      <c r="L12" s="168"/>
      <c r="M12" s="144">
        <v>25</v>
      </c>
    </row>
    <row r="13" ht="15.75" customHeight="1">
      <c r="A13" s="144"/>
      <c r="B13" s="144"/>
      <c r="C13" s="144"/>
      <c r="D13" s="832"/>
      <c r="E13" s="178" t="s">
        <v>462</v>
      </c>
      <c r="F13" s="1051"/>
      <c r="G13" s="1051"/>
      <c r="H13" s="833"/>
      <c r="I13" s="290"/>
      <c r="M13" s="144">
        <v>15</v>
      </c>
    </row>
    <row r="14" ht="3" customHeight="1">
      <c r="A14" s="144"/>
      <c r="B14" s="144"/>
      <c r="C14" s="144"/>
      <c r="M14" s="144">
        <v>3</v>
      </c>
    </row>
    <row r="15" ht="29.25" customHeight="1">
      <c r="E15" s="1207" t="s">
        <v>1917</v>
      </c>
      <c r="F15" s="1207"/>
      <c r="G15" s="1207"/>
      <c r="H15" s="1207"/>
      <c r="M15" s="144">
        <v>28</v>
      </c>
    </row>
    <row r="16" ht="14.25" hidden="1" customHeight="1">
      <c r="A16" s="295" t="s">
        <v>81</v>
      </c>
      <c r="B16" s="144">
        <v>0</v>
      </c>
      <c r="C16" s="1203">
        <v>3</v>
      </c>
      <c r="D16" s="144">
        <v>6</v>
      </c>
      <c r="E16" s="144">
        <v>22</v>
      </c>
      <c r="F16" s="144">
        <v>15</v>
      </c>
      <c r="G16" s="144">
        <v>14</v>
      </c>
      <c r="H16" s="144">
        <v>47</v>
      </c>
      <c r="I16" s="144">
        <v>115</v>
      </c>
      <c r="J16" s="144">
        <v>3</v>
      </c>
      <c r="K16" s="144">
        <v>8</v>
      </c>
      <c r="L16" s="144">
        <v>8</v>
      </c>
      <c r="M16" s="144">
        <v>14</v>
      </c>
    </row>
  </sheetData>
  <sheetProtection autoFilter="0" deleteColumns="1" deleteRows="1" formatCells="1" formatColumns="0" formatRows="0" insertColumns="1" insertHyperlinks="1" insertRows="1" objects="0" pivotTables="1" scenarios="0" selectLockedCells="0" selectUnlockedCells="0" sheet="1" sort="1"/>
  <mergeCells count="7">
    <mergeCell ref="D5:H5"/>
    <mergeCell ref="D8:H8"/>
    <mergeCell ref="I8:I10"/>
    <mergeCell ref="D9:D10"/>
    <mergeCell ref="E9:H9"/>
    <mergeCell ref="I12:I13"/>
    <mergeCell ref="E15:H15"/>
  </mergeCells>
  <dataValidations count="1" disablePrompts="0">
    <dataValidation sqref="G12"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s>
  <printOptions headings="0" gridLines="0"/>
  <pageMargins left="0.24000000000000002" right="0.24000000000000002" top="0.24000000000000002" bottom="0.24000000000000002" header="0.24000000000000002" footer="0.24000000000000002"/>
  <pageSetup paperSize="9" scale="70" fitToWidth="1" fitToHeight="0" pageOrder="downThenOver" orientation="landscape"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3C00B4-00C4-461E-8073-00AC00A500F0}"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H12</xm:sqref>
        </x14:dataValidation>
        <x14:dataValidation xr:uid="{00630071-001C-40EF-831E-0028007B00BB}" type="textLength" allowBlank="1" error="Допускается ввод не более 900 символов!" errorStyle="stop" errorTitle="Ошибка" imeMode="noControl" operator="lessThanOrEqual" showDropDown="0" showErrorMessage="1" showInputMessage="1">
          <x14:formula1>
            <xm:f>900</xm:f>
          </x14:formula1>
          <xm:sqref>E12:F12</xm:sqref>
        </x14:dataValidation>
      </x14:dataValidations>
    </ext>
  </extLst>
</worksheet>
</file>

<file path=xl/worksheets/sheet5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outlinePr applyStyles="0" summaryBelow="1" summaryRight="1" showOutlineSymbols="1"/>
    <pageSetUpPr autoPageBreaks="1" fitToPage="1"/>
  </sheetPr>
  <sheetViews>
    <sheetView showGridLines="0" zoomScale="90" workbookViewId="0">
      <pane xSplit="4" ySplit="11" topLeftCell="E12" activePane="bottomRight" state="frozen"/>
      <selection activeCell="A1" activeCellId="0" sqref="A1"/>
    </sheetView>
  </sheetViews>
  <sheetFormatPr defaultColWidth="9.140625" defaultRowHeight="14.25" customHeight="1"/>
  <cols>
    <col hidden="1" min="1" max="2" style="1208" width="9.140625"/>
    <col customWidth="1" min="3" max="3" style="1209" width="3.00390625"/>
    <col customWidth="1" min="4" max="4" style="1208" width="6.00390625"/>
    <col customWidth="1" min="5" max="5" style="1208" width="94.00390625"/>
    <col customWidth="1" min="6" max="9" style="1208" width="8.00390625"/>
    <col hidden="1" min="10" max="10" style="1208" width="9.140625"/>
  </cols>
  <sheetData>
    <row r="1" ht="14.25" hidden="1" customHeight="1">
      <c r="J1" s="1208" t="s">
        <v>14</v>
      </c>
    </row>
    <row r="2" ht="14.25" hidden="1" customHeight="1">
      <c r="J2" s="1208">
        <v>0</v>
      </c>
    </row>
    <row r="3" ht="14.25" hidden="1" customHeight="1">
      <c r="J3" s="1208">
        <v>0</v>
      </c>
    </row>
    <row r="4" ht="14.25" hidden="1" customHeight="1">
      <c r="J4" s="1208">
        <v>0</v>
      </c>
    </row>
    <row r="5" ht="14.25" hidden="1" customHeight="1">
      <c r="J5" s="1208">
        <v>0</v>
      </c>
    </row>
    <row r="6" ht="3" customHeight="1">
      <c r="C6" s="1210"/>
      <c r="D6" s="334"/>
      <c r="E6" s="334"/>
      <c r="J6" s="1208">
        <v>3</v>
      </c>
    </row>
    <row r="7" ht="23.25" customHeight="1">
      <c r="C7" s="1210"/>
      <c r="D7" s="789" t="s">
        <v>1918</v>
      </c>
      <c r="E7" s="757"/>
      <c r="F7" s="1211"/>
      <c r="J7" s="1208">
        <v>22</v>
      </c>
    </row>
    <row r="8" ht="3" customHeight="1">
      <c r="C8" s="1210"/>
      <c r="D8" s="334"/>
      <c r="E8" s="334"/>
      <c r="J8" s="1208">
        <v>3</v>
      </c>
    </row>
    <row r="9" ht="16.800000000000001" customHeight="1">
      <c r="C9" s="1210"/>
      <c r="D9" s="348" t="s">
        <v>87</v>
      </c>
      <c r="E9" s="158" t="s">
        <v>1919</v>
      </c>
      <c r="J9" s="1208">
        <v>16</v>
      </c>
    </row>
    <row r="10" ht="1.05" customHeight="1">
      <c r="C10" s="1210"/>
      <c r="D10" s="426"/>
      <c r="E10" s="426"/>
      <c r="J10" s="1208">
        <v>1</v>
      </c>
    </row>
    <row r="11" ht="11.25" hidden="1" customHeight="1">
      <c r="C11" s="1210"/>
      <c r="D11" s="1212">
        <v>0</v>
      </c>
      <c r="E11" s="1213"/>
      <c r="J11" s="1208">
        <v>0</v>
      </c>
    </row>
    <row r="12" ht="15.75" customHeight="1">
      <c r="C12" s="382"/>
      <c r="D12" s="829">
        <v>1</v>
      </c>
      <c r="E12" s="449"/>
      <c r="J12" s="1208">
        <v>15</v>
      </c>
    </row>
    <row r="13" ht="12.75" customHeight="1">
      <c r="C13" s="1210"/>
      <c r="D13" s="440"/>
      <c r="E13" s="1214" t="s">
        <v>1920</v>
      </c>
      <c r="J13" s="1208">
        <v>12</v>
      </c>
    </row>
    <row r="14" ht="3" customHeight="1">
      <c r="J14" s="1208">
        <v>3</v>
      </c>
    </row>
    <row r="15" ht="23.25" customHeight="1">
      <c r="C15" s="1215"/>
      <c r="D15" s="1207" t="s">
        <v>1921</v>
      </c>
      <c r="E15" s="1207"/>
      <c r="F15" s="994"/>
      <c r="G15" s="994"/>
      <c r="H15" s="994"/>
      <c r="I15" s="994"/>
      <c r="J15" s="1208">
        <v>22</v>
      </c>
    </row>
    <row r="16" ht="14.25" hidden="1" customHeight="1">
      <c r="A16" s="1208" t="s">
        <v>81</v>
      </c>
      <c r="B16" s="1208">
        <v>0</v>
      </c>
      <c r="C16" s="1209">
        <v>3</v>
      </c>
      <c r="D16" s="1208">
        <v>6</v>
      </c>
      <c r="E16" s="1208">
        <v>94</v>
      </c>
      <c r="F16" s="1208">
        <v>8</v>
      </c>
      <c r="G16" s="1208">
        <v>8</v>
      </c>
      <c r="H16" s="1208">
        <v>8</v>
      </c>
      <c r="I16" s="1208">
        <v>8</v>
      </c>
      <c r="J16" s="1208">
        <v>14</v>
      </c>
    </row>
  </sheetData>
  <sheetProtection autoFilter="0" deleteColumns="1" deleteRows="1" formatCells="1" formatColumns="0" formatRows="0" insertColumns="1" insertHyperlinks="1" insertRows="1" objects="0" pivotTables="1" scenarios="0" selectLockedCells="0" selectUnlockedCells="0" sheet="1" sort="1"/>
  <mergeCells count="2">
    <mergeCell ref="D7:E7"/>
    <mergeCell ref="D15:E15"/>
  </mergeCells>
  <printOptions headings="0" gridLines="0"/>
  <pageMargins left="0.75" right="0.75" top="1" bottom="1" header="0.5" footer="0.5"/>
  <pageSetup paperSize="9" scale="94"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 disablePrompts="0">
        <x14:dataValidation xr:uid="{00E50005-0004-46BB-9C32-0052005F00D8}" type="textLength" allowBlank="1" error="Допускается ввод не более 900 символов!" errorStyle="stop" errorTitle="Ошибка" imeMode="noControl" operator="lessThanOrEqual" showDropDown="0" showErrorMessage="1" showInputMessage="1">
          <x14:formula1>
            <xm:f>900</xm:f>
          </x14:formula1>
          <xm:sqref>E11:E12</xm:sqref>
        </x14:dataValidation>
      </x14:dataValidations>
    </ext>
  </extLst>
</worksheet>
</file>

<file path=xl/worksheets/sheet5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outlinePr applyStyles="0" summaryBelow="1" summaryRight="1" showOutlineSymbols="1"/>
    <pageSetUpPr autoPageBreaks="1" fitToPage="1"/>
  </sheetPr>
  <sheetViews>
    <sheetView showGridLines="0" topLeftCell="C6" zoomScale="90" workbookViewId="0">
      <selection activeCell="E15" activeCellId="0" sqref="E15"/>
    </sheetView>
  </sheetViews>
  <sheetFormatPr defaultColWidth="9.140625" defaultRowHeight="14.25" customHeight="1"/>
  <cols>
    <col hidden="1" min="1" max="2" style="1208" width="9.140625"/>
    <col customWidth="1" min="3" max="3" style="1209" width="3.00390625"/>
    <col customWidth="1" min="4" max="4" style="1208" width="6.00390625"/>
    <col customWidth="1" min="5" max="5" style="1208" width="94.00390625"/>
    <col customWidth="1" min="6" max="12" style="1208" width="8.00390625"/>
    <col hidden="1" min="13" max="13" style="1208" width="9.140625"/>
  </cols>
  <sheetData>
    <row r="1" ht="14.25" hidden="1" customHeight="1">
      <c r="L1" s="1208"/>
      <c r="M1" s="1208" t="s">
        <v>14</v>
      </c>
    </row>
    <row r="2" ht="14.25" hidden="1" customHeight="1">
      <c r="M2" s="1208">
        <v>0</v>
      </c>
    </row>
    <row r="3" ht="14.25" hidden="1" customHeight="1">
      <c r="M3" s="1208">
        <v>0</v>
      </c>
    </row>
    <row r="4" ht="14.25" hidden="1" customHeight="1">
      <c r="M4" s="1208">
        <v>0</v>
      </c>
    </row>
    <row r="5" ht="14.25" hidden="1" customHeight="1">
      <c r="M5" s="1208">
        <v>0</v>
      </c>
    </row>
    <row r="6" ht="3" customHeight="1">
      <c r="C6" s="1210"/>
      <c r="D6" s="334"/>
      <c r="E6" s="334"/>
      <c r="M6" s="1208">
        <v>3</v>
      </c>
    </row>
    <row r="7" ht="23.25" customHeight="1">
      <c r="C7" s="1210"/>
      <c r="D7" s="142" t="s">
        <v>1922</v>
      </c>
      <c r="E7" s="142"/>
      <c r="F7" s="1211"/>
      <c r="M7" s="1208">
        <v>22</v>
      </c>
    </row>
    <row r="8" ht="3" customHeight="1">
      <c r="C8" s="1210"/>
      <c r="D8" s="334"/>
      <c r="E8" s="334"/>
      <c r="M8" s="1208">
        <v>3</v>
      </c>
    </row>
    <row r="9" ht="16.800000000000001" customHeight="1">
      <c r="C9" s="1210"/>
      <c r="D9" s="348" t="s">
        <v>87</v>
      </c>
      <c r="E9" s="247" t="s">
        <v>281</v>
      </c>
      <c r="M9" s="1208">
        <v>16</v>
      </c>
    </row>
    <row r="10" ht="12.75" customHeight="1">
      <c r="C10" s="1210"/>
      <c r="D10" s="426" t="s">
        <v>105</v>
      </c>
      <c r="E10" s="426" t="s">
        <v>106</v>
      </c>
      <c r="M10" s="1208">
        <v>12</v>
      </c>
    </row>
    <row r="11" ht="15" hidden="1" customHeight="1">
      <c r="C11" s="1210"/>
      <c r="D11" s="829">
        <v>0</v>
      </c>
      <c r="E11" s="459"/>
      <c r="M11" s="1208">
        <v>0</v>
      </c>
    </row>
    <row r="12" ht="21.75" customHeight="1">
      <c r="A12" s="1208"/>
      <c r="B12" s="1208"/>
      <c r="C12" s="1216" t="s">
        <v>683</v>
      </c>
      <c r="D12" s="829" t="s">
        <v>105</v>
      </c>
      <c r="E12" s="388" t="s">
        <v>1923</v>
      </c>
      <c r="F12" s="1208"/>
      <c r="G12" s="1208"/>
      <c r="H12" s="1208"/>
      <c r="I12" s="1208"/>
      <c r="J12" s="1208"/>
      <c r="K12" s="1208"/>
      <c r="L12" s="1208"/>
      <c r="M12" s="1208"/>
    </row>
    <row r="13" ht="42" customHeight="1">
      <c r="A13" s="1208"/>
      <c r="B13" s="1208"/>
      <c r="C13" s="1216" t="s">
        <v>683</v>
      </c>
      <c r="D13" s="829" t="s">
        <v>106</v>
      </c>
      <c r="E13" s="388" t="s">
        <v>1924</v>
      </c>
      <c r="F13" s="1208"/>
      <c r="G13" s="1208"/>
      <c r="H13" s="1208"/>
      <c r="I13" s="1208"/>
      <c r="J13" s="1208"/>
      <c r="K13" s="1208"/>
      <c r="L13" s="1208"/>
      <c r="M13" s="1208"/>
    </row>
    <row r="14" ht="58.5" customHeight="1">
      <c r="A14" s="1208"/>
      <c r="B14" s="1208"/>
      <c r="C14" s="1216" t="s">
        <v>683</v>
      </c>
      <c r="D14" s="829" t="s">
        <v>89</v>
      </c>
      <c r="E14" s="388" t="s">
        <v>1925</v>
      </c>
      <c r="F14" s="1208"/>
      <c r="G14" s="1208"/>
      <c r="H14" s="1208"/>
      <c r="I14" s="1208"/>
      <c r="J14" s="1208"/>
      <c r="K14" s="1208"/>
      <c r="L14" s="1208"/>
      <c r="M14" s="1208"/>
    </row>
    <row r="15" ht="78" customHeight="1">
      <c r="A15" s="1208"/>
      <c r="B15" s="1208"/>
      <c r="C15" s="1216" t="s">
        <v>683</v>
      </c>
      <c r="D15" s="829" t="s">
        <v>90</v>
      </c>
      <c r="E15" s="388" t="s">
        <v>1926</v>
      </c>
      <c r="F15" s="1208"/>
      <c r="G15" s="1208"/>
      <c r="H15" s="1208"/>
      <c r="I15" s="1208"/>
      <c r="J15" s="1208"/>
      <c r="K15" s="1208"/>
      <c r="L15" s="1208"/>
      <c r="M15" s="1208"/>
    </row>
    <row r="16" ht="14.65" customHeight="1">
      <c r="C16" s="1210"/>
      <c r="D16" s="832"/>
      <c r="E16" s="1214" t="s">
        <v>1920</v>
      </c>
      <c r="M16" s="1208">
        <v>14</v>
      </c>
    </row>
    <row r="17" ht="14.25" hidden="1" customHeight="1">
      <c r="A17" s="1208" t="s">
        <v>81</v>
      </c>
      <c r="B17" s="1208">
        <v>0</v>
      </c>
      <c r="C17" s="1209">
        <v>3</v>
      </c>
      <c r="D17" s="1208">
        <v>6</v>
      </c>
      <c r="E17" s="1208">
        <v>94</v>
      </c>
      <c r="F17" s="1208">
        <v>8</v>
      </c>
      <c r="G17" s="1208">
        <v>8</v>
      </c>
      <c r="H17" s="1208">
        <v>8</v>
      </c>
      <c r="I17" s="1208">
        <v>8</v>
      </c>
      <c r="J17" s="1208">
        <v>8</v>
      </c>
      <c r="K17" s="1208">
        <v>8</v>
      </c>
      <c r="L17" s="1208">
        <v>8</v>
      </c>
      <c r="M17" s="1208">
        <v>14</v>
      </c>
    </row>
  </sheetData>
  <sheetProtection autoFilter="0" deleteColumns="1" deleteRows="1" formatCells="1" formatColumns="0" formatRows="0" insertColumns="1" insertHyperlinks="1" insertRows="1" objects="0" pivotTables="1" scenarios="0" selectLockedCells="0" selectUnlockedCells="0" sheet="1" sort="1"/>
  <mergeCells count="1">
    <mergeCell ref="D7:E7"/>
  </mergeCells>
  <printOptions headings="0" gridLines="0"/>
  <pageMargins left="0.75" right="0.75" top="1" bottom="1" header="0.5" footer="0.5"/>
  <pageSetup paperSize="9" scale="94"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5" disablePrompts="0">
        <x14:dataValidation xr:uid="{002C0028-00CC-403B-9909-0055004500BF}" type="textLength" allowBlank="1" error="Допускается ввод не более 900 символов!" errorStyle="stop" errorTitle="Ошибка" imeMode="noControl" operator="lessThanOrEqual" showDropDown="0" showErrorMessage="1" showInputMessage="1">
          <x14:formula1>
            <xm:f>900</xm:f>
          </x14:formula1>
          <xm:sqref>E11</xm:sqref>
        </x14:dataValidation>
        <x14:dataValidation xr:uid="{005400CC-0093-4599-8BFD-00DE00D40072}" type="textLength" allowBlank="1" error="Допускается ввод не более 900 символов!" errorStyle="stop" errorTitle="Ошибка" imeMode="noControl" operator="lessThanOrEqual" showDropDown="0" showErrorMessage="1" showInputMessage="1">
          <x14:formula1>
            <xm:f>900</xm:f>
          </x14:formula1>
          <xm:sqref>E12</xm:sqref>
        </x14:dataValidation>
        <x14:dataValidation xr:uid="{00E80061-0037-4610-BA07-00C600F4000E}" type="textLength" allowBlank="1" error="Допускается ввод не более 900 символов!" errorStyle="stop" errorTitle="Ошибка" imeMode="noControl" operator="lessThanOrEqual" showDropDown="0" showErrorMessage="1" showInputMessage="1">
          <x14:formula1>
            <xm:f>900</xm:f>
          </x14:formula1>
          <xm:sqref>E13</xm:sqref>
        </x14:dataValidation>
        <x14:dataValidation xr:uid="{00760037-006A-4BB7-95DB-006500B30097}" type="textLength" allowBlank="1" error="Допускается ввод не более 900 символов!" errorStyle="stop" errorTitle="Ошибка" imeMode="noControl" operator="lessThanOrEqual" showDropDown="0" showErrorMessage="1" showInputMessage="1">
          <x14:formula1>
            <xm:f>900</xm:f>
          </x14:formula1>
          <xm:sqref>E14</xm:sqref>
        </x14:dataValidation>
        <x14:dataValidation xr:uid="{00CB0017-00B4-4A59-9165-008C008D00AF}" type="textLength" allowBlank="1" error="Допускается ввод не более 900 символов!" errorStyle="stop" errorTitle="Ошибка" imeMode="noControl" operator="lessThanOrEqual" showDropDown="0" showErrorMessage="1" showInputMessage="1">
          <x14:formula1>
            <xm:f>900</xm:f>
          </x14:formula1>
          <xm:sqref>E15</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outlinePr applyStyles="0" summaryBelow="1" summaryRight="1" showOutlineSymbols="1"/>
    <pageSetUpPr autoPageBreaks="1" fitToPage="0"/>
  </sheetPr>
  <sheetViews>
    <sheetView showGridLines="0" zoomScale="90" workbookViewId="0">
      <pane xSplit="10" ySplit="10" topLeftCell="K11" activePane="bottomRight" state="frozen"/>
      <selection activeCell="A1" activeCellId="0" sqref="A1"/>
    </sheetView>
  </sheetViews>
  <sheetFormatPr defaultColWidth="9.140625" defaultRowHeight="11.25" customHeight="1"/>
  <cols>
    <col hidden="1" min="1" max="2" style="63" width="9.140625"/>
    <col customWidth="1" min="3" max="4" style="63" width="3.00390625"/>
    <col customWidth="1" min="5" max="6" style="63" width="15.00390625"/>
    <col customWidth="1" min="7" max="7" style="63" width="11.57421875"/>
    <col customWidth="1" min="8" max="9" style="63" width="3.00390625"/>
    <col customWidth="1" min="10" max="10" style="63" width="12.00390625"/>
    <col customWidth="1" min="11" max="11" style="63" width="0.28125"/>
    <col customWidth="1" min="12" max="13" style="63" width="10.00390625"/>
    <col customWidth="1" min="14" max="15" style="63" width="3.00390625"/>
    <col customWidth="1" min="16" max="16" style="63" width="19.00390625"/>
    <col customWidth="1" min="17" max="17" style="63" width="0.28125"/>
    <col customWidth="1" min="18" max="19" style="63" width="10.00390625"/>
    <col customWidth="1" min="20" max="21" style="63" width="3.00390625"/>
    <col customWidth="1" min="22" max="22" style="63" width="25.00390625"/>
    <col customWidth="1" min="23" max="23" style="63" width="0.28125"/>
    <col customWidth="1" min="24" max="25" style="63" width="10.00390625"/>
    <col customWidth="1" min="26" max="27" style="63" width="3.00390625"/>
    <col customWidth="1" min="28" max="28" style="63" width="16.00390625"/>
    <col customWidth="1" min="29" max="29" style="63" width="0.28125"/>
    <col customWidth="1" min="30" max="31" style="63" width="10.00390625"/>
    <col customWidth="1" min="32" max="33" style="63" width="3.00390625"/>
    <col customWidth="1" min="34" max="34" style="63" width="8.00390625"/>
    <col customWidth="1" min="35" max="35" style="63" width="21.00390625"/>
    <col customWidth="1" min="36" max="36" style="63" width="8.00390625"/>
    <col customWidth="1" min="37" max="37" style="295" width="8.00390625"/>
    <col customWidth="1" min="38" max="64" style="63" width="8.00390625"/>
    <col hidden="1" min="65" max="65" style="63" width="9.140625"/>
  </cols>
  <sheetData>
    <row r="1" s="168" customFormat="1" ht="11.25" hidden="1" customHeight="1">
      <c r="AJ1" s="64"/>
      <c r="AK1" s="64"/>
      <c r="AL1" s="64"/>
      <c r="AM1" s="64"/>
      <c r="AN1" s="64"/>
      <c r="AO1" s="64"/>
      <c r="AP1" s="64"/>
      <c r="AQ1" s="64"/>
      <c r="AR1" s="64"/>
      <c r="AS1" s="64"/>
      <c r="AT1" s="64"/>
      <c r="AU1" s="64"/>
      <c r="AV1" s="64"/>
      <c r="AW1" s="64"/>
      <c r="AX1" s="64"/>
      <c r="AY1" s="64"/>
      <c r="AZ1" s="64"/>
      <c r="BA1" s="64"/>
      <c r="BB1" s="64"/>
      <c r="BC1" s="64"/>
      <c r="BD1" s="64"/>
      <c r="BE1" s="64"/>
      <c r="BF1" s="64"/>
      <c r="BG1" s="64"/>
      <c r="BH1" s="64"/>
      <c r="BI1" s="64"/>
      <c r="BJ1" s="64"/>
      <c r="BK1" s="64"/>
      <c r="BL1" s="64"/>
      <c r="BM1" s="168" t="s">
        <v>14</v>
      </c>
    </row>
    <row r="2" s="296" customFormat="1" ht="11.25" hidden="1" customHeight="1">
      <c r="L2" s="296" t="s">
        <v>273</v>
      </c>
      <c r="M2" s="296" t="s">
        <v>274</v>
      </c>
      <c r="R2" s="296" t="s">
        <v>275</v>
      </c>
      <c r="S2" s="296" t="s">
        <v>274</v>
      </c>
      <c r="X2" s="296" t="s">
        <v>273</v>
      </c>
      <c r="Y2" s="296" t="s">
        <v>274</v>
      </c>
      <c r="AD2" s="296" t="s">
        <v>273</v>
      </c>
      <c r="AE2" s="296" t="s">
        <v>274</v>
      </c>
      <c r="AJ2" s="297"/>
      <c r="AK2" s="297"/>
      <c r="AL2" s="297"/>
      <c r="AM2" s="297"/>
      <c r="AN2" s="297"/>
      <c r="AO2" s="297"/>
      <c r="AP2" s="297"/>
      <c r="AQ2" s="297"/>
      <c r="AR2" s="297"/>
      <c r="AS2" s="297"/>
      <c r="AT2" s="297"/>
      <c r="AU2" s="297"/>
      <c r="AV2" s="297"/>
      <c r="AW2" s="297"/>
      <c r="AX2" s="297"/>
      <c r="AY2" s="297"/>
      <c r="AZ2" s="297"/>
      <c r="BA2" s="297"/>
      <c r="BB2" s="297"/>
      <c r="BC2" s="297"/>
      <c r="BD2" s="297"/>
      <c r="BE2" s="297"/>
      <c r="BF2" s="297"/>
      <c r="BG2" s="297"/>
      <c r="BH2" s="297"/>
      <c r="BI2" s="297"/>
      <c r="BJ2" s="297"/>
      <c r="BK2" s="297"/>
      <c r="BL2" s="297"/>
      <c r="BM2" s="296">
        <v>0</v>
      </c>
    </row>
    <row r="3" s="298" customFormat="1" ht="11.5" customHeight="1">
      <c r="AJ3" s="63"/>
      <c r="AK3" s="295"/>
      <c r="AL3" s="63"/>
      <c r="AM3" s="63"/>
      <c r="AN3" s="63"/>
      <c r="AO3" s="63"/>
      <c r="AP3" s="63"/>
      <c r="AQ3" s="63"/>
      <c r="AR3" s="63"/>
      <c r="AS3" s="63"/>
      <c r="AT3" s="63"/>
      <c r="AU3" s="63"/>
      <c r="AV3" s="63"/>
      <c r="AW3" s="63"/>
      <c r="AX3" s="63"/>
      <c r="AY3" s="63"/>
      <c r="AZ3" s="63"/>
      <c r="BA3" s="63"/>
      <c r="BB3" s="63"/>
      <c r="BC3" s="63"/>
      <c r="BD3" s="63"/>
      <c r="BE3" s="63"/>
      <c r="BF3" s="63"/>
      <c r="BG3" s="63"/>
      <c r="BH3" s="63"/>
      <c r="BI3" s="63"/>
      <c r="BJ3" s="63"/>
      <c r="BK3" s="63"/>
      <c r="BL3" s="63"/>
      <c r="BM3" s="298">
        <v>11</v>
      </c>
    </row>
    <row r="4" s="140" customFormat="1" ht="34.5" customHeight="1">
      <c r="A4" s="56"/>
      <c r="B4" s="50"/>
      <c r="C4" s="129"/>
      <c r="D4" s="299" t="s">
        <v>276</v>
      </c>
      <c r="E4" s="299"/>
      <c r="F4" s="299"/>
      <c r="G4" s="299"/>
      <c r="H4" s="299"/>
      <c r="I4" s="299"/>
      <c r="J4" s="299"/>
      <c r="K4" s="300"/>
      <c r="T4" s="301"/>
      <c r="AJ4" s="302"/>
      <c r="AK4" s="303"/>
      <c r="AL4" s="302"/>
      <c r="AM4" s="302"/>
      <c r="AN4" s="302"/>
      <c r="AO4" s="302"/>
      <c r="AP4" s="302"/>
      <c r="AQ4" s="302"/>
      <c r="AR4" s="302"/>
      <c r="AS4" s="302"/>
      <c r="AT4" s="302"/>
      <c r="AU4" s="302"/>
      <c r="AV4" s="302"/>
      <c r="AW4" s="302"/>
      <c r="AX4" s="302"/>
      <c r="AY4" s="302"/>
      <c r="AZ4" s="302"/>
      <c r="BA4" s="302"/>
      <c r="BB4" s="302"/>
      <c r="BC4" s="302"/>
      <c r="BD4" s="302"/>
      <c r="BE4" s="302"/>
      <c r="BF4" s="302"/>
      <c r="BG4" s="302"/>
      <c r="BH4" s="302"/>
      <c r="BI4" s="302"/>
      <c r="BJ4" s="302"/>
      <c r="BK4" s="302"/>
      <c r="BL4" s="302"/>
      <c r="BM4" s="140">
        <v>33</v>
      </c>
    </row>
    <row r="5" s="140" customFormat="1" ht="14.65" customHeight="1">
      <c r="A5" s="56"/>
      <c r="B5" s="50"/>
      <c r="C5" s="129"/>
      <c r="D5" s="304" t="str">
        <f>IF(org=0,"Не определено",org)</f>
        <v xml:space="preserve">АО "ДГК" СП "Биробиджанская ТЭЦ"</v>
      </c>
      <c r="E5" s="304"/>
      <c r="F5" s="304"/>
      <c r="G5" s="304"/>
      <c r="H5" s="304"/>
      <c r="I5" s="304"/>
      <c r="J5" s="304"/>
      <c r="K5" s="300"/>
      <c r="T5" s="301"/>
      <c r="AJ5" s="302"/>
      <c r="AK5" s="303"/>
      <c r="AL5" s="302"/>
      <c r="AM5" s="302"/>
      <c r="AN5" s="302"/>
      <c r="AO5" s="302"/>
      <c r="AP5" s="302"/>
      <c r="AQ5" s="302"/>
      <c r="AR5" s="302"/>
      <c r="AS5" s="302"/>
      <c r="AT5" s="302"/>
      <c r="AU5" s="302"/>
      <c r="AV5" s="302"/>
      <c r="AW5" s="302"/>
      <c r="AX5" s="302"/>
      <c r="AY5" s="302"/>
      <c r="AZ5" s="302"/>
      <c r="BA5" s="302"/>
      <c r="BB5" s="302"/>
      <c r="BC5" s="302"/>
      <c r="BD5" s="302"/>
      <c r="BE5" s="302"/>
      <c r="BF5" s="302"/>
      <c r="BG5" s="302"/>
      <c r="BH5" s="302"/>
      <c r="BI5" s="302"/>
      <c r="BJ5" s="302"/>
      <c r="BK5" s="302"/>
      <c r="BL5" s="302"/>
      <c r="BM5" s="140">
        <v>14</v>
      </c>
    </row>
    <row r="6" s="140" customFormat="1" ht="14.65" customHeight="1">
      <c r="A6" s="56"/>
      <c r="B6" s="50"/>
      <c r="C6" s="129"/>
      <c r="D6" s="300"/>
      <c r="E6" s="300"/>
      <c r="F6" s="300"/>
      <c r="G6" s="300"/>
      <c r="H6" s="300"/>
      <c r="I6" s="300"/>
      <c r="J6" s="300"/>
      <c r="K6" s="300"/>
      <c r="T6" s="301"/>
      <c r="AJ6" s="302"/>
      <c r="AK6" s="303"/>
      <c r="AL6" s="302"/>
      <c r="AM6" s="302"/>
      <c r="AN6" s="302"/>
      <c r="AO6" s="302"/>
      <c r="AP6" s="302"/>
      <c r="AQ6" s="302"/>
      <c r="AR6" s="302"/>
      <c r="AS6" s="302"/>
      <c r="AT6" s="302"/>
      <c r="AU6" s="302"/>
      <c r="AV6" s="302"/>
      <c r="AW6" s="302"/>
      <c r="AX6" s="302"/>
      <c r="AY6" s="302"/>
      <c r="AZ6" s="302"/>
      <c r="BA6" s="302"/>
      <c r="BB6" s="302"/>
      <c r="BC6" s="302"/>
      <c r="BD6" s="302"/>
      <c r="BE6" s="302"/>
      <c r="BF6" s="302"/>
      <c r="BG6" s="302"/>
      <c r="BH6" s="302"/>
      <c r="BI6" s="302"/>
      <c r="BJ6" s="302"/>
      <c r="BK6" s="302"/>
      <c r="BL6" s="302"/>
      <c r="BM6" s="140">
        <v>14</v>
      </c>
    </row>
    <row r="7" s="168" customFormat="1" ht="1.05" customHeight="1">
      <c r="AJ7" s="64"/>
      <c r="AK7" s="64"/>
      <c r="AL7" s="64"/>
      <c r="AM7" s="64"/>
      <c r="AN7" s="64"/>
      <c r="AO7" s="64"/>
      <c r="AP7" s="64"/>
      <c r="AQ7" s="64"/>
      <c r="AR7" s="64"/>
      <c r="AS7" s="64"/>
      <c r="AT7" s="64"/>
      <c r="AU7" s="64"/>
      <c r="AV7" s="64"/>
      <c r="AW7" s="64"/>
      <c r="AX7" s="64"/>
      <c r="AY7" s="64"/>
      <c r="AZ7" s="64"/>
      <c r="BA7" s="64"/>
      <c r="BB7" s="64"/>
      <c r="BC7" s="64"/>
      <c r="BD7" s="64"/>
      <c r="BE7" s="64"/>
      <c r="BF7" s="64"/>
      <c r="BG7" s="64"/>
      <c r="BH7" s="64"/>
      <c r="BI7" s="64"/>
      <c r="BJ7" s="64"/>
      <c r="BK7" s="64"/>
      <c r="BL7" s="64"/>
      <c r="BM7" s="168">
        <v>1</v>
      </c>
    </row>
    <row r="8" ht="33.75" customHeight="1">
      <c r="D8" s="158" t="s">
        <v>87</v>
      </c>
      <c r="E8" s="158" t="s">
        <v>101</v>
      </c>
      <c r="F8" s="305" t="s">
        <v>118</v>
      </c>
      <c r="G8" s="306"/>
      <c r="H8" s="305" t="s">
        <v>87</v>
      </c>
      <c r="I8" s="306"/>
      <c r="J8" s="158" t="s">
        <v>119</v>
      </c>
      <c r="K8" s="307"/>
      <c r="L8" s="308" t="s">
        <v>277</v>
      </c>
      <c r="M8" s="308"/>
      <c r="N8" s="308"/>
      <c r="O8" s="308"/>
      <c r="P8" s="308"/>
      <c r="Q8" s="305"/>
      <c r="R8" s="73" t="s">
        <v>278</v>
      </c>
      <c r="S8" s="146"/>
      <c r="T8" s="146"/>
      <c r="U8" s="146"/>
      <c r="V8" s="146"/>
      <c r="W8" s="305"/>
      <c r="X8" s="158" t="s">
        <v>279</v>
      </c>
      <c r="Y8" s="158"/>
      <c r="Z8" s="158"/>
      <c r="AA8" s="158"/>
      <c r="AB8" s="158"/>
      <c r="AC8" s="308"/>
      <c r="AD8" s="158" t="s">
        <v>280</v>
      </c>
      <c r="AE8" s="158"/>
      <c r="AF8" s="158"/>
      <c r="AG8" s="158"/>
      <c r="AH8" s="73"/>
      <c r="AI8" s="158" t="s">
        <v>281</v>
      </c>
      <c r="AJ8" s="63"/>
      <c r="BM8" s="63">
        <v>32</v>
      </c>
    </row>
    <row r="9" ht="23.25" customHeight="1">
      <c r="D9" s="158"/>
      <c r="E9" s="158"/>
      <c r="F9" s="308" t="s">
        <v>88</v>
      </c>
      <c r="G9" s="308" t="s">
        <v>124</v>
      </c>
      <c r="H9" s="309"/>
      <c r="I9" s="310"/>
      <c r="J9" s="73"/>
      <c r="K9" s="309"/>
      <c r="L9" s="158" t="s">
        <v>282</v>
      </c>
      <c r="M9" s="73"/>
      <c r="N9" s="305" t="s">
        <v>87</v>
      </c>
      <c r="O9" s="306"/>
      <c r="P9" s="158" t="s">
        <v>125</v>
      </c>
      <c r="Q9" s="307"/>
      <c r="R9" s="158" t="s">
        <v>282</v>
      </c>
      <c r="S9" s="73"/>
      <c r="T9" s="305" t="s">
        <v>87</v>
      </c>
      <c r="U9" s="306"/>
      <c r="V9" s="158" t="s">
        <v>125</v>
      </c>
      <c r="W9" s="307"/>
      <c r="X9" s="158" t="s">
        <v>282</v>
      </c>
      <c r="Y9" s="73"/>
      <c r="Z9" s="305" t="s">
        <v>87</v>
      </c>
      <c r="AA9" s="306"/>
      <c r="AB9" s="158" t="s">
        <v>283</v>
      </c>
      <c r="AC9" s="307"/>
      <c r="AD9" s="158" t="s">
        <v>282</v>
      </c>
      <c r="AE9" s="73"/>
      <c r="AF9" s="305" t="s">
        <v>87</v>
      </c>
      <c r="AG9" s="306"/>
      <c r="AH9" s="73" t="s">
        <v>283</v>
      </c>
      <c r="AI9" s="158"/>
      <c r="AJ9" s="63"/>
      <c r="BM9" s="63">
        <v>22</v>
      </c>
    </row>
    <row r="10" ht="24" customHeight="1">
      <c r="D10" s="308"/>
      <c r="E10" s="308"/>
      <c r="F10" s="307"/>
      <c r="G10" s="307"/>
      <c r="H10" s="311"/>
      <c r="I10" s="312"/>
      <c r="J10" s="305"/>
      <c r="K10" s="309"/>
      <c r="L10" s="308" t="s">
        <v>284</v>
      </c>
      <c r="M10" s="305" t="s">
        <v>285</v>
      </c>
      <c r="N10" s="309"/>
      <c r="O10" s="310"/>
      <c r="P10" s="308"/>
      <c r="Q10" s="307"/>
      <c r="R10" s="308" t="s">
        <v>284</v>
      </c>
      <c r="S10" s="305" t="s">
        <v>285</v>
      </c>
      <c r="T10" s="309"/>
      <c r="U10" s="310"/>
      <c r="V10" s="308"/>
      <c r="W10" s="307"/>
      <c r="X10" s="308" t="s">
        <v>284</v>
      </c>
      <c r="Y10" s="305" t="s">
        <v>285</v>
      </c>
      <c r="Z10" s="309"/>
      <c r="AA10" s="310"/>
      <c r="AB10" s="308"/>
      <c r="AC10" s="307"/>
      <c r="AD10" s="308" t="s">
        <v>284</v>
      </c>
      <c r="AE10" s="305" t="s">
        <v>285</v>
      </c>
      <c r="AF10" s="309"/>
      <c r="AG10" s="310"/>
      <c r="AH10" s="305"/>
      <c r="AI10" s="308"/>
      <c r="AJ10" s="63"/>
      <c r="AK10" s="144" t="s">
        <v>286</v>
      </c>
      <c r="AL10" s="144" t="s">
        <v>126</v>
      </c>
      <c r="BM10" s="63">
        <v>23</v>
      </c>
    </row>
    <row r="11" ht="15" customHeight="1">
      <c r="D11" s="313" t="s">
        <v>105</v>
      </c>
      <c r="E11" s="314" t="s">
        <v>287</v>
      </c>
      <c r="F11" s="314" t="s">
        <v>288</v>
      </c>
      <c r="G11" s="315" t="s">
        <v>19</v>
      </c>
      <c r="H11" s="316"/>
      <c r="I11" s="317"/>
      <c r="J11" s="260"/>
      <c r="K11" s="260"/>
      <c r="L11" s="261"/>
      <c r="M11" s="261"/>
      <c r="N11" s="318"/>
      <c r="O11" s="261"/>
      <c r="P11" s="260"/>
      <c r="Q11" s="260"/>
      <c r="R11" s="261"/>
      <c r="S11" s="261"/>
      <c r="T11" s="319"/>
      <c r="U11" s="261"/>
      <c r="V11" s="260"/>
      <c r="W11" s="261"/>
      <c r="X11" s="261"/>
      <c r="Y11" s="261"/>
      <c r="Z11" s="318"/>
      <c r="AA11" s="261"/>
      <c r="AB11" s="260"/>
      <c r="AC11" s="320"/>
      <c r="AD11" s="261"/>
      <c r="AE11" s="261"/>
      <c r="AF11" s="261"/>
      <c r="AG11" s="261"/>
      <c r="AH11" s="318"/>
      <c r="AI11" s="264"/>
      <c r="AJ11" s="63"/>
      <c r="BM11" s="63">
        <v>14</v>
      </c>
    </row>
    <row r="12" ht="14.65" customHeight="1">
      <c r="D12" s="313"/>
      <c r="E12" s="314"/>
      <c r="F12" s="314"/>
      <c r="G12" s="321"/>
      <c r="H12" s="322"/>
      <c r="I12" s="323"/>
      <c r="J12" s="269"/>
      <c r="K12" s="86"/>
      <c r="L12" s="126"/>
      <c r="M12" s="126"/>
      <c r="N12" s="60"/>
      <c r="O12" s="126"/>
      <c r="P12" s="269"/>
      <c r="Q12" s="269"/>
      <c r="R12" s="126"/>
      <c r="S12" s="126"/>
      <c r="T12" s="324"/>
      <c r="U12" s="126"/>
      <c r="V12" s="269"/>
      <c r="W12" s="126"/>
      <c r="X12" s="126"/>
      <c r="Y12" s="126"/>
      <c r="Z12" s="60"/>
      <c r="AA12" s="126"/>
      <c r="AB12" s="269"/>
      <c r="AC12" s="86"/>
      <c r="AD12" s="126"/>
      <c r="AE12" s="126"/>
      <c r="AF12" s="272"/>
      <c r="AG12" s="272"/>
      <c r="AH12" s="272"/>
      <c r="AI12" s="273"/>
      <c r="AJ12" s="63"/>
      <c r="BM12" s="63">
        <v>14</v>
      </c>
    </row>
    <row r="13" ht="14.65" customHeight="1">
      <c r="D13" s="313"/>
      <c r="E13" s="314"/>
      <c r="F13" s="314"/>
      <c r="G13" s="321"/>
      <c r="H13" s="322"/>
      <c r="I13" s="323"/>
      <c r="J13" s="269"/>
      <c r="K13" s="86"/>
      <c r="L13" s="126"/>
      <c r="M13" s="126"/>
      <c r="N13" s="60"/>
      <c r="O13" s="126"/>
      <c r="P13" s="269"/>
      <c r="Q13" s="269"/>
      <c r="R13" s="126"/>
      <c r="S13" s="126"/>
      <c r="T13" s="324"/>
      <c r="U13" s="126"/>
      <c r="V13" s="269"/>
      <c r="W13" s="126"/>
      <c r="X13" s="126"/>
      <c r="Y13" s="126"/>
      <c r="Z13" s="126"/>
      <c r="AA13" s="272"/>
      <c r="AB13" s="272"/>
      <c r="AC13" s="272"/>
      <c r="AD13" s="272"/>
      <c r="AE13" s="272"/>
      <c r="AF13" s="272"/>
      <c r="AG13" s="272"/>
      <c r="AH13" s="272"/>
      <c r="AI13" s="273"/>
      <c r="AJ13" s="63"/>
      <c r="BM13" s="63">
        <v>14</v>
      </c>
    </row>
    <row r="14" ht="14.65" customHeight="1">
      <c r="D14" s="313"/>
      <c r="E14" s="314"/>
      <c r="F14" s="314"/>
      <c r="G14" s="321"/>
      <c r="H14" s="322"/>
      <c r="I14" s="323"/>
      <c r="J14" s="269"/>
      <c r="K14" s="86"/>
      <c r="L14" s="126"/>
      <c r="M14" s="126"/>
      <c r="N14" s="60"/>
      <c r="O14" s="126"/>
      <c r="P14" s="269"/>
      <c r="Q14" s="269"/>
      <c r="R14" s="126"/>
      <c r="S14" s="126"/>
      <c r="T14" s="325"/>
      <c r="U14" s="326"/>
      <c r="V14" s="272"/>
      <c r="W14" s="272"/>
      <c r="X14" s="272"/>
      <c r="Y14" s="272"/>
      <c r="Z14" s="272"/>
      <c r="AA14" s="272"/>
      <c r="AB14" s="272"/>
      <c r="AC14" s="272"/>
      <c r="AD14" s="272"/>
      <c r="AE14" s="272"/>
      <c r="AF14" s="272"/>
      <c r="AG14" s="272"/>
      <c r="AH14" s="272"/>
      <c r="AI14" s="273"/>
      <c r="AJ14" s="63"/>
      <c r="BM14" s="63">
        <v>14</v>
      </c>
    </row>
    <row r="15" ht="11.5" customHeight="1">
      <c r="D15" s="313"/>
      <c r="E15" s="314"/>
      <c r="F15" s="314"/>
      <c r="G15" s="321"/>
      <c r="H15" s="327"/>
      <c r="I15" s="323"/>
      <c r="J15" s="269"/>
      <c r="K15" s="86"/>
      <c r="L15" s="126"/>
      <c r="M15" s="126"/>
      <c r="N15" s="272"/>
      <c r="O15" s="272"/>
      <c r="P15" s="272"/>
      <c r="Q15" s="272"/>
      <c r="R15" s="272"/>
      <c r="S15" s="272"/>
      <c r="T15" s="272"/>
      <c r="U15" s="272"/>
      <c r="V15" s="272"/>
      <c r="W15" s="272"/>
      <c r="X15" s="272"/>
      <c r="Y15" s="272"/>
      <c r="Z15" s="272"/>
      <c r="AA15" s="272"/>
      <c r="AB15" s="272"/>
      <c r="AC15" s="272"/>
      <c r="AD15" s="272"/>
      <c r="AE15" s="272"/>
      <c r="AF15" s="272"/>
      <c r="AG15" s="272"/>
      <c r="AH15" s="272"/>
      <c r="AI15" s="273"/>
      <c r="AJ15" s="63"/>
      <c r="BM15" s="63">
        <v>11</v>
      </c>
    </row>
    <row r="16" s="298" customFormat="1" ht="11.5" customHeight="1">
      <c r="D16" s="328"/>
      <c r="E16" s="329"/>
      <c r="F16" s="330"/>
      <c r="G16" s="221"/>
      <c r="H16" s="331"/>
      <c r="I16" s="332"/>
      <c r="J16" s="279"/>
      <c r="K16" s="279"/>
      <c r="L16" s="279"/>
      <c r="M16" s="279"/>
      <c r="N16" s="279"/>
      <c r="O16" s="279"/>
      <c r="P16" s="279"/>
      <c r="Q16" s="279"/>
      <c r="R16" s="279"/>
      <c r="S16" s="279"/>
      <c r="T16" s="279"/>
      <c r="U16" s="279"/>
      <c r="V16" s="279"/>
      <c r="W16" s="279"/>
      <c r="X16" s="279"/>
      <c r="Y16" s="279"/>
      <c r="Z16" s="279"/>
      <c r="AA16" s="279"/>
      <c r="AB16" s="279"/>
      <c r="AC16" s="279"/>
      <c r="AD16" s="279"/>
      <c r="AE16" s="279"/>
      <c r="AF16" s="279"/>
      <c r="AG16" s="279"/>
      <c r="AH16" s="279"/>
      <c r="AI16" s="281"/>
      <c r="AJ16" s="63"/>
      <c r="AK16" s="295"/>
      <c r="AL16" s="63"/>
      <c r="AM16" s="63"/>
      <c r="AN16" s="63"/>
      <c r="AO16" s="63"/>
      <c r="AP16" s="63"/>
      <c r="AQ16" s="63"/>
      <c r="AR16" s="63"/>
      <c r="AS16" s="63"/>
      <c r="AT16" s="63"/>
      <c r="AU16" s="63"/>
      <c r="AV16" s="63"/>
      <c r="AW16" s="63"/>
      <c r="AX16" s="63"/>
      <c r="AY16" s="63"/>
      <c r="AZ16" s="63"/>
      <c r="BA16" s="63"/>
      <c r="BB16" s="63"/>
      <c r="BC16" s="63"/>
      <c r="BD16" s="63"/>
      <c r="BE16" s="63"/>
      <c r="BF16" s="63"/>
      <c r="BG16" s="63"/>
      <c r="BH16" s="63"/>
      <c r="BI16" s="63"/>
      <c r="BJ16" s="63"/>
      <c r="BK16" s="63"/>
      <c r="BL16" s="63"/>
      <c r="BM16" s="298">
        <v>11</v>
      </c>
    </row>
    <row r="17" ht="15" customHeight="1">
      <c r="D17" s="313" t="s">
        <v>106</v>
      </c>
      <c r="E17" s="314" t="s">
        <v>287</v>
      </c>
      <c r="F17" s="314" t="s">
        <v>289</v>
      </c>
      <c r="G17" s="315" t="s">
        <v>19</v>
      </c>
      <c r="H17" s="316"/>
      <c r="I17" s="317"/>
      <c r="J17" s="260"/>
      <c r="K17" s="260"/>
      <c r="L17" s="261"/>
      <c r="M17" s="261"/>
      <c r="N17" s="318"/>
      <c r="O17" s="261"/>
      <c r="P17" s="260"/>
      <c r="Q17" s="260"/>
      <c r="R17" s="261"/>
      <c r="S17" s="261"/>
      <c r="T17" s="319"/>
      <c r="U17" s="261"/>
      <c r="V17" s="260"/>
      <c r="W17" s="261"/>
      <c r="X17" s="261"/>
      <c r="Y17" s="261"/>
      <c r="Z17" s="318"/>
      <c r="AA17" s="261"/>
      <c r="AB17" s="260"/>
      <c r="AC17" s="320"/>
      <c r="AD17" s="261"/>
      <c r="AE17" s="261"/>
      <c r="AF17" s="261"/>
      <c r="AG17" s="261"/>
      <c r="AH17" s="318"/>
      <c r="AI17" s="264"/>
      <c r="AJ17" s="63"/>
      <c r="BM17" s="63">
        <v>14</v>
      </c>
    </row>
    <row r="18" ht="14.65" customHeight="1">
      <c r="D18" s="313"/>
      <c r="E18" s="314"/>
      <c r="F18" s="314"/>
      <c r="G18" s="321"/>
      <c r="H18" s="322"/>
      <c r="I18" s="323"/>
      <c r="J18" s="269"/>
      <c r="K18" s="86"/>
      <c r="L18" s="126"/>
      <c r="M18" s="126"/>
      <c r="N18" s="60"/>
      <c r="O18" s="126"/>
      <c r="P18" s="269"/>
      <c r="Q18" s="269"/>
      <c r="R18" s="126"/>
      <c r="S18" s="126"/>
      <c r="T18" s="324"/>
      <c r="U18" s="126"/>
      <c r="V18" s="269"/>
      <c r="W18" s="126"/>
      <c r="X18" s="126"/>
      <c r="Y18" s="126"/>
      <c r="Z18" s="60"/>
      <c r="AA18" s="126"/>
      <c r="AB18" s="269"/>
      <c r="AC18" s="86"/>
      <c r="AD18" s="126"/>
      <c r="AE18" s="126"/>
      <c r="AF18" s="272"/>
      <c r="AG18" s="272"/>
      <c r="AH18" s="272"/>
      <c r="AI18" s="273"/>
      <c r="AJ18" s="63"/>
      <c r="BM18" s="63">
        <v>14</v>
      </c>
    </row>
    <row r="19" ht="14.65" customHeight="1">
      <c r="D19" s="313"/>
      <c r="E19" s="314"/>
      <c r="F19" s="314"/>
      <c r="G19" s="321"/>
      <c r="H19" s="322"/>
      <c r="I19" s="323"/>
      <c r="J19" s="269"/>
      <c r="K19" s="86"/>
      <c r="L19" s="126"/>
      <c r="M19" s="126"/>
      <c r="N19" s="60"/>
      <c r="O19" s="126"/>
      <c r="P19" s="269"/>
      <c r="Q19" s="269"/>
      <c r="R19" s="126"/>
      <c r="S19" s="126"/>
      <c r="T19" s="324"/>
      <c r="U19" s="126"/>
      <c r="V19" s="269"/>
      <c r="W19" s="126"/>
      <c r="X19" s="126"/>
      <c r="Y19" s="126"/>
      <c r="Z19" s="126"/>
      <c r="AA19" s="272"/>
      <c r="AB19" s="272"/>
      <c r="AC19" s="272"/>
      <c r="AD19" s="272"/>
      <c r="AE19" s="272"/>
      <c r="AF19" s="272"/>
      <c r="AG19" s="272"/>
      <c r="AH19" s="272"/>
      <c r="AI19" s="273"/>
      <c r="AJ19" s="63"/>
      <c r="BM19" s="63">
        <v>14</v>
      </c>
    </row>
    <row r="20" ht="14.65" customHeight="1">
      <c r="D20" s="313"/>
      <c r="E20" s="314"/>
      <c r="F20" s="314"/>
      <c r="G20" s="321"/>
      <c r="H20" s="322"/>
      <c r="I20" s="323"/>
      <c r="J20" s="269"/>
      <c r="K20" s="86"/>
      <c r="L20" s="126"/>
      <c r="M20" s="126"/>
      <c r="N20" s="60"/>
      <c r="O20" s="126"/>
      <c r="P20" s="269"/>
      <c r="Q20" s="269"/>
      <c r="R20" s="126"/>
      <c r="S20" s="126"/>
      <c r="T20" s="325"/>
      <c r="U20" s="326"/>
      <c r="V20" s="272"/>
      <c r="W20" s="272"/>
      <c r="X20" s="272"/>
      <c r="Y20" s="272"/>
      <c r="Z20" s="272"/>
      <c r="AA20" s="272"/>
      <c r="AB20" s="272"/>
      <c r="AC20" s="272"/>
      <c r="AD20" s="272"/>
      <c r="AE20" s="272"/>
      <c r="AF20" s="272"/>
      <c r="AG20" s="272"/>
      <c r="AH20" s="272"/>
      <c r="AI20" s="273"/>
      <c r="AJ20" s="63"/>
      <c r="BM20" s="63">
        <v>14</v>
      </c>
    </row>
    <row r="21" ht="11.5" customHeight="1">
      <c r="D21" s="313"/>
      <c r="E21" s="314"/>
      <c r="F21" s="314"/>
      <c r="G21" s="321"/>
      <c r="H21" s="327"/>
      <c r="I21" s="323"/>
      <c r="J21" s="269"/>
      <c r="K21" s="86"/>
      <c r="L21" s="126"/>
      <c r="M21" s="126"/>
      <c r="N21" s="272"/>
      <c r="O21" s="272"/>
      <c r="P21" s="272"/>
      <c r="Q21" s="272"/>
      <c r="R21" s="272"/>
      <c r="S21" s="272"/>
      <c r="T21" s="272"/>
      <c r="U21" s="272"/>
      <c r="V21" s="272"/>
      <c r="W21" s="272"/>
      <c r="X21" s="272"/>
      <c r="Y21" s="272"/>
      <c r="Z21" s="272"/>
      <c r="AA21" s="272"/>
      <c r="AB21" s="272"/>
      <c r="AC21" s="272"/>
      <c r="AD21" s="272"/>
      <c r="AE21" s="272"/>
      <c r="AF21" s="272"/>
      <c r="AG21" s="272"/>
      <c r="AH21" s="272"/>
      <c r="AI21" s="273"/>
      <c r="AJ21" s="63"/>
      <c r="BM21" s="63">
        <v>11</v>
      </c>
    </row>
    <row r="22" s="298" customFormat="1" ht="11.5" customHeight="1">
      <c r="D22" s="328"/>
      <c r="E22" s="329"/>
      <c r="F22" s="330"/>
      <c r="G22" s="221"/>
      <c r="H22" s="331"/>
      <c r="I22" s="332"/>
      <c r="J22" s="279"/>
      <c r="K22" s="279"/>
      <c r="L22" s="279"/>
      <c r="M22" s="279"/>
      <c r="N22" s="279"/>
      <c r="O22" s="279"/>
      <c r="P22" s="279"/>
      <c r="Q22" s="279"/>
      <c r="R22" s="279"/>
      <c r="S22" s="279"/>
      <c r="T22" s="279"/>
      <c r="U22" s="279"/>
      <c r="V22" s="279"/>
      <c r="W22" s="279"/>
      <c r="X22" s="279"/>
      <c r="Y22" s="279"/>
      <c r="Z22" s="279"/>
      <c r="AA22" s="279"/>
      <c r="AB22" s="279"/>
      <c r="AC22" s="279"/>
      <c r="AD22" s="279"/>
      <c r="AE22" s="279"/>
      <c r="AF22" s="279"/>
      <c r="AG22" s="279"/>
      <c r="AH22" s="279"/>
      <c r="AI22" s="281"/>
      <c r="AJ22" s="63"/>
      <c r="AK22" s="295"/>
      <c r="AL22" s="63"/>
      <c r="AM22" s="63"/>
      <c r="AN22" s="63"/>
      <c r="AO22" s="63"/>
      <c r="AP22" s="63"/>
      <c r="AQ22" s="63"/>
      <c r="AR22" s="63"/>
      <c r="AS22" s="63"/>
      <c r="AT22" s="63"/>
      <c r="AU22" s="63"/>
      <c r="AV22" s="63"/>
      <c r="AW22" s="63"/>
      <c r="AX22" s="63"/>
      <c r="AY22" s="63"/>
      <c r="AZ22" s="63"/>
      <c r="BA22" s="63"/>
      <c r="BB22" s="63"/>
      <c r="BC22" s="63"/>
      <c r="BD22" s="63"/>
      <c r="BE22" s="63"/>
      <c r="BF22" s="63"/>
      <c r="BG22" s="63"/>
      <c r="BH22" s="63"/>
      <c r="BI22" s="63"/>
      <c r="BJ22" s="63"/>
      <c r="BK22" s="63"/>
      <c r="BL22" s="63"/>
      <c r="BM22" s="298">
        <v>11</v>
      </c>
    </row>
    <row r="23" ht="15" customHeight="1">
      <c r="D23" s="313" t="s">
        <v>89</v>
      </c>
      <c r="E23" s="314" t="s">
        <v>287</v>
      </c>
      <c r="F23" s="314" t="s">
        <v>290</v>
      </c>
      <c r="G23" s="315" t="s">
        <v>19</v>
      </c>
      <c r="H23" s="316"/>
      <c r="I23" s="317"/>
      <c r="J23" s="260"/>
      <c r="K23" s="260"/>
      <c r="L23" s="261"/>
      <c r="M23" s="261"/>
      <c r="N23" s="318"/>
      <c r="O23" s="261"/>
      <c r="P23" s="260"/>
      <c r="Q23" s="260"/>
      <c r="R23" s="261"/>
      <c r="S23" s="261"/>
      <c r="T23" s="319"/>
      <c r="U23" s="261"/>
      <c r="V23" s="260"/>
      <c r="W23" s="261"/>
      <c r="X23" s="261"/>
      <c r="Y23" s="261"/>
      <c r="Z23" s="318"/>
      <c r="AA23" s="261"/>
      <c r="AB23" s="260"/>
      <c r="AC23" s="320"/>
      <c r="AD23" s="261"/>
      <c r="AE23" s="261"/>
      <c r="AF23" s="261"/>
      <c r="AG23" s="261"/>
      <c r="AH23" s="318"/>
      <c r="AI23" s="264"/>
      <c r="AJ23" s="63"/>
      <c r="AK23" s="295" t="s">
        <v>97</v>
      </c>
      <c r="BM23" s="63">
        <v>14</v>
      </c>
    </row>
    <row r="24" ht="14.65" customHeight="1">
      <c r="D24" s="313"/>
      <c r="E24" s="314"/>
      <c r="F24" s="314"/>
      <c r="G24" s="321"/>
      <c r="H24" s="322"/>
      <c r="I24" s="323"/>
      <c r="J24" s="269"/>
      <c r="K24" s="86"/>
      <c r="L24" s="126"/>
      <c r="M24" s="126"/>
      <c r="N24" s="60"/>
      <c r="O24" s="126"/>
      <c r="P24" s="269"/>
      <c r="Q24" s="269"/>
      <c r="R24" s="126"/>
      <c r="S24" s="126"/>
      <c r="T24" s="324"/>
      <c r="U24" s="126"/>
      <c r="V24" s="269"/>
      <c r="W24" s="126"/>
      <c r="X24" s="126"/>
      <c r="Y24" s="126"/>
      <c r="Z24" s="60"/>
      <c r="AA24" s="126"/>
      <c r="AB24" s="269"/>
      <c r="AC24" s="86"/>
      <c r="AD24" s="126"/>
      <c r="AE24" s="126"/>
      <c r="AF24" s="272"/>
      <c r="AG24" s="272"/>
      <c r="AH24" s="272"/>
      <c r="AI24" s="273"/>
      <c r="AJ24" s="63"/>
      <c r="BM24" s="63">
        <v>14</v>
      </c>
    </row>
    <row r="25" ht="14.65" customHeight="1">
      <c r="D25" s="313"/>
      <c r="E25" s="314"/>
      <c r="F25" s="314"/>
      <c r="G25" s="321"/>
      <c r="H25" s="322"/>
      <c r="I25" s="323"/>
      <c r="J25" s="269"/>
      <c r="K25" s="86"/>
      <c r="L25" s="126"/>
      <c r="M25" s="126"/>
      <c r="N25" s="60"/>
      <c r="O25" s="126"/>
      <c r="P25" s="269"/>
      <c r="Q25" s="269"/>
      <c r="R25" s="126"/>
      <c r="S25" s="126"/>
      <c r="T25" s="324"/>
      <c r="U25" s="126"/>
      <c r="V25" s="269"/>
      <c r="W25" s="126"/>
      <c r="X25" s="126"/>
      <c r="Y25" s="126"/>
      <c r="Z25" s="126"/>
      <c r="AA25" s="272"/>
      <c r="AB25" s="272"/>
      <c r="AC25" s="272"/>
      <c r="AD25" s="272"/>
      <c r="AE25" s="272"/>
      <c r="AF25" s="272"/>
      <c r="AG25" s="272"/>
      <c r="AH25" s="272"/>
      <c r="AI25" s="273"/>
      <c r="AJ25" s="63"/>
      <c r="BM25" s="63">
        <v>14</v>
      </c>
    </row>
    <row r="26" ht="14.65" customHeight="1">
      <c r="D26" s="313"/>
      <c r="E26" s="314"/>
      <c r="F26" s="314"/>
      <c r="G26" s="321"/>
      <c r="H26" s="322"/>
      <c r="I26" s="323"/>
      <c r="J26" s="269"/>
      <c r="K26" s="86"/>
      <c r="L26" s="126"/>
      <c r="M26" s="126"/>
      <c r="N26" s="60"/>
      <c r="O26" s="126"/>
      <c r="P26" s="269"/>
      <c r="Q26" s="269"/>
      <c r="R26" s="126"/>
      <c r="S26" s="126"/>
      <c r="T26" s="325"/>
      <c r="U26" s="326"/>
      <c r="V26" s="272"/>
      <c r="W26" s="272"/>
      <c r="X26" s="272"/>
      <c r="Y26" s="272"/>
      <c r="Z26" s="272"/>
      <c r="AA26" s="272"/>
      <c r="AB26" s="272"/>
      <c r="AC26" s="272"/>
      <c r="AD26" s="272"/>
      <c r="AE26" s="272"/>
      <c r="AF26" s="272"/>
      <c r="AG26" s="272"/>
      <c r="AH26" s="272"/>
      <c r="AI26" s="273"/>
      <c r="AJ26" s="63"/>
      <c r="BM26" s="63">
        <v>14</v>
      </c>
    </row>
    <row r="27" ht="11.5" customHeight="1">
      <c r="D27" s="313"/>
      <c r="E27" s="314"/>
      <c r="F27" s="314"/>
      <c r="G27" s="321"/>
      <c r="H27" s="327"/>
      <c r="I27" s="323"/>
      <c r="J27" s="269"/>
      <c r="K27" s="86"/>
      <c r="L27" s="126"/>
      <c r="M27" s="126"/>
      <c r="N27" s="272"/>
      <c r="O27" s="272"/>
      <c r="P27" s="272"/>
      <c r="Q27" s="272"/>
      <c r="R27" s="272"/>
      <c r="S27" s="272"/>
      <c r="T27" s="272"/>
      <c r="U27" s="272"/>
      <c r="V27" s="272"/>
      <c r="W27" s="272"/>
      <c r="X27" s="272"/>
      <c r="Y27" s="272"/>
      <c r="Z27" s="272"/>
      <c r="AA27" s="272"/>
      <c r="AB27" s="272"/>
      <c r="AC27" s="272"/>
      <c r="AD27" s="272"/>
      <c r="AE27" s="272"/>
      <c r="AF27" s="272"/>
      <c r="AG27" s="272"/>
      <c r="AH27" s="272"/>
      <c r="AI27" s="273"/>
      <c r="AJ27" s="63"/>
      <c r="BM27" s="63">
        <v>11</v>
      </c>
    </row>
    <row r="28" s="298" customFormat="1" ht="11.5" customHeight="1">
      <c r="D28" s="328"/>
      <c r="E28" s="329"/>
      <c r="F28" s="330"/>
      <c r="G28" s="221"/>
      <c r="H28" s="331"/>
      <c r="I28" s="332"/>
      <c r="J28" s="279"/>
      <c r="K28" s="279"/>
      <c r="L28" s="279"/>
      <c r="M28" s="279"/>
      <c r="N28" s="279"/>
      <c r="O28" s="279"/>
      <c r="P28" s="279"/>
      <c r="Q28" s="279"/>
      <c r="R28" s="279"/>
      <c r="S28" s="279"/>
      <c r="T28" s="279"/>
      <c r="U28" s="279"/>
      <c r="V28" s="279"/>
      <c r="W28" s="279"/>
      <c r="X28" s="279"/>
      <c r="Y28" s="279"/>
      <c r="Z28" s="279"/>
      <c r="AA28" s="279"/>
      <c r="AB28" s="279"/>
      <c r="AC28" s="279"/>
      <c r="AD28" s="279"/>
      <c r="AE28" s="279"/>
      <c r="AF28" s="279"/>
      <c r="AG28" s="279"/>
      <c r="AH28" s="279"/>
      <c r="AI28" s="281"/>
      <c r="AJ28" s="63"/>
      <c r="AK28" s="295"/>
      <c r="AL28" s="63"/>
      <c r="AM28" s="63"/>
      <c r="AN28" s="63"/>
      <c r="AO28" s="63"/>
      <c r="AP28" s="63"/>
      <c r="AQ28" s="63"/>
      <c r="AR28" s="63"/>
      <c r="AS28" s="63"/>
      <c r="AT28" s="63"/>
      <c r="AU28" s="63"/>
      <c r="AV28" s="63"/>
      <c r="AW28" s="63"/>
      <c r="AX28" s="63"/>
      <c r="AY28" s="63"/>
      <c r="AZ28" s="63"/>
      <c r="BA28" s="63"/>
      <c r="BB28" s="63"/>
      <c r="BC28" s="63"/>
      <c r="BD28" s="63"/>
      <c r="BE28" s="63"/>
      <c r="BF28" s="63"/>
      <c r="BG28" s="63"/>
      <c r="BH28" s="63"/>
      <c r="BI28" s="63"/>
      <c r="BJ28" s="63"/>
      <c r="BK28" s="63"/>
      <c r="BL28" s="63"/>
      <c r="BM28" s="298">
        <v>11</v>
      </c>
    </row>
    <row r="29" ht="15" customHeight="1">
      <c r="D29" s="313" t="s">
        <v>90</v>
      </c>
      <c r="E29" s="314" t="s">
        <v>287</v>
      </c>
      <c r="F29" s="314" t="s">
        <v>291</v>
      </c>
      <c r="G29" s="315" t="s">
        <v>19</v>
      </c>
      <c r="H29" s="316"/>
      <c r="I29" s="317"/>
      <c r="J29" s="260"/>
      <c r="K29" s="260"/>
      <c r="L29" s="261"/>
      <c r="M29" s="261"/>
      <c r="N29" s="318"/>
      <c r="O29" s="261"/>
      <c r="P29" s="260"/>
      <c r="Q29" s="260"/>
      <c r="R29" s="261"/>
      <c r="S29" s="261"/>
      <c r="T29" s="319"/>
      <c r="U29" s="261"/>
      <c r="V29" s="260"/>
      <c r="W29" s="261"/>
      <c r="X29" s="261"/>
      <c r="Y29" s="261"/>
      <c r="Z29" s="318"/>
      <c r="AA29" s="261"/>
      <c r="AB29" s="260"/>
      <c r="AC29" s="320"/>
      <c r="AD29" s="261"/>
      <c r="AE29" s="261"/>
      <c r="AF29" s="261"/>
      <c r="AG29" s="261"/>
      <c r="AH29" s="318"/>
      <c r="AI29" s="264"/>
      <c r="AJ29" s="63"/>
      <c r="BM29" s="63">
        <v>14</v>
      </c>
    </row>
    <row r="30" ht="14.65" customHeight="1">
      <c r="D30" s="313"/>
      <c r="E30" s="314"/>
      <c r="F30" s="314"/>
      <c r="G30" s="321"/>
      <c r="H30" s="322"/>
      <c r="I30" s="323"/>
      <c r="J30" s="269"/>
      <c r="K30" s="86"/>
      <c r="L30" s="126"/>
      <c r="M30" s="126"/>
      <c r="N30" s="60"/>
      <c r="O30" s="126"/>
      <c r="P30" s="269"/>
      <c r="Q30" s="269"/>
      <c r="R30" s="126"/>
      <c r="S30" s="126"/>
      <c r="T30" s="324"/>
      <c r="U30" s="126"/>
      <c r="V30" s="269"/>
      <c r="W30" s="126"/>
      <c r="X30" s="126"/>
      <c r="Y30" s="126"/>
      <c r="Z30" s="60"/>
      <c r="AA30" s="126"/>
      <c r="AB30" s="269"/>
      <c r="AC30" s="86"/>
      <c r="AD30" s="126"/>
      <c r="AE30" s="126"/>
      <c r="AF30" s="272"/>
      <c r="AG30" s="272"/>
      <c r="AH30" s="272"/>
      <c r="AI30" s="273"/>
      <c r="AJ30" s="63"/>
      <c r="BM30" s="63">
        <v>14</v>
      </c>
    </row>
    <row r="31" ht="14.65" customHeight="1">
      <c r="D31" s="313"/>
      <c r="E31" s="314"/>
      <c r="F31" s="314"/>
      <c r="G31" s="321"/>
      <c r="H31" s="322"/>
      <c r="I31" s="323"/>
      <c r="J31" s="269"/>
      <c r="K31" s="86"/>
      <c r="L31" s="126"/>
      <c r="M31" s="126"/>
      <c r="N31" s="60"/>
      <c r="O31" s="126"/>
      <c r="P31" s="269"/>
      <c r="Q31" s="269"/>
      <c r="R31" s="126"/>
      <c r="S31" s="126"/>
      <c r="T31" s="324"/>
      <c r="U31" s="126"/>
      <c r="V31" s="269"/>
      <c r="W31" s="126"/>
      <c r="X31" s="126"/>
      <c r="Y31" s="126"/>
      <c r="Z31" s="126"/>
      <c r="AA31" s="272"/>
      <c r="AB31" s="272"/>
      <c r="AC31" s="272"/>
      <c r="AD31" s="272"/>
      <c r="AE31" s="272"/>
      <c r="AF31" s="272"/>
      <c r="AG31" s="272"/>
      <c r="AH31" s="272"/>
      <c r="AI31" s="273"/>
      <c r="AJ31" s="63"/>
      <c r="BM31" s="63">
        <v>14</v>
      </c>
    </row>
    <row r="32" ht="14.65" customHeight="1">
      <c r="D32" s="313"/>
      <c r="E32" s="314"/>
      <c r="F32" s="314"/>
      <c r="G32" s="321"/>
      <c r="H32" s="322"/>
      <c r="I32" s="323"/>
      <c r="J32" s="269"/>
      <c r="K32" s="86"/>
      <c r="L32" s="126"/>
      <c r="M32" s="126"/>
      <c r="N32" s="60"/>
      <c r="O32" s="126"/>
      <c r="P32" s="269"/>
      <c r="Q32" s="269"/>
      <c r="R32" s="126"/>
      <c r="S32" s="126"/>
      <c r="T32" s="325"/>
      <c r="U32" s="326"/>
      <c r="V32" s="272"/>
      <c r="W32" s="272"/>
      <c r="X32" s="272"/>
      <c r="Y32" s="272"/>
      <c r="Z32" s="272"/>
      <c r="AA32" s="272"/>
      <c r="AB32" s="272"/>
      <c r="AC32" s="272"/>
      <c r="AD32" s="272"/>
      <c r="AE32" s="272"/>
      <c r="AF32" s="272"/>
      <c r="AG32" s="272"/>
      <c r="AH32" s="272"/>
      <c r="AI32" s="273"/>
      <c r="AJ32" s="63"/>
      <c r="BM32" s="63">
        <v>14</v>
      </c>
    </row>
    <row r="33" ht="11.5" customHeight="1">
      <c r="D33" s="313"/>
      <c r="E33" s="314"/>
      <c r="F33" s="314"/>
      <c r="G33" s="321"/>
      <c r="H33" s="327"/>
      <c r="I33" s="323"/>
      <c r="J33" s="269"/>
      <c r="K33" s="86"/>
      <c r="L33" s="126"/>
      <c r="M33" s="126"/>
      <c r="N33" s="272"/>
      <c r="O33" s="272"/>
      <c r="P33" s="272"/>
      <c r="Q33" s="272"/>
      <c r="R33" s="272"/>
      <c r="S33" s="272"/>
      <c r="T33" s="272"/>
      <c r="U33" s="272"/>
      <c r="V33" s="272"/>
      <c r="W33" s="272"/>
      <c r="X33" s="272"/>
      <c r="Y33" s="272"/>
      <c r="Z33" s="272"/>
      <c r="AA33" s="272"/>
      <c r="AB33" s="272"/>
      <c r="AC33" s="272"/>
      <c r="AD33" s="272"/>
      <c r="AE33" s="272"/>
      <c r="AF33" s="272"/>
      <c r="AG33" s="272"/>
      <c r="AH33" s="272"/>
      <c r="AI33" s="273"/>
      <c r="AJ33" s="63"/>
      <c r="BM33" s="63">
        <v>11</v>
      </c>
    </row>
    <row r="34" s="298" customFormat="1" ht="11.5" customHeight="1">
      <c r="D34" s="328"/>
      <c r="E34" s="329"/>
      <c r="F34" s="330"/>
      <c r="G34" s="221"/>
      <c r="H34" s="331"/>
      <c r="I34" s="332"/>
      <c r="J34" s="279"/>
      <c r="K34" s="279"/>
      <c r="L34" s="279"/>
      <c r="M34" s="279"/>
      <c r="N34" s="279"/>
      <c r="O34" s="279"/>
      <c r="P34" s="279"/>
      <c r="Q34" s="279"/>
      <c r="R34" s="279"/>
      <c r="S34" s="279"/>
      <c r="T34" s="279"/>
      <c r="U34" s="279"/>
      <c r="V34" s="279"/>
      <c r="W34" s="279"/>
      <c r="X34" s="279"/>
      <c r="Y34" s="279"/>
      <c r="Z34" s="279"/>
      <c r="AA34" s="279"/>
      <c r="AB34" s="279"/>
      <c r="AC34" s="279"/>
      <c r="AD34" s="279"/>
      <c r="AE34" s="279"/>
      <c r="AF34" s="279"/>
      <c r="AG34" s="279"/>
      <c r="AH34" s="279"/>
      <c r="AI34" s="281"/>
      <c r="AJ34" s="63"/>
      <c r="AK34" s="295"/>
      <c r="AL34" s="63"/>
      <c r="AM34" s="63"/>
      <c r="AN34" s="63"/>
      <c r="AO34" s="63"/>
      <c r="AP34" s="63"/>
      <c r="AQ34" s="63"/>
      <c r="AR34" s="63"/>
      <c r="AS34" s="63"/>
      <c r="AT34" s="63"/>
      <c r="AU34" s="63"/>
      <c r="AV34" s="63"/>
      <c r="AW34" s="63"/>
      <c r="AX34" s="63"/>
      <c r="AY34" s="63"/>
      <c r="AZ34" s="63"/>
      <c r="BA34" s="63"/>
      <c r="BB34" s="63"/>
      <c r="BC34" s="63"/>
      <c r="BD34" s="63"/>
      <c r="BE34" s="63"/>
      <c r="BF34" s="63"/>
      <c r="BG34" s="63"/>
      <c r="BH34" s="63"/>
      <c r="BI34" s="63"/>
      <c r="BJ34" s="63"/>
      <c r="BK34" s="63"/>
      <c r="BL34" s="63"/>
      <c r="BM34" s="298">
        <v>11</v>
      </c>
    </row>
    <row r="35" ht="15" customHeight="1">
      <c r="D35" s="313" t="s">
        <v>107</v>
      </c>
      <c r="E35" s="314" t="s">
        <v>287</v>
      </c>
      <c r="F35" s="314" t="s">
        <v>292</v>
      </c>
      <c r="G35" s="315" t="s">
        <v>19</v>
      </c>
      <c r="H35" s="316"/>
      <c r="I35" s="317"/>
      <c r="J35" s="260"/>
      <c r="K35" s="260"/>
      <c r="L35" s="261"/>
      <c r="M35" s="261"/>
      <c r="N35" s="318"/>
      <c r="O35" s="261"/>
      <c r="P35" s="260"/>
      <c r="Q35" s="260"/>
      <c r="R35" s="261"/>
      <c r="S35" s="261"/>
      <c r="T35" s="319"/>
      <c r="U35" s="261"/>
      <c r="V35" s="260"/>
      <c r="W35" s="261"/>
      <c r="X35" s="261"/>
      <c r="Y35" s="261"/>
      <c r="Z35" s="318"/>
      <c r="AA35" s="261"/>
      <c r="AB35" s="260"/>
      <c r="AC35" s="320"/>
      <c r="AD35" s="261"/>
      <c r="AE35" s="261"/>
      <c r="AF35" s="261"/>
      <c r="AG35" s="261"/>
      <c r="AH35" s="318"/>
      <c r="AI35" s="264"/>
      <c r="AJ35" s="63"/>
      <c r="BM35" s="63">
        <v>14</v>
      </c>
    </row>
    <row r="36" ht="14.65" customHeight="1">
      <c r="D36" s="313"/>
      <c r="E36" s="314"/>
      <c r="F36" s="314"/>
      <c r="G36" s="321"/>
      <c r="H36" s="322"/>
      <c r="I36" s="323"/>
      <c r="J36" s="269"/>
      <c r="K36" s="86"/>
      <c r="L36" s="126"/>
      <c r="M36" s="126"/>
      <c r="N36" s="60"/>
      <c r="O36" s="126"/>
      <c r="P36" s="269"/>
      <c r="Q36" s="269"/>
      <c r="R36" s="126"/>
      <c r="S36" s="126"/>
      <c r="T36" s="324"/>
      <c r="U36" s="126"/>
      <c r="V36" s="269"/>
      <c r="W36" s="126"/>
      <c r="X36" s="126"/>
      <c r="Y36" s="126"/>
      <c r="Z36" s="60"/>
      <c r="AA36" s="126"/>
      <c r="AB36" s="269"/>
      <c r="AC36" s="86"/>
      <c r="AD36" s="126"/>
      <c r="AE36" s="126"/>
      <c r="AF36" s="272"/>
      <c r="AG36" s="272"/>
      <c r="AH36" s="272"/>
      <c r="AI36" s="273"/>
      <c r="AJ36" s="63"/>
      <c r="BM36" s="63">
        <v>14</v>
      </c>
    </row>
    <row r="37" ht="14.65" customHeight="1">
      <c r="D37" s="313"/>
      <c r="E37" s="314"/>
      <c r="F37" s="314"/>
      <c r="G37" s="321"/>
      <c r="H37" s="322"/>
      <c r="I37" s="323"/>
      <c r="J37" s="269"/>
      <c r="K37" s="86"/>
      <c r="L37" s="126"/>
      <c r="M37" s="126"/>
      <c r="N37" s="60"/>
      <c r="O37" s="126"/>
      <c r="P37" s="269"/>
      <c r="Q37" s="269"/>
      <c r="R37" s="126"/>
      <c r="S37" s="126"/>
      <c r="T37" s="324"/>
      <c r="U37" s="126"/>
      <c r="V37" s="269"/>
      <c r="W37" s="126"/>
      <c r="X37" s="126"/>
      <c r="Y37" s="126"/>
      <c r="Z37" s="126"/>
      <c r="AA37" s="272"/>
      <c r="AB37" s="272"/>
      <c r="AC37" s="272"/>
      <c r="AD37" s="272"/>
      <c r="AE37" s="272"/>
      <c r="AF37" s="272"/>
      <c r="AG37" s="272"/>
      <c r="AH37" s="272"/>
      <c r="AI37" s="273"/>
      <c r="AJ37" s="63"/>
      <c r="BM37" s="63">
        <v>14</v>
      </c>
    </row>
    <row r="38" ht="14.65" customHeight="1">
      <c r="D38" s="313"/>
      <c r="E38" s="314"/>
      <c r="F38" s="314"/>
      <c r="G38" s="321"/>
      <c r="H38" s="322"/>
      <c r="I38" s="323"/>
      <c r="J38" s="269"/>
      <c r="K38" s="86"/>
      <c r="L38" s="126"/>
      <c r="M38" s="126"/>
      <c r="N38" s="60"/>
      <c r="O38" s="126"/>
      <c r="P38" s="269"/>
      <c r="Q38" s="269"/>
      <c r="R38" s="126"/>
      <c r="S38" s="126"/>
      <c r="T38" s="325"/>
      <c r="U38" s="326"/>
      <c r="V38" s="272"/>
      <c r="W38" s="272"/>
      <c r="X38" s="272"/>
      <c r="Y38" s="272"/>
      <c r="Z38" s="272"/>
      <c r="AA38" s="272"/>
      <c r="AB38" s="272"/>
      <c r="AC38" s="272"/>
      <c r="AD38" s="272"/>
      <c r="AE38" s="272"/>
      <c r="AF38" s="272"/>
      <c r="AG38" s="272"/>
      <c r="AH38" s="272"/>
      <c r="AI38" s="273"/>
      <c r="AJ38" s="63"/>
      <c r="BM38" s="63">
        <v>14</v>
      </c>
    </row>
    <row r="39" ht="11.5" customHeight="1">
      <c r="D39" s="313"/>
      <c r="E39" s="314"/>
      <c r="F39" s="314"/>
      <c r="G39" s="321"/>
      <c r="H39" s="327"/>
      <c r="I39" s="323"/>
      <c r="J39" s="269"/>
      <c r="K39" s="86"/>
      <c r="L39" s="126"/>
      <c r="M39" s="126"/>
      <c r="N39" s="272"/>
      <c r="O39" s="272"/>
      <c r="P39" s="272"/>
      <c r="Q39" s="272"/>
      <c r="R39" s="272"/>
      <c r="S39" s="272"/>
      <c r="T39" s="272"/>
      <c r="U39" s="272"/>
      <c r="V39" s="272"/>
      <c r="W39" s="272"/>
      <c r="X39" s="272"/>
      <c r="Y39" s="272"/>
      <c r="Z39" s="272"/>
      <c r="AA39" s="272"/>
      <c r="AB39" s="272"/>
      <c r="AC39" s="272"/>
      <c r="AD39" s="272"/>
      <c r="AE39" s="272"/>
      <c r="AF39" s="272"/>
      <c r="AG39" s="272"/>
      <c r="AH39" s="272"/>
      <c r="AI39" s="273"/>
      <c r="AJ39" s="63"/>
      <c r="BM39" s="63">
        <v>11</v>
      </c>
    </row>
    <row r="40" s="298" customFormat="1" ht="11.5" customHeight="1">
      <c r="D40" s="313"/>
      <c r="E40" s="314"/>
      <c r="F40" s="333"/>
      <c r="G40" s="221"/>
      <c r="H40" s="331"/>
      <c r="I40" s="332"/>
      <c r="J40" s="279"/>
      <c r="K40" s="279"/>
      <c r="L40" s="279"/>
      <c r="M40" s="279"/>
      <c r="N40" s="279"/>
      <c r="O40" s="279"/>
      <c r="P40" s="279"/>
      <c r="Q40" s="279"/>
      <c r="R40" s="279"/>
      <c r="S40" s="279"/>
      <c r="T40" s="279"/>
      <c r="U40" s="279"/>
      <c r="V40" s="279"/>
      <c r="W40" s="279"/>
      <c r="X40" s="279"/>
      <c r="Y40" s="279"/>
      <c r="Z40" s="279"/>
      <c r="AA40" s="279"/>
      <c r="AB40" s="279"/>
      <c r="AC40" s="279"/>
      <c r="AD40" s="279"/>
      <c r="AE40" s="279"/>
      <c r="AF40" s="279"/>
      <c r="AG40" s="279"/>
      <c r="AH40" s="279"/>
      <c r="AI40" s="281"/>
      <c r="AJ40" s="63"/>
      <c r="AK40" s="295"/>
      <c r="AL40" s="63"/>
      <c r="AM40" s="63"/>
      <c r="AN40" s="63"/>
      <c r="AO40" s="63"/>
      <c r="AP40" s="63"/>
      <c r="AQ40" s="63"/>
      <c r="AR40" s="63"/>
      <c r="AS40" s="63"/>
      <c r="AT40" s="63"/>
      <c r="AU40" s="63"/>
      <c r="AV40" s="63"/>
      <c r="AW40" s="63"/>
      <c r="AX40" s="63"/>
      <c r="AY40" s="63"/>
      <c r="AZ40" s="63"/>
      <c r="BA40" s="63"/>
      <c r="BB40" s="63"/>
      <c r="BC40" s="63"/>
      <c r="BD40" s="63"/>
      <c r="BE40" s="63"/>
      <c r="BF40" s="63"/>
      <c r="BG40" s="63"/>
      <c r="BH40" s="63"/>
      <c r="BI40" s="63"/>
      <c r="BJ40" s="63"/>
      <c r="BK40" s="63"/>
      <c r="BL40" s="63"/>
      <c r="BM40" s="298">
        <v>11</v>
      </c>
    </row>
    <row r="41" ht="11.5" customHeight="1">
      <c r="AK41" s="63"/>
      <c r="BM41" s="63">
        <v>11</v>
      </c>
    </row>
    <row r="42" ht="11.5" customHeight="1">
      <c r="AK42" s="63"/>
      <c r="BM42" s="63">
        <v>11</v>
      </c>
    </row>
    <row r="43" ht="11.5" customHeight="1">
      <c r="AK43" s="63"/>
      <c r="BM43" s="63">
        <v>11</v>
      </c>
    </row>
    <row r="44" ht="11.5" customHeight="1">
      <c r="AK44" s="63"/>
      <c r="BM44" s="63">
        <v>11</v>
      </c>
    </row>
    <row r="45" ht="11.5" customHeight="1">
      <c r="AK45" s="63"/>
      <c r="BM45" s="63">
        <v>11</v>
      </c>
    </row>
    <row r="46" ht="11.5" customHeight="1">
      <c r="AK46" s="63"/>
      <c r="BM46" s="63">
        <v>11</v>
      </c>
    </row>
    <row r="47" ht="11.5" customHeight="1">
      <c r="AK47" s="63"/>
      <c r="BM47" s="63">
        <v>11</v>
      </c>
    </row>
    <row r="48" ht="11.5" customHeight="1">
      <c r="AK48" s="63"/>
      <c r="BM48" s="63">
        <v>11</v>
      </c>
    </row>
    <row r="49" ht="11.5" customHeight="1">
      <c r="AK49" s="63"/>
      <c r="BM49" s="63">
        <v>11</v>
      </c>
    </row>
    <row r="50" ht="11.25" hidden="1" customHeight="1">
      <c r="A50" s="63" t="s">
        <v>81</v>
      </c>
      <c r="B50" s="63">
        <v>0</v>
      </c>
      <c r="C50" s="63">
        <v>3</v>
      </c>
      <c r="D50" s="63">
        <v>3</v>
      </c>
      <c r="E50" s="63">
        <v>15</v>
      </c>
      <c r="F50" s="63">
        <v>15</v>
      </c>
      <c r="G50" s="63">
        <v>11</v>
      </c>
      <c r="H50" s="63">
        <v>3</v>
      </c>
      <c r="I50" s="63">
        <v>3</v>
      </c>
      <c r="J50" s="63">
        <v>12</v>
      </c>
      <c r="K50" s="63">
        <v>0</v>
      </c>
      <c r="L50" s="63">
        <v>10</v>
      </c>
      <c r="M50" s="63">
        <v>10</v>
      </c>
      <c r="N50" s="63">
        <v>3</v>
      </c>
      <c r="O50" s="63">
        <v>3</v>
      </c>
      <c r="P50" s="63">
        <v>19</v>
      </c>
      <c r="Q50" s="63">
        <v>0</v>
      </c>
      <c r="R50" s="63">
        <v>10</v>
      </c>
      <c r="S50" s="63">
        <v>10</v>
      </c>
      <c r="T50" s="63">
        <v>3</v>
      </c>
      <c r="U50" s="63">
        <v>3</v>
      </c>
      <c r="V50" s="63">
        <v>25</v>
      </c>
      <c r="W50" s="63">
        <v>0</v>
      </c>
      <c r="X50" s="63">
        <v>10</v>
      </c>
      <c r="Y50" s="63">
        <v>10</v>
      </c>
      <c r="Z50" s="63">
        <v>3</v>
      </c>
      <c r="AA50" s="63">
        <v>3</v>
      </c>
      <c r="AB50" s="63">
        <v>16</v>
      </c>
      <c r="AC50" s="63">
        <v>0</v>
      </c>
      <c r="AD50" s="63">
        <v>10</v>
      </c>
      <c r="AE50" s="63">
        <v>10</v>
      </c>
      <c r="AF50" s="63">
        <v>3</v>
      </c>
      <c r="AG50" s="63">
        <v>3</v>
      </c>
      <c r="AH50" s="63">
        <v>8</v>
      </c>
      <c r="AI50" s="63">
        <v>21</v>
      </c>
      <c r="AJ50" s="63">
        <v>8</v>
      </c>
      <c r="AK50" s="295">
        <v>8</v>
      </c>
      <c r="AL50" s="63">
        <v>8</v>
      </c>
      <c r="AM50" s="63">
        <v>8</v>
      </c>
      <c r="AN50" s="63">
        <v>8</v>
      </c>
      <c r="AO50" s="63">
        <v>8</v>
      </c>
      <c r="AP50" s="63">
        <v>8</v>
      </c>
      <c r="AQ50" s="63">
        <v>8</v>
      </c>
      <c r="AR50" s="63">
        <v>8</v>
      </c>
      <c r="AS50" s="63">
        <v>8</v>
      </c>
      <c r="AT50" s="63">
        <v>8</v>
      </c>
      <c r="AU50" s="63">
        <v>8</v>
      </c>
      <c r="AV50" s="63">
        <v>8</v>
      </c>
      <c r="AW50" s="63">
        <v>8</v>
      </c>
      <c r="AX50" s="63">
        <v>8</v>
      </c>
      <c r="AY50" s="63">
        <v>8</v>
      </c>
      <c r="AZ50" s="63">
        <v>8</v>
      </c>
      <c r="BA50" s="63">
        <v>8</v>
      </c>
      <c r="BB50" s="63">
        <v>8</v>
      </c>
      <c r="BC50" s="63">
        <v>8</v>
      </c>
      <c r="BD50" s="63">
        <v>8</v>
      </c>
      <c r="BE50" s="63">
        <v>8</v>
      </c>
      <c r="BF50" s="63">
        <v>8</v>
      </c>
      <c r="BG50" s="63">
        <v>8</v>
      </c>
      <c r="BH50" s="63">
        <v>8</v>
      </c>
      <c r="BI50" s="63">
        <v>8</v>
      </c>
      <c r="BJ50" s="63">
        <v>8</v>
      </c>
      <c r="BK50" s="63">
        <v>8</v>
      </c>
      <c r="BL50" s="63">
        <v>8</v>
      </c>
      <c r="BM50" s="63">
        <v>11</v>
      </c>
    </row>
  </sheetData>
  <sheetProtection autoFilter="0" deleteColumns="1" deleteRows="1" formatCells="1" formatColumns="0" formatRows="0" insertColumns="1" insertHyperlinks="1" insertRows="1" objects="0" pivotTables="1" scenarios="0" selectLockedCells="0" selectUnlockedCells="0" sheet="1" sort="1"/>
  <mergeCells count="151">
    <mergeCell ref="D4:J4"/>
    <mergeCell ref="D5:J5"/>
    <mergeCell ref="D8:D10"/>
    <mergeCell ref="E8:E10"/>
    <mergeCell ref="F8:G8"/>
    <mergeCell ref="H8:I10"/>
    <mergeCell ref="J8:J10"/>
    <mergeCell ref="L8:P8"/>
    <mergeCell ref="R8:V8"/>
    <mergeCell ref="X8:AB8"/>
    <mergeCell ref="AD8:AH8"/>
    <mergeCell ref="AI8:AI10"/>
    <mergeCell ref="F9:F10"/>
    <mergeCell ref="G9:G10"/>
    <mergeCell ref="L9:M9"/>
    <mergeCell ref="N9:O10"/>
    <mergeCell ref="P9:P10"/>
    <mergeCell ref="R9:S9"/>
    <mergeCell ref="T9:U10"/>
    <mergeCell ref="V9:V10"/>
    <mergeCell ref="X9:Y9"/>
    <mergeCell ref="Z9:AA10"/>
    <mergeCell ref="AB9:AB10"/>
    <mergeCell ref="AD9:AE9"/>
    <mergeCell ref="AF9:AG10"/>
    <mergeCell ref="AH9:AH10"/>
    <mergeCell ref="D11:D16"/>
    <mergeCell ref="E11:E16"/>
    <mergeCell ref="F11:F16"/>
    <mergeCell ref="G11:G16"/>
    <mergeCell ref="I11:I15"/>
    <mergeCell ref="J11:J15"/>
    <mergeCell ref="L11:L15"/>
    <mergeCell ref="M11:M15"/>
    <mergeCell ref="O11:O14"/>
    <mergeCell ref="P11:P14"/>
    <mergeCell ref="R11:R14"/>
    <mergeCell ref="S11:S14"/>
    <mergeCell ref="U11:U13"/>
    <mergeCell ref="V11:V13"/>
    <mergeCell ref="X11:X13"/>
    <mergeCell ref="Y11:Y13"/>
    <mergeCell ref="AA11:AA12"/>
    <mergeCell ref="AB11:AB12"/>
    <mergeCell ref="AD11:AD12"/>
    <mergeCell ref="AE11:AE12"/>
    <mergeCell ref="AH12:AI12"/>
    <mergeCell ref="AB13:AI13"/>
    <mergeCell ref="V14:AI14"/>
    <mergeCell ref="P15:AI15"/>
    <mergeCell ref="J16:AI16"/>
    <mergeCell ref="D17:D22"/>
    <mergeCell ref="E17:E22"/>
    <mergeCell ref="F17:F22"/>
    <mergeCell ref="G17:G22"/>
    <mergeCell ref="I17:I21"/>
    <mergeCell ref="J17:J21"/>
    <mergeCell ref="L17:L21"/>
    <mergeCell ref="M17:M21"/>
    <mergeCell ref="O17:O20"/>
    <mergeCell ref="P17:P20"/>
    <mergeCell ref="R17:R20"/>
    <mergeCell ref="S17:S20"/>
    <mergeCell ref="U17:U19"/>
    <mergeCell ref="V17:V19"/>
    <mergeCell ref="X17:X19"/>
    <mergeCell ref="Y17:Y19"/>
    <mergeCell ref="AA17:AA18"/>
    <mergeCell ref="AB17:AB18"/>
    <mergeCell ref="AD17:AD18"/>
    <mergeCell ref="AE17:AE18"/>
    <mergeCell ref="AH18:AI18"/>
    <mergeCell ref="AB19:AI19"/>
    <mergeCell ref="V20:AI20"/>
    <mergeCell ref="P21:AI21"/>
    <mergeCell ref="J22:AI22"/>
    <mergeCell ref="D23:D28"/>
    <mergeCell ref="E23:E28"/>
    <mergeCell ref="F23:F28"/>
    <mergeCell ref="G23:G28"/>
    <mergeCell ref="I23:I27"/>
    <mergeCell ref="J23:J27"/>
    <mergeCell ref="L23:L27"/>
    <mergeCell ref="M23:M27"/>
    <mergeCell ref="O23:O26"/>
    <mergeCell ref="P23:P26"/>
    <mergeCell ref="R23:R26"/>
    <mergeCell ref="S23:S26"/>
    <mergeCell ref="U23:U25"/>
    <mergeCell ref="V23:V25"/>
    <mergeCell ref="X23:X25"/>
    <mergeCell ref="Y23:Y25"/>
    <mergeCell ref="AA23:AA24"/>
    <mergeCell ref="AB23:AB24"/>
    <mergeCell ref="AD23:AD24"/>
    <mergeCell ref="AE23:AE24"/>
    <mergeCell ref="AH24:AI24"/>
    <mergeCell ref="AB25:AI25"/>
    <mergeCell ref="V26:AI26"/>
    <mergeCell ref="P27:AI27"/>
    <mergeCell ref="J28:AI28"/>
    <mergeCell ref="D29:D34"/>
    <mergeCell ref="E29:E34"/>
    <mergeCell ref="F29:F34"/>
    <mergeCell ref="G29:G34"/>
    <mergeCell ref="I29:I33"/>
    <mergeCell ref="J29:J33"/>
    <mergeCell ref="L29:L33"/>
    <mergeCell ref="M29:M33"/>
    <mergeCell ref="O29:O32"/>
    <mergeCell ref="P29:P32"/>
    <mergeCell ref="R29:R32"/>
    <mergeCell ref="S29:S32"/>
    <mergeCell ref="U29:U31"/>
    <mergeCell ref="V29:V31"/>
    <mergeCell ref="X29:X31"/>
    <mergeCell ref="Y29:Y31"/>
    <mergeCell ref="AA29:AA30"/>
    <mergeCell ref="AB29:AB30"/>
    <mergeCell ref="AD29:AD30"/>
    <mergeCell ref="AE29:AE30"/>
    <mergeCell ref="AH30:AI30"/>
    <mergeCell ref="AB31:AI31"/>
    <mergeCell ref="V32:AI32"/>
    <mergeCell ref="P33:AI33"/>
    <mergeCell ref="J34:AI34"/>
    <mergeCell ref="D35:D40"/>
    <mergeCell ref="E35:E40"/>
    <mergeCell ref="F35:F40"/>
    <mergeCell ref="G35:G40"/>
    <mergeCell ref="I35:I39"/>
    <mergeCell ref="J35:J39"/>
    <mergeCell ref="L35:L39"/>
    <mergeCell ref="M35:M39"/>
    <mergeCell ref="O35:O38"/>
    <mergeCell ref="P35:P38"/>
    <mergeCell ref="R35:R38"/>
    <mergeCell ref="S35:S38"/>
    <mergeCell ref="U35:U37"/>
    <mergeCell ref="V35:V37"/>
    <mergeCell ref="X35:X37"/>
    <mergeCell ref="Y35:Y37"/>
    <mergeCell ref="AA35:AA36"/>
    <mergeCell ref="AB35:AB36"/>
    <mergeCell ref="AD35:AD36"/>
    <mergeCell ref="AE35:AE36"/>
    <mergeCell ref="AH36:AI36"/>
    <mergeCell ref="AB37:AI37"/>
    <mergeCell ref="V38:AI38"/>
    <mergeCell ref="P39:AI39"/>
    <mergeCell ref="J40:AI40"/>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600025-000E-497D-B4B0-004D008D00BC}" type="textLength" allowBlank="1" error="Допускается ввод не более 900 символов!" errorStyle="stop" errorTitle="Ошибка" imeMode="noControl" operator="lessThanOrEqual" showDropDown="0" showErrorMessage="1" showInputMessage="1">
          <x14:formula1>
            <xm:f>900</xm:f>
          </x14:formula1>
          <xm:sqref>AI29 AI23 P17:P20 J23:J27 J29:J33 AI35 J35:J39 P35:P38 P29:P32 AI17 J17:J21 P23:P26 AI11 J11:J15 P11:P14</xm:sqref>
        </x14:dataValidation>
        <x14:dataValidation xr:uid="{00D300B6-0046-4F0B-AB42-00E3002600B4}" type="list" allowBlank="1" error="Выберите значение из списка" errorStyle="warning" errorTitle="Ошибка" imeMode="noControl" operator="between" prompt="Выберите значение из списка или укажите свой вид твердых коммунальных отходов" showDropDown="0" showErrorMessage="0" showInputMessage="1">
          <x14:formula1>
            <xm:f>list_typeTKO</xm:f>
          </x14:formula1>
          <xm:sqref>AC17 AC23 AC35 AC29 AC11</xm:sqref>
        </x14:dataValidation>
      </x14:dataValidations>
    </ext>
  </extLst>
</worksheet>
</file>

<file path=xl/worksheets/sheet6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31"/>
    <outlinePr applyStyles="0" summaryBelow="1" summaryRight="1" showOutlineSymbols="1"/>
    <pageSetUpPr autoPageBreaks="1" fitToPage="0"/>
  </sheetPr>
  <sheetViews>
    <sheetView showGridLines="0" topLeftCell="A1" zoomScale="90" workbookViewId="0">
      <selection activeCell="A1" activeCellId="0" sqref="A1"/>
    </sheetView>
  </sheetViews>
  <sheetFormatPr defaultColWidth="9.140625" defaultRowHeight="11.25" customHeight="1"/>
  <cols>
    <col customWidth="1" min="1" max="1" style="63" width="1.7109375"/>
    <col customWidth="1" min="2" max="2" style="63" width="34.57421875"/>
    <col customWidth="1" min="3" max="3" style="63" width="85.00390625"/>
    <col customWidth="1" min="4" max="4" style="63" width="17.00390625"/>
    <col customWidth="1" min="5" max="5" style="63" width="8.00390625"/>
    <col hidden="1" min="6" max="6" style="63" width="9.140625"/>
  </cols>
  <sheetData>
    <row r="1" ht="3" customHeight="1">
      <c r="F1" s="63" t="s">
        <v>14</v>
      </c>
    </row>
    <row r="2" ht="22.5" customHeight="1">
      <c r="B2" s="1217" t="s">
        <v>1927</v>
      </c>
      <c r="C2" s="1217"/>
      <c r="D2" s="1217"/>
      <c r="E2" s="1218"/>
      <c r="F2" s="63">
        <v>22</v>
      </c>
    </row>
    <row r="3" ht="3" customHeight="1">
      <c r="F3" s="63">
        <v>3</v>
      </c>
    </row>
    <row r="4" ht="23.25" customHeight="1">
      <c r="B4" s="1219" t="s">
        <v>1928</v>
      </c>
      <c r="C4" s="1219" t="s">
        <v>1929</v>
      </c>
      <c r="D4" s="1219" t="s">
        <v>1930</v>
      </c>
      <c r="F4" s="63">
        <v>22</v>
      </c>
    </row>
    <row r="5" ht="11.25" hidden="1" customHeight="1">
      <c r="A5" s="63" t="s">
        <v>81</v>
      </c>
      <c r="B5" s="63">
        <v>34</v>
      </c>
      <c r="C5" s="63">
        <v>85</v>
      </c>
      <c r="D5" s="63">
        <v>17</v>
      </c>
      <c r="E5" s="63">
        <v>8</v>
      </c>
      <c r="F5" s="63">
        <v>11</v>
      </c>
    </row>
  </sheetData>
  <sheetProtection autoFilter="0" deleteColumns="1" deleteRows="1" formatCells="1" formatColumns="0" formatRows="0" insertColumns="1" insertHyperlinks="1" insertRows="1" objects="0" pivotTables="1" scenarios="0" selectLockedCells="0" selectUnlockedCells="0" sheet="1" sort="1"/>
  <autoFilter ref="B4:D4"/>
  <mergeCells count="1">
    <mergeCell ref="B2:D2"/>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85" workbookViewId="0">
      <selection activeCell="A1" activeCellId="0" sqref="A1"/>
    </sheetView>
  </sheetViews>
  <sheetFormatPr defaultColWidth="9.140625" defaultRowHeight="17.100000000000001" customHeight="1"/>
  <cols>
    <col customWidth="1" min="1" max="1" style="63" width="26.57421875"/>
    <col customWidth="1" min="2" max="2" style="63" width="10.00390625"/>
    <col min="3" max="3" style="63" width="9.140625"/>
    <col customWidth="1" min="4" max="4" style="63" width="11.140625"/>
    <col customWidth="1" min="5" max="5" style="63" width="16.57421875"/>
    <col customWidth="1" min="6" max="6" style="63" width="16.28125"/>
    <col customWidth="1" min="7" max="7" style="63" width="19.140625"/>
    <col customWidth="1" min="8" max="11" style="63" width="10.00390625"/>
    <col customWidth="1" min="12" max="12" style="63" width="12.7109375"/>
    <col customWidth="1" min="13" max="13" style="63" width="61.28125"/>
    <col customWidth="1" min="14" max="14" style="63" width="10.00390625"/>
    <col customWidth="1" min="15" max="17" style="63" width="23.7109375"/>
    <col customWidth="1" min="18" max="18" style="63" width="11.7109375"/>
    <col customWidth="1" min="19" max="19" style="63" width="8.57421875"/>
    <col customWidth="1" min="20" max="20" style="63" width="11.7109375"/>
    <col customWidth="1" min="21" max="21" style="63" width="8.57421875"/>
    <col customWidth="1" min="22" max="22" style="63" width="4.7109375"/>
    <col customWidth="1" min="23" max="23" style="63" width="115.7109375"/>
    <col customWidth="1" min="24" max="24" style="63" width="115.28125"/>
    <col min="25" max="27" style="63" width="9.140625"/>
    <col customWidth="1" min="28" max="28" style="63" width="115.7109375"/>
    <col min="29" max="29" style="63" width="9.140625"/>
    <col customWidth="1" min="30" max="90" style="63" width="115.7109375"/>
    <col min="91" max="184" style="63" width="9.140625"/>
  </cols>
  <sheetData>
    <row r="2" s="1220" customFormat="1" ht="17.25" customHeight="1">
      <c r="A2" s="1220" t="s">
        <v>1931</v>
      </c>
    </row>
    <row r="4" s="1208" customFormat="1" ht="15" customHeight="1">
      <c r="C4" s="382"/>
      <c r="D4" s="829"/>
      <c r="E4" s="449"/>
    </row>
    <row r="6" s="1220" customFormat="1" ht="17.25" customHeight="1">
      <c r="A6" s="1220" t="s">
        <v>1932</v>
      </c>
    </row>
    <row r="8" s="1208" customFormat="1" ht="17.25" customHeight="1">
      <c r="C8" s="1216"/>
      <c r="D8" s="829"/>
      <c r="E8" s="388"/>
    </row>
    <row r="11" s="1220" customFormat="1" ht="17.25" customHeight="1">
      <c r="A11" s="1220" t="s">
        <v>1933</v>
      </c>
    </row>
    <row r="13" s="140" customFormat="1" ht="15" customHeight="1">
      <c r="A13" s="114">
        <v>1</v>
      </c>
      <c r="B13" s="53"/>
      <c r="C13" s="170" t="s">
        <v>683</v>
      </c>
      <c r="D13" s="129"/>
      <c r="E13" s="158">
        <f>A13</f>
        <v>1</v>
      </c>
      <c r="F13" s="250"/>
      <c r="G13" s="160" t="str">
        <f>"Территория "&amp;E13</f>
        <v xml:space="preserve">Территория 1</v>
      </c>
      <c r="H13" s="161"/>
      <c r="I13" s="161"/>
      <c r="J13" s="130"/>
      <c r="K13" s="130"/>
      <c r="L13" s="130"/>
      <c r="M13" s="130"/>
      <c r="N13" s="130"/>
      <c r="O13" s="130"/>
      <c r="P13" s="131"/>
      <c r="Q13" s="131"/>
      <c r="R13" s="131"/>
      <c r="S13" s="131"/>
    </row>
    <row r="14" s="63" customFormat="1" ht="15" customHeight="1">
      <c r="A14" s="114"/>
      <c r="B14" s="53">
        <v>1</v>
      </c>
      <c r="C14" s="53"/>
      <c r="D14" s="162"/>
      <c r="E14" s="163" t="str">
        <f>A13&amp;"."&amp;B14</f>
        <v>1.1</v>
      </c>
      <c r="F14" s="561">
        <f>$F$20</f>
        <v>0</v>
      </c>
      <c r="G14" s="165"/>
      <c r="H14" s="165"/>
      <c r="I14" s="166"/>
      <c r="J14" s="130"/>
      <c r="K14" s="57"/>
      <c r="L14" s="57"/>
      <c r="M14" s="130" t="str">
        <f t="array" ref="M14">IF(ISERROR(MATCH(MID(N14,1,250),MID(note_ter,1,250),0)),"n","y")</f>
        <v>n</v>
      </c>
      <c r="N14" s="57"/>
      <c r="O14" s="130" t="str">
        <f>H14&amp;"("&amp;I14&amp;")"</f>
        <v>()</v>
      </c>
      <c r="P14" s="53"/>
      <c r="Q14" s="53"/>
      <c r="R14" s="167"/>
      <c r="S14" s="53"/>
      <c r="T14" s="53"/>
      <c r="U14" s="53"/>
      <c r="V14" s="64"/>
      <c r="W14" s="64"/>
      <c r="X14" s="168"/>
      <c r="Y14" s="168"/>
      <c r="Z14" s="168"/>
      <c r="AA14" s="168"/>
      <c r="AB14" s="168"/>
      <c r="AC14" s="168"/>
      <c r="AD14" s="168"/>
      <c r="AE14" s="168"/>
      <c r="AF14" s="168"/>
      <c r="AG14" s="168"/>
      <c r="AH14" s="168"/>
      <c r="AI14" s="168"/>
      <c r="AJ14" s="168"/>
      <c r="AK14" s="168"/>
      <c r="AL14" s="168"/>
      <c r="AM14" s="168"/>
      <c r="AN14" s="168"/>
      <c r="AO14" s="168"/>
      <c r="AP14" s="168"/>
      <c r="AQ14" s="168"/>
      <c r="AR14" s="168"/>
      <c r="AS14" s="168"/>
      <c r="AT14" s="168"/>
      <c r="AU14" s="168"/>
      <c r="AV14" s="168"/>
      <c r="AW14" s="168"/>
      <c r="AX14" s="168"/>
      <c r="AY14" s="168"/>
      <c r="AZ14" s="168"/>
      <c r="BA14" s="168"/>
      <c r="BB14" s="168"/>
      <c r="BC14" s="168"/>
      <c r="BD14" s="168"/>
      <c r="BE14" s="168"/>
      <c r="BF14" s="168"/>
      <c r="BG14" s="168"/>
      <c r="BH14" s="168"/>
      <c r="BI14" s="168"/>
      <c r="BJ14" s="168"/>
      <c r="BK14" s="168"/>
      <c r="BL14" s="168"/>
      <c r="BM14" s="168"/>
      <c r="BN14" s="168"/>
      <c r="BO14" s="168"/>
      <c r="BP14" s="168"/>
      <c r="BQ14" s="168"/>
      <c r="BR14" s="168"/>
      <c r="BS14" s="64"/>
      <c r="BT14" s="64"/>
      <c r="BU14" s="64"/>
      <c r="BV14" s="64"/>
      <c r="BW14" s="64"/>
      <c r="BX14" s="64"/>
      <c r="BY14" s="64"/>
      <c r="BZ14" s="64"/>
      <c r="CA14" s="64"/>
      <c r="CB14" s="64"/>
    </row>
    <row r="15" s="63" customFormat="1" ht="15" customHeight="1">
      <c r="A15" s="114"/>
      <c r="B15" s="53"/>
      <c r="C15" s="169"/>
      <c r="D15" s="170"/>
      <c r="E15" s="171"/>
      <c r="F15" s="172"/>
      <c r="G15" s="173" t="s">
        <v>98</v>
      </c>
      <c r="H15" s="174"/>
      <c r="I15" s="175"/>
      <c r="J15" s="57"/>
      <c r="K15" s="57"/>
      <c r="L15" s="57"/>
      <c r="M15" s="57"/>
      <c r="N15" s="130"/>
      <c r="O15" s="57"/>
      <c r="P15" s="53"/>
      <c r="Q15" s="53"/>
      <c r="R15" s="167"/>
      <c r="S15" s="53"/>
      <c r="T15" s="53"/>
      <c r="U15" s="53"/>
      <c r="V15" s="64"/>
      <c r="W15" s="64"/>
      <c r="X15" s="168"/>
      <c r="Y15" s="168"/>
      <c r="Z15" s="168"/>
      <c r="AA15" s="168"/>
      <c r="AB15" s="168"/>
      <c r="AC15" s="168"/>
      <c r="AD15" s="168"/>
      <c r="AE15" s="168"/>
      <c r="AF15" s="168"/>
      <c r="AG15" s="168"/>
      <c r="AH15" s="168"/>
      <c r="AI15" s="168"/>
      <c r="AJ15" s="168"/>
      <c r="AK15" s="168"/>
      <c r="AL15" s="168"/>
      <c r="AM15" s="168"/>
      <c r="AN15" s="168"/>
      <c r="AO15" s="168"/>
      <c r="AP15" s="168"/>
      <c r="AQ15" s="168"/>
      <c r="AR15" s="168"/>
      <c r="AS15" s="168"/>
      <c r="AT15" s="168"/>
      <c r="AU15" s="168"/>
      <c r="AV15" s="168"/>
      <c r="AW15" s="168"/>
      <c r="AX15" s="168"/>
      <c r="AY15" s="168"/>
      <c r="AZ15" s="168"/>
      <c r="BA15" s="168"/>
      <c r="BB15" s="168"/>
      <c r="BC15" s="168"/>
      <c r="BD15" s="168"/>
      <c r="BE15" s="168"/>
      <c r="BF15" s="168"/>
      <c r="BG15" s="168"/>
      <c r="BH15" s="168"/>
      <c r="BI15" s="168"/>
      <c r="BJ15" s="168"/>
      <c r="BK15" s="168"/>
      <c r="BL15" s="168"/>
      <c r="BM15" s="168"/>
      <c r="BN15" s="168"/>
      <c r="BO15" s="168"/>
      <c r="BP15" s="168"/>
      <c r="BQ15" s="168"/>
      <c r="BR15" s="168"/>
      <c r="BS15" s="64"/>
      <c r="BT15" s="64"/>
      <c r="BU15" s="64"/>
      <c r="BV15" s="64"/>
      <c r="BW15" s="64"/>
      <c r="BX15" s="64"/>
      <c r="BY15" s="64"/>
      <c r="BZ15" s="64"/>
      <c r="CA15" s="64"/>
      <c r="CB15" s="64"/>
    </row>
    <row r="17" s="1220" customFormat="1" ht="17.25" customHeight="1">
      <c r="A17" s="1220" t="s">
        <v>1934</v>
      </c>
    </row>
    <row r="19" s="63" customFormat="1" ht="15" customHeight="1">
      <c r="A19" s="114"/>
      <c r="B19" s="53">
        <v>1</v>
      </c>
      <c r="C19" s="53"/>
      <c r="D19" s="162" t="s">
        <v>683</v>
      </c>
      <c r="E19" s="158"/>
      <c r="F19" s="499">
        <f>$F$20</f>
        <v>0</v>
      </c>
      <c r="G19" s="1221"/>
      <c r="H19" s="1221"/>
      <c r="I19" s="921"/>
      <c r="J19" s="130"/>
      <c r="K19" s="57"/>
      <c r="L19" s="57"/>
      <c r="M19" s="130" t="str">
        <f t="array" ref="M19">IF(ISERROR(MATCH(MID(N19,1,250),MID(note_ter,1,250),0)),"n","y")</f>
        <v>n</v>
      </c>
      <c r="N19" s="57"/>
      <c r="O19" s="130" t="str">
        <f>H19&amp;"("&amp;I19&amp;")"</f>
        <v>()</v>
      </c>
      <c r="P19" s="53"/>
      <c r="Q19" s="53"/>
      <c r="R19" s="167"/>
      <c r="S19" s="53"/>
      <c r="T19" s="53"/>
      <c r="U19" s="53"/>
      <c r="V19" s="64"/>
      <c r="W19" s="64"/>
      <c r="X19" s="168"/>
      <c r="Y19" s="168"/>
      <c r="Z19" s="168"/>
      <c r="AA19" s="168"/>
      <c r="AB19" s="168"/>
      <c r="AC19" s="168"/>
      <c r="AD19" s="168"/>
      <c r="AE19" s="168"/>
      <c r="AF19" s="168"/>
      <c r="AG19" s="168"/>
      <c r="AH19" s="168"/>
      <c r="AI19" s="168"/>
      <c r="AJ19" s="168"/>
      <c r="AK19" s="168"/>
      <c r="AL19" s="168"/>
      <c r="AM19" s="168"/>
      <c r="AN19" s="168"/>
      <c r="AO19" s="168"/>
      <c r="AP19" s="168"/>
      <c r="AQ19" s="168"/>
      <c r="AR19" s="168"/>
      <c r="AS19" s="168"/>
      <c r="AT19" s="168"/>
      <c r="AU19" s="168"/>
      <c r="AV19" s="168"/>
      <c r="AW19" s="168"/>
      <c r="AX19" s="168"/>
      <c r="AY19" s="168"/>
      <c r="AZ19" s="168"/>
      <c r="BA19" s="168"/>
      <c r="BB19" s="168"/>
      <c r="BC19" s="168"/>
      <c r="BD19" s="168"/>
      <c r="BE19" s="168"/>
      <c r="BF19" s="168"/>
      <c r="BG19" s="168"/>
      <c r="BH19" s="168"/>
      <c r="BI19" s="168"/>
      <c r="BJ19" s="168"/>
      <c r="BK19" s="168"/>
      <c r="BL19" s="168"/>
      <c r="BM19" s="168"/>
      <c r="BN19" s="168"/>
      <c r="BO19" s="168"/>
      <c r="BP19" s="168"/>
      <c r="BQ19" s="168"/>
      <c r="BR19" s="168"/>
      <c r="BS19" s="64"/>
      <c r="BT19" s="64"/>
      <c r="BU19" s="64"/>
      <c r="BV19" s="64"/>
      <c r="BW19" s="64"/>
      <c r="BX19" s="64"/>
      <c r="BY19" s="64"/>
      <c r="BZ19" s="64"/>
      <c r="CA19" s="64"/>
      <c r="CB19" s="64"/>
    </row>
    <row r="21" s="63" customFormat="1" ht="15" customHeight="1">
      <c r="A21" s="1220" t="s">
        <v>1935</v>
      </c>
      <c r="B21" s="1220"/>
      <c r="C21" s="1220"/>
      <c r="D21" s="1220"/>
      <c r="E21" s="1220"/>
      <c r="F21" s="1220"/>
      <c r="G21" s="1220"/>
      <c r="H21" s="1220"/>
      <c r="I21" s="1220"/>
      <c r="J21" s="1220"/>
      <c r="K21" s="1220"/>
      <c r="L21" s="1220"/>
      <c r="M21" s="1220"/>
      <c r="N21" s="1220"/>
      <c r="O21" s="1220"/>
      <c r="P21" s="1220"/>
      <c r="Q21" s="1220"/>
      <c r="R21" s="1220"/>
      <c r="S21" s="1220"/>
      <c r="T21" s="1220"/>
      <c r="U21" s="1222"/>
      <c r="V21" s="1220"/>
      <c r="W21" s="1220"/>
    </row>
    <row r="22" s="63" customFormat="1" ht="15" customHeight="1">
      <c r="U22" s="1223"/>
    </row>
    <row r="23" s="185" customFormat="1" ht="15" customHeight="1">
      <c r="A23" s="63"/>
      <c r="B23" s="63"/>
      <c r="C23" s="876" t="s">
        <v>683</v>
      </c>
      <c r="D23" s="219" t="s">
        <v>105</v>
      </c>
      <c r="E23" s="220"/>
      <c r="F23" s="225" t="s">
        <v>19</v>
      </c>
      <c r="G23" s="1224"/>
      <c r="H23" s="158">
        <v>1</v>
      </c>
      <c r="I23" s="1225" t="str">
        <f>IF(U23="","",INDEX(TERRITORY_MR_LIST,MATCH(U23,TERRITORY_LIST_ID,0)))</f>
        <v/>
      </c>
      <c r="J23" s="225" t="s">
        <v>19</v>
      </c>
      <c r="K23" s="1226"/>
      <c r="L23" s="219" t="s">
        <v>105</v>
      </c>
      <c r="M23" s="227"/>
      <c r="N23" s="152"/>
      <c r="O23" s="152"/>
      <c r="P23" s="152"/>
      <c r="Q23" s="152"/>
      <c r="R23" s="152"/>
      <c r="S23" s="152"/>
      <c r="T23" s="152"/>
      <c r="U23" s="1227"/>
      <c r="V23" s="152"/>
      <c r="W23" s="152"/>
      <c r="X23" s="152"/>
      <c r="Y23" s="152" t="s">
        <v>114</v>
      </c>
      <c r="Z23" s="152">
        <v>1705000</v>
      </c>
      <c r="AA23" s="152"/>
      <c r="AB23" s="152"/>
      <c r="AC23" s="152"/>
      <c r="AD23" s="152"/>
      <c r="AE23" s="152"/>
      <c r="AF23" s="152"/>
      <c r="AG23" s="152"/>
      <c r="AH23" s="152"/>
      <c r="AI23" s="152"/>
      <c r="AJ23" s="152"/>
      <c r="AK23" s="152"/>
      <c r="AL23" s="152"/>
    </row>
    <row r="24" s="185" customFormat="1" ht="15" customHeight="1">
      <c r="A24" s="63"/>
      <c r="B24" s="63"/>
      <c r="C24" s="150"/>
      <c r="D24" s="219"/>
      <c r="E24" s="228"/>
      <c r="F24" s="225"/>
      <c r="G24" s="1228"/>
      <c r="H24" s="158"/>
      <c r="I24" s="1229"/>
      <c r="J24" s="225"/>
      <c r="K24" s="171"/>
      <c r="L24" s="172"/>
      <c r="M24" s="230" t="s">
        <v>115</v>
      </c>
      <c r="N24" s="152"/>
      <c r="O24" s="152"/>
      <c r="P24" s="152"/>
      <c r="Q24" s="152"/>
      <c r="R24" s="152"/>
      <c r="S24" s="152"/>
      <c r="T24" s="152"/>
      <c r="U24" s="1227"/>
      <c r="V24" s="152"/>
      <c r="W24" s="152"/>
      <c r="X24" s="152"/>
      <c r="Y24" s="152"/>
      <c r="Z24" s="152"/>
      <c r="AA24" s="152"/>
      <c r="AB24" s="152"/>
      <c r="AC24" s="152"/>
      <c r="AD24" s="152"/>
      <c r="AE24" s="152"/>
      <c r="AF24" s="152"/>
      <c r="AG24" s="152"/>
      <c r="AH24" s="152"/>
      <c r="AI24" s="152"/>
      <c r="AJ24" s="152"/>
      <c r="AK24" s="152"/>
      <c r="AL24" s="152"/>
    </row>
    <row r="25" s="185" customFormat="1" ht="15" customHeight="1">
      <c r="A25" s="63"/>
      <c r="B25" s="63"/>
      <c r="C25" s="150"/>
      <c r="D25" s="219"/>
      <c r="E25" s="231"/>
      <c r="F25" s="225"/>
      <c r="G25" s="171"/>
      <c r="H25" s="172"/>
      <c r="I25" s="173" t="s">
        <v>116</v>
      </c>
      <c r="J25" s="172"/>
      <c r="K25" s="172"/>
      <c r="L25" s="172"/>
      <c r="M25" s="234"/>
      <c r="N25" s="152"/>
      <c r="O25" s="152"/>
      <c r="P25" s="152"/>
      <c r="Q25" s="152"/>
      <c r="R25" s="152"/>
      <c r="S25" s="152"/>
      <c r="T25" s="152"/>
      <c r="U25" s="1227"/>
      <c r="V25" s="152"/>
      <c r="W25" s="152"/>
      <c r="X25" s="152"/>
      <c r="Y25" s="152"/>
      <c r="Z25" s="152"/>
      <c r="AA25" s="152"/>
      <c r="AB25" s="152"/>
      <c r="AC25" s="152"/>
      <c r="AD25" s="152"/>
      <c r="AE25" s="152"/>
      <c r="AF25" s="152"/>
      <c r="AG25" s="152"/>
      <c r="AH25" s="152"/>
      <c r="AI25" s="152"/>
      <c r="AJ25" s="152"/>
      <c r="AK25" s="152"/>
      <c r="AL25" s="152"/>
    </row>
    <row r="26" s="63" customFormat="1" ht="15" customHeight="1">
      <c r="U26" s="1223"/>
    </row>
    <row r="27" s="63" customFormat="1" ht="15" customHeight="1">
      <c r="A27" s="1220" t="s">
        <v>1936</v>
      </c>
      <c r="B27" s="1220"/>
      <c r="C27" s="1220"/>
      <c r="D27" s="1220"/>
      <c r="E27" s="1220"/>
      <c r="F27" s="1220"/>
      <c r="G27" s="1220"/>
      <c r="H27" s="1220"/>
      <c r="I27" s="1220"/>
      <c r="J27" s="1220"/>
      <c r="K27" s="1220"/>
      <c r="L27" s="1220"/>
      <c r="M27" s="1220"/>
      <c r="N27" s="1220"/>
      <c r="O27" s="1220"/>
      <c r="P27" s="1220"/>
      <c r="Q27" s="1220"/>
      <c r="R27" s="1220"/>
      <c r="S27" s="1220"/>
      <c r="T27" s="1220"/>
      <c r="U27" s="1222"/>
      <c r="V27" s="1220"/>
      <c r="W27" s="1220"/>
    </row>
    <row r="28" s="63" customFormat="1" ht="15" customHeight="1">
      <c r="U28" s="1223"/>
    </row>
    <row r="29" s="185" customFormat="1" ht="15" customHeight="1">
      <c r="A29" s="63"/>
      <c r="B29" s="63"/>
      <c r="C29" s="150"/>
      <c r="D29" s="275"/>
      <c r="E29" s="275"/>
      <c r="F29" s="275"/>
      <c r="G29" s="1230" t="s">
        <v>683</v>
      </c>
      <c r="H29" s="72">
        <v>1</v>
      </c>
      <c r="I29" s="116" t="str">
        <f>IF(U29="","",INDEX(TERRITORY_MR_LIST,MATCH(U29,TERRITORY_LIST_ID,0)))</f>
        <v/>
      </c>
      <c r="J29" s="225" t="s">
        <v>19</v>
      </c>
      <c r="K29" s="1226"/>
      <c r="L29" s="219" t="s">
        <v>105</v>
      </c>
      <c r="M29" s="227"/>
      <c r="N29" s="152"/>
      <c r="O29" s="152"/>
      <c r="P29" s="152"/>
      <c r="Q29" s="152"/>
      <c r="R29" s="152"/>
      <c r="S29" s="152"/>
      <c r="T29" s="152"/>
      <c r="U29" s="1227"/>
      <c r="V29" s="152"/>
      <c r="W29" s="152"/>
      <c r="X29" s="152"/>
      <c r="Y29" s="152" t="s">
        <v>114</v>
      </c>
      <c r="Z29" s="152">
        <v>1705000</v>
      </c>
      <c r="AA29" s="152"/>
      <c r="AB29" s="152"/>
      <c r="AC29" s="152"/>
      <c r="AD29" s="152"/>
      <c r="AE29" s="152"/>
      <c r="AF29" s="152"/>
      <c r="AG29" s="152"/>
      <c r="AH29" s="152"/>
      <c r="AI29" s="152"/>
      <c r="AJ29" s="152"/>
      <c r="AK29" s="152"/>
      <c r="AL29" s="152"/>
    </row>
    <row r="30" s="185" customFormat="1" ht="15" customHeight="1">
      <c r="A30" s="63"/>
      <c r="B30" s="63"/>
      <c r="C30" s="150"/>
      <c r="D30" s="275"/>
      <c r="E30" s="275"/>
      <c r="F30" s="275"/>
      <c r="G30" s="1230"/>
      <c r="H30" s="72"/>
      <c r="I30" s="116"/>
      <c r="J30" s="225"/>
      <c r="K30" s="171"/>
      <c r="L30" s="172"/>
      <c r="M30" s="230" t="s">
        <v>115</v>
      </c>
      <c r="N30" s="152"/>
      <c r="O30" s="152"/>
      <c r="P30" s="152"/>
      <c r="Q30" s="152"/>
      <c r="R30" s="152"/>
      <c r="S30" s="152"/>
      <c r="T30" s="152"/>
      <c r="U30" s="1227"/>
      <c r="V30" s="152"/>
      <c r="W30" s="152"/>
      <c r="X30" s="152"/>
      <c r="Y30" s="152"/>
      <c r="Z30" s="152"/>
      <c r="AA30" s="152"/>
      <c r="AB30" s="152"/>
      <c r="AC30" s="152"/>
      <c r="AD30" s="152"/>
      <c r="AE30" s="152"/>
      <c r="AF30" s="152"/>
      <c r="AG30" s="152"/>
      <c r="AH30" s="152"/>
      <c r="AI30" s="152"/>
      <c r="AJ30" s="152"/>
      <c r="AK30" s="152"/>
      <c r="AL30" s="152"/>
    </row>
    <row r="31" s="63" customFormat="1" ht="15" customHeight="1">
      <c r="U31" s="1223"/>
    </row>
    <row r="32" s="63" customFormat="1" ht="15" customHeight="1">
      <c r="A32" s="1220" t="s">
        <v>1937</v>
      </c>
      <c r="B32" s="1220"/>
      <c r="C32" s="1220"/>
      <c r="D32" s="1220"/>
      <c r="E32" s="1220"/>
      <c r="F32" s="1220"/>
      <c r="G32" s="1220"/>
      <c r="H32" s="1220"/>
      <c r="I32" s="1220"/>
      <c r="J32" s="1220"/>
      <c r="K32" s="1220"/>
      <c r="L32" s="1220"/>
      <c r="M32" s="1220"/>
      <c r="N32" s="1220"/>
      <c r="O32" s="1220"/>
      <c r="P32" s="1220"/>
      <c r="Q32" s="1220"/>
      <c r="R32" s="1220"/>
      <c r="S32" s="1220"/>
      <c r="T32" s="1220"/>
      <c r="U32" s="1222"/>
      <c r="V32" s="1220"/>
      <c r="W32" s="1220"/>
    </row>
    <row r="33" s="63" customFormat="1" ht="15" customHeight="1">
      <c r="U33" s="1223"/>
    </row>
    <row r="34" s="185" customFormat="1" ht="15" customHeight="1">
      <c r="A34" s="63"/>
      <c r="B34" s="63"/>
      <c r="C34" s="150"/>
      <c r="D34" s="275"/>
      <c r="E34" s="275"/>
      <c r="F34" s="275"/>
      <c r="G34" s="275"/>
      <c r="H34" s="275"/>
      <c r="I34" s="275"/>
      <c r="J34" s="275"/>
      <c r="K34" s="1230" t="s">
        <v>683</v>
      </c>
      <c r="L34" s="922" t="s">
        <v>105</v>
      </c>
      <c r="M34" s="1231"/>
      <c r="N34" s="206"/>
      <c r="O34" s="152"/>
      <c r="P34" s="152"/>
      <c r="Q34" s="152"/>
      <c r="R34" s="152"/>
      <c r="S34" s="152"/>
      <c r="T34" s="152"/>
      <c r="U34" s="1227"/>
      <c r="V34" s="152"/>
      <c r="W34" s="152"/>
      <c r="X34" s="152"/>
      <c r="Y34" s="152" t="s">
        <v>114</v>
      </c>
      <c r="Z34" s="152">
        <v>1705000</v>
      </c>
      <c r="AA34" s="152"/>
      <c r="AB34" s="152"/>
      <c r="AC34" s="152"/>
      <c r="AD34" s="152"/>
      <c r="AE34" s="152"/>
      <c r="AF34" s="152"/>
      <c r="AG34" s="152"/>
      <c r="AH34" s="152"/>
      <c r="AI34" s="152"/>
      <c r="AJ34" s="152"/>
      <c r="AK34" s="152"/>
      <c r="AL34" s="152"/>
    </row>
    <row r="35" s="63" customFormat="1" ht="15" customHeight="1">
      <c r="U35" s="1223"/>
    </row>
    <row r="36" s="63" customFormat="1" ht="15" customHeight="1">
      <c r="U36" s="1223"/>
    </row>
    <row r="37" s="1220" customFormat="1" ht="11.25" customHeight="1">
      <c r="A37" s="1220" t="s">
        <v>1938</v>
      </c>
    </row>
    <row r="38" ht="11.25" customHeight="1"/>
    <row r="39" s="336" customFormat="1" ht="22.5" customHeight="1">
      <c r="A39" s="360"/>
      <c r="B39" s="91"/>
      <c r="C39" s="1232"/>
      <c r="D39" s="363"/>
      <c r="E39" s="383"/>
      <c r="F39" s="391"/>
      <c r="G39" s="275"/>
      <c r="H39" s="353"/>
    </row>
    <row r="40" ht="11.25" customHeight="1"/>
    <row r="41" s="1220" customFormat="1" ht="11.25" customHeight="1">
      <c r="A41" s="1220" t="s">
        <v>1939</v>
      </c>
    </row>
    <row r="42" ht="11.25" customHeight="1"/>
    <row r="43" s="336" customFormat="1" ht="22.5" customHeight="1">
      <c r="A43" s="91"/>
      <c r="B43" s="91"/>
      <c r="C43" s="91"/>
      <c r="D43" s="363"/>
      <c r="E43" s="383"/>
      <c r="F43" s="384"/>
      <c r="G43" s="275"/>
      <c r="H43" s="353"/>
    </row>
    <row r="44" ht="11.25" customHeight="1"/>
    <row r="45" s="1220" customFormat="1" ht="11.25" customHeight="1">
      <c r="A45" s="1220" t="s">
        <v>1940</v>
      </c>
    </row>
    <row r="46" ht="11.25" customHeight="1"/>
    <row r="47" s="336" customFormat="1" ht="24" customHeight="1">
      <c r="A47" s="360" t="s">
        <v>307</v>
      </c>
      <c r="B47" s="343"/>
      <c r="C47" s="361"/>
      <c r="D47" s="354" t="str">
        <f>A47</f>
        <v>5.1</v>
      </c>
      <c r="E47" s="357" t="s">
        <v>308</v>
      </c>
      <c r="F47" s="247" t="s">
        <v>300</v>
      </c>
      <c r="G47" s="355" t="s">
        <v>309</v>
      </c>
      <c r="H47" s="353"/>
      <c r="I47" s="362"/>
    </row>
    <row r="48" s="336" customFormat="1" ht="22.5" customHeight="1">
      <c r="A48" s="360"/>
      <c r="B48" s="343"/>
      <c r="C48" s="361"/>
      <c r="D48" s="363" t="str">
        <f>D47&amp;".1"</f>
        <v>5.1.1</v>
      </c>
      <c r="E48" s="364" t="s">
        <v>310</v>
      </c>
      <c r="F48" s="358" t="s">
        <v>22</v>
      </c>
      <c r="G48" s="356"/>
      <c r="H48" s="353"/>
      <c r="I48" s="362"/>
    </row>
    <row r="49" s="336" customFormat="1" ht="22.5" customHeight="1">
      <c r="A49" s="360"/>
      <c r="B49" s="343"/>
      <c r="C49" s="361"/>
      <c r="D49" s="363" t="str">
        <f>D47&amp;".2"</f>
        <v>5.1.2</v>
      </c>
      <c r="E49" s="364" t="s">
        <v>311</v>
      </c>
      <c r="F49" s="89" t="s">
        <v>22</v>
      </c>
      <c r="G49" s="355" t="s">
        <v>312</v>
      </c>
      <c r="H49" s="353"/>
      <c r="I49" s="362"/>
    </row>
    <row r="50" s="336" customFormat="1" ht="22.5" customHeight="1">
      <c r="A50" s="360"/>
      <c r="B50" s="343"/>
      <c r="C50" s="361"/>
      <c r="D50" s="363" t="str">
        <f>D47&amp;".3"</f>
        <v>5.1.3</v>
      </c>
      <c r="E50" s="364" t="s">
        <v>313</v>
      </c>
      <c r="F50" s="358" t="s">
        <v>22</v>
      </c>
      <c r="G50" s="356"/>
      <c r="H50" s="353"/>
      <c r="I50" s="362"/>
    </row>
    <row r="51" s="336" customFormat="1" ht="22.5" customHeight="1">
      <c r="A51" s="360"/>
      <c r="B51" s="343"/>
      <c r="C51" s="361"/>
      <c r="D51" s="363" t="str">
        <f>D47&amp;".4"</f>
        <v>5.1.4</v>
      </c>
      <c r="E51" s="364" t="s">
        <v>314</v>
      </c>
      <c r="F51" s="358" t="s">
        <v>22</v>
      </c>
      <c r="G51" s="355" t="s">
        <v>315</v>
      </c>
      <c r="H51" s="353"/>
      <c r="I51" s="362"/>
    </row>
    <row r="54" s="1220" customFormat="1" ht="17.25" customHeight="1">
      <c r="A54" s="1220" t="s">
        <v>1941</v>
      </c>
    </row>
    <row r="56" s="65" customFormat="1" ht="18.75" customHeight="1">
      <c r="A56" s="63"/>
      <c r="B56" s="144"/>
      <c r="C56" s="144"/>
      <c r="D56" s="467"/>
      <c r="E56" s="826"/>
      <c r="F56" s="1233">
        <v>13</v>
      </c>
      <c r="G56" s="1234"/>
      <c r="H56" s="165"/>
      <c r="I56" s="166"/>
      <c r="J56" s="470" t="s">
        <v>19</v>
      </c>
      <c r="K56" s="1235" t="s">
        <v>22</v>
      </c>
      <c r="L56" s="63"/>
      <c r="M56" s="57"/>
      <c r="N56" s="57"/>
      <c r="O56" s="57"/>
      <c r="P56" s="465" t="s">
        <v>386</v>
      </c>
      <c r="Q56" s="465" t="s">
        <v>387</v>
      </c>
      <c r="R56" s="466" t="s">
        <v>388</v>
      </c>
      <c r="S56" s="57" t="s">
        <v>389</v>
      </c>
      <c r="T56" s="57"/>
      <c r="U56" s="57"/>
      <c r="V56" s="57"/>
    </row>
    <row r="58" s="1220" customFormat="1" ht="11.25" customHeight="1">
      <c r="A58" s="1220" t="s">
        <v>1942</v>
      </c>
    </row>
    <row r="60" s="50" customFormat="1" ht="14.25" customHeight="1">
      <c r="C60" s="382"/>
      <c r="D60" s="431"/>
      <c r="E60" s="377" t="s">
        <v>22</v>
      </c>
      <c r="F60" s="432"/>
      <c r="G60" s="433"/>
      <c r="H60" s="434"/>
      <c r="I60" s="434"/>
      <c r="J60" s="435"/>
      <c r="K60" s="436"/>
      <c r="L60" s="437"/>
      <c r="M60" s="436"/>
      <c r="N60" s="435"/>
      <c r="O60" s="436"/>
      <c r="P60" s="435"/>
      <c r="Q60" s="436"/>
      <c r="R60" s="435"/>
      <c r="S60" s="438"/>
      <c r="T60" s="434"/>
      <c r="U60" s="435"/>
      <c r="V60" s="435"/>
      <c r="W60" s="422"/>
      <c r="X60" s="434"/>
      <c r="Y60" s="435"/>
      <c r="Z60" s="435"/>
      <c r="AA60" s="422"/>
      <c r="AB60" s="434"/>
      <c r="AC60" s="435"/>
      <c r="AD60" s="422"/>
      <c r="AE60" s="63"/>
      <c r="AF60" s="63"/>
      <c r="AG60" s="63"/>
      <c r="AH60" s="63"/>
      <c r="AJ60" s="57"/>
      <c r="AK60" s="57"/>
      <c r="AL60" s="57"/>
      <c r="AM60" s="57"/>
      <c r="AN60" s="57"/>
      <c r="AO60" s="57"/>
      <c r="AP60" s="130" t="s">
        <v>375</v>
      </c>
      <c r="AQ60" s="130" t="s">
        <v>375</v>
      </c>
      <c r="AR60" s="57"/>
      <c r="AS60" s="57"/>
    </row>
    <row r="62" s="1220" customFormat="1" ht="11.25" customHeight="1">
      <c r="A62" s="1220" t="s">
        <v>1943</v>
      </c>
    </row>
    <row r="64" s="144" customFormat="1" ht="15" customHeight="1">
      <c r="A64" s="64" t="s">
        <v>89</v>
      </c>
      <c r="B64" s="144" t="s">
        <v>22</v>
      </c>
      <c r="C64" s="325"/>
      <c r="D64" s="219"/>
      <c r="E64" s="449"/>
      <c r="F64" s="449"/>
      <c r="G64" s="511"/>
      <c r="H64" s="1236"/>
      <c r="I64" s="514"/>
      <c r="K64" s="1206"/>
      <c r="L64" s="168"/>
    </row>
    <row r="66" s="1220" customFormat="1" ht="11.25" customHeight="1">
      <c r="A66" s="1220" t="s">
        <v>1944</v>
      </c>
    </row>
    <row r="68" s="50" customFormat="1" ht="14.25" customHeight="1">
      <c r="A68" s="144"/>
      <c r="B68" s="53"/>
      <c r="C68" s="540"/>
      <c r="D68" s="345"/>
      <c r="E68" s="1237"/>
      <c r="F68" s="1236"/>
      <c r="G68" s="63"/>
      <c r="I68" s="130"/>
      <c r="J68" s="130"/>
    </row>
    <row r="70" s="1220" customFormat="1" ht="11.25" customHeight="1">
      <c r="A70" s="1220" t="s">
        <v>1945</v>
      </c>
    </row>
    <row r="72" s="50" customFormat="1" ht="27" customHeight="1">
      <c r="A72" s="125"/>
      <c r="B72" s="125"/>
      <c r="C72" s="125"/>
      <c r="D72" s="53"/>
      <c r="E72" s="1238"/>
      <c r="F72" s="889"/>
      <c r="G72" s="890"/>
      <c r="H72" s="891" t="s">
        <v>64</v>
      </c>
      <c r="I72" s="892"/>
      <c r="J72" s="893"/>
      <c r="K72" s="894"/>
      <c r="L72" s="895"/>
      <c r="M72" s="895"/>
      <c r="N72" s="896"/>
      <c r="O72" s="896"/>
      <c r="P72" s="897" t="e">
        <f>DATEDIF(DATEVALUE(N72),DATEVALUE(O72),"y")&amp;"г. "&amp;DATEDIF(DATEVALUE(N72),DATEVALUE(O72),"ym")&amp;"мес. "&amp;DATEVALUE(O72)-DATE(YEAR(DATEVALUE(O72)),MONTH(DATEVALUE(O72)),1)&amp;"дн. "</f>
        <v>#VALUE!</v>
      </c>
      <c r="Q72" s="898"/>
      <c r="R72" s="898"/>
      <c r="S72" s="898"/>
      <c r="T72" s="893"/>
      <c r="U72" s="898"/>
      <c r="V72" s="898"/>
      <c r="W72" s="898"/>
      <c r="X72" s="893"/>
      <c r="Y72" s="899" t="s">
        <v>64</v>
      </c>
      <c r="Z72" s="307"/>
      <c r="AA72" s="158">
        <v>1</v>
      </c>
      <c r="AB72" s="1239"/>
      <c r="AD72" s="57" t="s">
        <v>1946</v>
      </c>
    </row>
    <row r="73" s="50" customFormat="1" ht="10.5" customHeight="1">
      <c r="A73" s="125"/>
      <c r="B73" s="125"/>
      <c r="C73" s="125"/>
      <c r="D73" s="53"/>
      <c r="E73" s="901"/>
      <c r="F73" s="889"/>
      <c r="G73" s="890"/>
      <c r="H73" s="902"/>
      <c r="I73" s="903"/>
      <c r="J73" s="904"/>
      <c r="K73" s="894"/>
      <c r="L73" s="895"/>
      <c r="M73" s="895"/>
      <c r="N73" s="896"/>
      <c r="O73" s="896"/>
      <c r="P73" s="897"/>
      <c r="Q73" s="898"/>
      <c r="R73" s="898"/>
      <c r="S73" s="898"/>
      <c r="T73" s="904"/>
      <c r="U73" s="898"/>
      <c r="V73" s="898"/>
      <c r="W73" s="898"/>
      <c r="X73" s="904"/>
      <c r="Y73" s="905"/>
      <c r="Z73" s="832"/>
      <c r="AA73" s="742"/>
      <c r="AB73" s="230" t="s">
        <v>989</v>
      </c>
    </row>
    <row r="75" s="1220" customFormat="1" ht="11.25" customHeight="1">
      <c r="A75" s="1220" t="s">
        <v>1947</v>
      </c>
    </row>
    <row r="77" s="50" customFormat="1" ht="27" customHeight="1">
      <c r="A77" s="125"/>
      <c r="B77" s="125"/>
      <c r="C77" s="125"/>
      <c r="D77" s="53"/>
      <c r="E77" s="1238"/>
      <c r="F77" s="1240"/>
      <c r="G77" s="1241"/>
      <c r="H77" s="1242"/>
      <c r="I77" s="1243"/>
      <c r="J77" s="1244"/>
      <c r="K77" s="1245"/>
      <c r="L77" s="1246"/>
      <c r="M77" s="1246"/>
      <c r="N77" s="1247"/>
      <c r="O77" s="1247"/>
      <c r="P77" s="1248"/>
      <c r="Q77" s="1249"/>
      <c r="R77" s="1249"/>
      <c r="S77" s="1249"/>
      <c r="T77" s="1244"/>
      <c r="U77" s="1249"/>
      <c r="V77" s="1249"/>
      <c r="W77" s="1249"/>
      <c r="X77" s="1244"/>
      <c r="Y77" s="1242"/>
      <c r="Z77" s="307"/>
      <c r="AA77" s="158">
        <v>1</v>
      </c>
      <c r="AB77" s="1239"/>
      <c r="AD77" s="57" t="s">
        <v>1946</v>
      </c>
    </row>
    <row r="79" s="1220" customFormat="1" ht="11.25" customHeight="1">
      <c r="A79" s="1220" t="s">
        <v>1948</v>
      </c>
    </row>
    <row r="80" ht="17.25" customHeight="1"/>
    <row r="81" s="50" customFormat="1" ht="21" customHeight="1">
      <c r="A81" s="532"/>
      <c r="B81" s="125"/>
      <c r="C81" s="125"/>
      <c r="D81" s="53"/>
      <c r="E81" s="91"/>
      <c r="F81" s="914" t="e">
        <f>INDEX(IP_MAIN_LIST_NAME_IP,MATCH(A81,IP_MAIN_LIST_IP_ID,0))&amp;" ("&amp;INDEX(IP_MAIN_START_DATE,MATCH(A81,IP_MAIN_LIST_IP_ID,0))&amp;"-"&amp;INDEX(IP_MAIN_END_DATE,MATCH(A81,IP_MAIN_LIST_IP_ID,0))&amp;")"</f>
        <v>#VALUE!</v>
      </c>
      <c r="G81" s="915"/>
      <c r="H81" s="915"/>
      <c r="I81" s="916"/>
      <c r="J81" s="916"/>
      <c r="K81" s="917"/>
      <c r="L81" s="917"/>
      <c r="M81" s="917"/>
      <c r="N81" s="918"/>
      <c r="O81" s="918"/>
      <c r="P81" s="918"/>
      <c r="Q81" s="918"/>
      <c r="R81" s="918"/>
      <c r="S81" s="918"/>
      <c r="T81" s="918"/>
      <c r="U81" s="918"/>
      <c r="V81" s="918"/>
      <c r="W81" s="918"/>
      <c r="X81" s="918"/>
      <c r="Y81" s="918"/>
      <c r="Z81" s="918"/>
      <c r="AA81" s="918"/>
      <c r="AB81" s="918"/>
      <c r="AC81" s="918"/>
      <c r="AD81" s="918"/>
      <c r="AE81" s="919"/>
      <c r="AF81" s="917"/>
      <c r="AG81" s="917"/>
      <c r="AH81" s="917"/>
      <c r="AI81" s="917"/>
      <c r="AJ81" s="917"/>
      <c r="AK81" s="917"/>
      <c r="AL81" s="920"/>
      <c r="AM81" s="144"/>
      <c r="AN81" s="144"/>
      <c r="AO81" s="144"/>
      <c r="AP81" s="144"/>
      <c r="AQ81" s="144"/>
      <c r="AR81" s="144"/>
      <c r="AS81" s="144"/>
      <c r="AT81" s="144"/>
      <c r="AU81" s="144"/>
      <c r="AV81" s="144"/>
      <c r="AW81" s="144"/>
      <c r="AX81" s="144"/>
      <c r="AY81" s="144"/>
      <c r="AZ81" s="144"/>
      <c r="BA81" s="144"/>
      <c r="BB81" s="144"/>
      <c r="BC81" s="144"/>
      <c r="BD81" s="144"/>
      <c r="BE81" s="144"/>
      <c r="BF81" s="144"/>
    </row>
    <row r="82" s="50" customFormat="1" ht="0.75" customHeight="1">
      <c r="A82" s="125"/>
      <c r="B82" s="125"/>
      <c r="C82" s="125"/>
      <c r="D82" s="53"/>
      <c r="E82" s="91"/>
      <c r="F82" s="921"/>
      <c r="G82" s="922"/>
      <c r="H82" s="923" t="s">
        <v>370</v>
      </c>
      <c r="I82" s="924"/>
      <c r="J82" s="161"/>
      <c r="K82" s="161"/>
      <c r="L82" s="925"/>
      <c r="M82" s="537"/>
      <c r="N82" s="926"/>
      <c r="O82" s="927"/>
      <c r="P82" s="926"/>
      <c r="Q82" s="926"/>
      <c r="R82" s="926"/>
      <c r="S82" s="926"/>
      <c r="T82" s="926"/>
      <c r="U82" s="926"/>
      <c r="V82" s="926"/>
      <c r="W82" s="926"/>
      <c r="X82" s="926"/>
      <c r="Y82" s="926"/>
      <c r="Z82" s="926"/>
      <c r="AA82" s="926"/>
      <c r="AB82" s="926"/>
      <c r="AC82" s="926"/>
      <c r="AD82" s="926"/>
      <c r="AE82" s="926"/>
      <c r="AF82" s="928"/>
      <c r="AG82" s="925"/>
      <c r="AH82" s="925"/>
      <c r="AI82" s="928"/>
      <c r="AJ82" s="925"/>
      <c r="AK82" s="925"/>
      <c r="AL82" s="920"/>
      <c r="AM82" s="144"/>
      <c r="AN82" s="144"/>
      <c r="AO82" s="144"/>
      <c r="AP82" s="144"/>
      <c r="AQ82" s="144"/>
      <c r="AR82" s="144"/>
      <c r="AS82" s="144"/>
      <c r="AT82" s="144"/>
      <c r="AU82" s="144"/>
      <c r="AV82" s="144"/>
      <c r="AW82" s="144"/>
      <c r="AX82" s="144"/>
      <c r="AY82" s="144"/>
      <c r="AZ82" s="144"/>
      <c r="BA82" s="144"/>
      <c r="BB82" s="144"/>
      <c r="BC82" s="144"/>
      <c r="BD82" s="144"/>
      <c r="BE82" s="144"/>
      <c r="BF82" s="144"/>
    </row>
    <row r="83" s="50" customFormat="1" ht="0.75" customHeight="1">
      <c r="A83" s="125"/>
      <c r="B83" s="125"/>
      <c r="C83" s="125"/>
      <c r="D83" s="53"/>
      <c r="E83" s="91"/>
      <c r="F83" s="921"/>
      <c r="G83" s="922"/>
      <c r="H83" s="923"/>
      <c r="I83" s="924"/>
      <c r="J83" s="161"/>
      <c r="K83" s="161"/>
      <c r="L83" s="925"/>
      <c r="M83" s="537"/>
      <c r="N83" s="929"/>
      <c r="O83" s="930"/>
      <c r="P83" s="931"/>
      <c r="Q83" s="161"/>
      <c r="R83" s="161"/>
      <c r="S83" s="161"/>
      <c r="T83" s="161"/>
      <c r="U83" s="161"/>
      <c r="V83" s="161"/>
      <c r="W83" s="161"/>
      <c r="X83" s="161"/>
      <c r="Y83" s="161"/>
      <c r="Z83" s="932"/>
      <c r="AA83" s="933"/>
      <c r="AB83" s="933"/>
      <c r="AC83" s="934"/>
      <c r="AD83" s="934"/>
      <c r="AE83" s="935"/>
      <c r="AF83" s="928"/>
      <c r="AG83" s="925"/>
      <c r="AH83" s="925"/>
      <c r="AI83" s="928"/>
      <c r="AJ83" s="925"/>
      <c r="AK83" s="925"/>
      <c r="AL83" s="920"/>
      <c r="AM83" s="144"/>
      <c r="AN83" s="144"/>
      <c r="AO83" s="144"/>
      <c r="AP83" s="144"/>
      <c r="AQ83" s="144"/>
      <c r="AR83" s="144"/>
      <c r="AS83" s="144"/>
      <c r="AT83" s="144"/>
      <c r="AU83" s="144"/>
      <c r="AV83" s="144"/>
      <c r="AW83" s="144"/>
      <c r="AX83" s="144"/>
      <c r="AY83" s="144"/>
      <c r="AZ83" s="144"/>
      <c r="BA83" s="144"/>
      <c r="BB83" s="144"/>
      <c r="BC83" s="144"/>
      <c r="BD83" s="144"/>
      <c r="BE83" s="144"/>
      <c r="BF83" s="144"/>
    </row>
    <row r="84" s="50" customFormat="1" ht="0.75" customHeight="1">
      <c r="A84" s="125"/>
      <c r="B84" s="125"/>
      <c r="C84" s="125"/>
      <c r="D84" s="53"/>
      <c r="E84" s="91"/>
      <c r="F84" s="921"/>
      <c r="G84" s="922"/>
      <c r="H84" s="923"/>
      <c r="I84" s="924"/>
      <c r="J84" s="161"/>
      <c r="K84" s="161"/>
      <c r="L84" s="925"/>
      <c r="M84" s="537"/>
      <c r="N84" s="929"/>
      <c r="O84" s="930"/>
      <c r="P84" s="936"/>
      <c r="Q84" s="161"/>
      <c r="R84" s="161"/>
      <c r="S84" s="161"/>
      <c r="T84" s="161"/>
      <c r="U84" s="161"/>
      <c r="V84" s="161"/>
      <c r="W84" s="161"/>
      <c r="X84" s="161"/>
      <c r="Y84" s="161"/>
      <c r="Z84" s="937"/>
      <c r="AA84" s="930"/>
      <c r="AB84" s="938"/>
      <c r="AC84" s="939"/>
      <c r="AD84" s="938"/>
      <c r="AE84" s="939"/>
      <c r="AF84" s="928"/>
      <c r="AG84" s="925"/>
      <c r="AH84" s="925"/>
      <c r="AI84" s="928"/>
      <c r="AJ84" s="925"/>
      <c r="AK84" s="925"/>
      <c r="AL84" s="920"/>
      <c r="AM84" s="144"/>
      <c r="AN84" s="144"/>
      <c r="AO84" s="144"/>
      <c r="AP84" s="144"/>
      <c r="AQ84" s="144"/>
      <c r="AR84" s="144"/>
      <c r="AS84" s="144"/>
      <c r="AT84" s="144"/>
      <c r="AU84" s="144"/>
      <c r="AV84" s="144"/>
      <c r="AW84" s="144"/>
      <c r="AX84" s="144"/>
      <c r="AY84" s="144"/>
      <c r="AZ84" s="144"/>
      <c r="BA84" s="144"/>
      <c r="BB84" s="144"/>
      <c r="BC84" s="144"/>
      <c r="BD84" s="144"/>
      <c r="BE84" s="144"/>
      <c r="BF84" s="144"/>
    </row>
    <row r="85" s="50" customFormat="1" ht="0.75" customHeight="1">
      <c r="A85" s="125"/>
      <c r="B85" s="125"/>
      <c r="C85" s="125"/>
      <c r="D85" s="53"/>
      <c r="E85" s="91"/>
      <c r="F85" s="921"/>
      <c r="G85" s="922"/>
      <c r="H85" s="923"/>
      <c r="I85" s="924"/>
      <c r="J85" s="161"/>
      <c r="K85" s="161"/>
      <c r="L85" s="925"/>
      <c r="M85" s="537"/>
      <c r="N85" s="929"/>
      <c r="O85" s="930"/>
      <c r="P85" s="940"/>
      <c r="Q85" s="161"/>
      <c r="R85" s="161"/>
      <c r="S85" s="161"/>
      <c r="T85" s="161"/>
      <c r="U85" s="161"/>
      <c r="V85" s="161"/>
      <c r="W85" s="161"/>
      <c r="X85" s="161"/>
      <c r="Y85" s="161"/>
      <c r="Z85" s="932"/>
      <c r="AA85" s="933"/>
      <c r="AB85" s="941"/>
      <c r="AC85" s="934"/>
      <c r="AD85" s="934"/>
      <c r="AE85" s="942"/>
      <c r="AF85" s="928"/>
      <c r="AG85" s="925"/>
      <c r="AH85" s="925"/>
      <c r="AI85" s="928"/>
      <c r="AJ85" s="925"/>
      <c r="AK85" s="925"/>
      <c r="AL85" s="920"/>
      <c r="AM85" s="144"/>
      <c r="AN85" s="144"/>
      <c r="AO85" s="144"/>
      <c r="AP85" s="144"/>
      <c r="AQ85" s="144"/>
      <c r="AR85" s="144"/>
      <c r="AS85" s="144"/>
      <c r="AT85" s="144"/>
      <c r="AU85" s="144"/>
      <c r="AV85" s="144"/>
      <c r="AW85" s="144"/>
      <c r="AX85" s="144"/>
      <c r="AY85" s="144"/>
      <c r="AZ85" s="144"/>
      <c r="BA85" s="144"/>
      <c r="BB85" s="144"/>
      <c r="BC85" s="144"/>
      <c r="BD85" s="144"/>
      <c r="BE85" s="144"/>
      <c r="BF85" s="144"/>
    </row>
    <row r="86" s="50" customFormat="1" ht="0.75" customHeight="1">
      <c r="A86" s="125"/>
      <c r="B86" s="125"/>
      <c r="C86" s="125"/>
      <c r="D86" s="53"/>
      <c r="E86" s="91"/>
      <c r="F86" s="921"/>
      <c r="G86" s="922"/>
      <c r="H86" s="923"/>
      <c r="I86" s="924"/>
      <c r="J86" s="161"/>
      <c r="K86" s="161"/>
      <c r="L86" s="925"/>
      <c r="M86" s="537"/>
      <c r="N86" s="933"/>
      <c r="O86" s="933"/>
      <c r="P86" s="941"/>
      <c r="Q86" s="933"/>
      <c r="R86" s="933"/>
      <c r="S86" s="933"/>
      <c r="T86" s="933"/>
      <c r="U86" s="933"/>
      <c r="V86" s="933"/>
      <c r="W86" s="933"/>
      <c r="X86" s="933"/>
      <c r="Y86" s="933"/>
      <c r="Z86" s="933"/>
      <c r="AA86" s="933"/>
      <c r="AB86" s="933"/>
      <c r="AC86" s="933"/>
      <c r="AD86" s="933"/>
      <c r="AE86" s="943"/>
      <c r="AF86" s="928"/>
      <c r="AG86" s="925"/>
      <c r="AH86" s="925"/>
      <c r="AI86" s="928"/>
      <c r="AJ86" s="925"/>
      <c r="AK86" s="925"/>
      <c r="AL86" s="920"/>
      <c r="AM86" s="144"/>
      <c r="AN86" s="144"/>
      <c r="AO86" s="144"/>
      <c r="AP86" s="144"/>
      <c r="AQ86" s="144"/>
      <c r="AR86" s="144"/>
      <c r="AS86" s="144"/>
      <c r="AT86" s="144"/>
      <c r="AU86" s="144"/>
      <c r="AV86" s="144"/>
      <c r="AW86" s="144"/>
      <c r="AX86" s="144"/>
      <c r="AY86" s="144"/>
      <c r="AZ86" s="144"/>
      <c r="BA86" s="144"/>
      <c r="BB86" s="144"/>
      <c r="BC86" s="144"/>
      <c r="BD86" s="144"/>
      <c r="BE86" s="144"/>
      <c r="BF86" s="144"/>
    </row>
    <row r="87" s="50" customFormat="1" ht="12" customHeight="1">
      <c r="A87" s="125"/>
      <c r="B87" s="125"/>
      <c r="C87" s="125"/>
      <c r="D87" s="53"/>
      <c r="E87" s="91"/>
      <c r="F87" s="971"/>
      <c r="G87" s="972"/>
      <c r="H87" s="972"/>
      <c r="I87" s="973" t="s">
        <v>1038</v>
      </c>
      <c r="J87" s="973"/>
      <c r="K87" s="973"/>
      <c r="L87" s="974"/>
      <c r="M87" s="974"/>
      <c r="N87" s="975"/>
      <c r="O87" s="975"/>
      <c r="P87" s="975"/>
      <c r="Q87" s="975"/>
      <c r="R87" s="975"/>
      <c r="S87" s="975"/>
      <c r="T87" s="975"/>
      <c r="U87" s="975"/>
      <c r="V87" s="975"/>
      <c r="W87" s="975"/>
      <c r="X87" s="975"/>
      <c r="Y87" s="975"/>
      <c r="Z87" s="975"/>
      <c r="AA87" s="975"/>
      <c r="AB87" s="975"/>
      <c r="AC87" s="975"/>
      <c r="AD87" s="975"/>
      <c r="AE87" s="975"/>
      <c r="AF87" s="975"/>
      <c r="AG87" s="974"/>
      <c r="AH87" s="974"/>
      <c r="AI87" s="975"/>
      <c r="AJ87" s="974"/>
      <c r="AK87" s="975"/>
      <c r="AL87" s="920"/>
      <c r="AM87" s="144"/>
      <c r="AN87" s="144"/>
      <c r="AO87" s="144"/>
      <c r="AP87" s="144"/>
      <c r="AQ87" s="144"/>
      <c r="AR87" s="144"/>
      <c r="AS87" s="144"/>
      <c r="AT87" s="144"/>
      <c r="AU87" s="144"/>
      <c r="AV87" s="144"/>
      <c r="AW87" s="144"/>
      <c r="AX87" s="144"/>
      <c r="AY87" s="144"/>
      <c r="AZ87" s="144"/>
      <c r="BA87" s="144"/>
      <c r="BB87" s="144"/>
      <c r="BC87" s="144"/>
      <c r="BD87" s="144"/>
      <c r="BE87" s="144"/>
      <c r="BF87" s="144"/>
    </row>
    <row r="89" s="1220" customFormat="1" ht="11.25" customHeight="1">
      <c r="A89" s="1220" t="s">
        <v>1949</v>
      </c>
    </row>
    <row r="91" s="50" customFormat="1" ht="11.25" customHeight="1">
      <c r="A91" s="125"/>
      <c r="B91" s="125"/>
      <c r="C91" s="125"/>
      <c r="D91" s="53"/>
      <c r="E91" s="91"/>
      <c r="F91" s="944"/>
      <c r="G91" s="952"/>
      <c r="H91" s="952"/>
      <c r="I91" s="1250"/>
      <c r="J91" s="1250"/>
      <c r="K91" s="968"/>
      <c r="L91" s="1250"/>
      <c r="M91" s="952"/>
      <c r="N91" s="953"/>
      <c r="O91" s="963">
        <v>1</v>
      </c>
      <c r="P91" s="955" t="s">
        <v>19</v>
      </c>
      <c r="Q91" s="459" t="s">
        <v>22</v>
      </c>
      <c r="R91" s="459" t="s">
        <v>22</v>
      </c>
      <c r="S91" s="459" t="s">
        <v>22</v>
      </c>
      <c r="T91" s="459" t="s">
        <v>22</v>
      </c>
      <c r="U91" s="459" t="s">
        <v>22</v>
      </c>
      <c r="V91" s="459" t="s">
        <v>22</v>
      </c>
      <c r="W91" s="459" t="s">
        <v>22</v>
      </c>
      <c r="X91" s="459" t="s">
        <v>22</v>
      </c>
      <c r="Y91" s="459"/>
      <c r="Z91" s="956"/>
      <c r="AA91" s="957"/>
      <c r="AB91" s="957"/>
      <c r="AC91" s="958"/>
      <c r="AD91" s="958"/>
      <c r="AE91" s="958"/>
      <c r="AF91" s="1251"/>
      <c r="AG91" s="969"/>
      <c r="AH91" s="969"/>
      <c r="AI91" s="1251"/>
      <c r="AJ91" s="969"/>
      <c r="AK91" s="970"/>
      <c r="AL91" s="920"/>
      <c r="AM91" s="144"/>
      <c r="AN91" s="144"/>
      <c r="AO91" s="144"/>
      <c r="AP91" s="144"/>
      <c r="AQ91" s="144"/>
      <c r="AR91" s="144"/>
      <c r="AS91" s="144"/>
      <c r="AT91" s="144"/>
      <c r="AU91" s="144"/>
      <c r="AV91" s="144"/>
      <c r="AW91" s="144"/>
      <c r="AX91" s="144"/>
      <c r="AY91" s="144"/>
      <c r="AZ91" s="144"/>
      <c r="BA91" s="144"/>
      <c r="BB91" s="144"/>
      <c r="BC91" s="144"/>
      <c r="BD91" s="144"/>
      <c r="BE91" s="144"/>
      <c r="BF91" s="144"/>
    </row>
    <row r="92" s="50" customFormat="1" ht="11.25" customHeight="1">
      <c r="A92" s="125"/>
      <c r="B92" s="125"/>
      <c r="C92" s="125"/>
      <c r="D92" s="53"/>
      <c r="E92" s="91"/>
      <c r="F92" s="944"/>
      <c r="G92" s="952"/>
      <c r="H92" s="952"/>
      <c r="I92" s="1252"/>
      <c r="J92" s="1252"/>
      <c r="K92" s="968"/>
      <c r="L92" s="1252"/>
      <c r="M92" s="952"/>
      <c r="N92" s="953"/>
      <c r="O92" s="963"/>
      <c r="P92" s="960"/>
      <c r="Q92" s="459"/>
      <c r="R92" s="459"/>
      <c r="S92" s="961"/>
      <c r="T92" s="459"/>
      <c r="U92" s="459"/>
      <c r="V92" s="459"/>
      <c r="W92" s="459"/>
      <c r="X92" s="459"/>
      <c r="Y92" s="459"/>
      <c r="Z92" s="962"/>
      <c r="AA92" s="963">
        <v>1</v>
      </c>
      <c r="AB92" s="964"/>
      <c r="AC92" s="857"/>
      <c r="AD92" s="964">
        <f>AB92</f>
        <v>0</v>
      </c>
      <c r="AE92" s="873"/>
      <c r="AF92" s="968"/>
      <c r="AG92" s="969"/>
      <c r="AH92" s="969"/>
      <c r="AI92" s="968"/>
      <c r="AJ92" s="969"/>
      <c r="AK92" s="970"/>
      <c r="AL92" s="920"/>
      <c r="AM92" s="144"/>
      <c r="AN92" s="144"/>
      <c r="AO92" s="144"/>
      <c r="AP92" s="144"/>
      <c r="AQ92" s="144"/>
      <c r="AR92" s="144"/>
      <c r="AS92" s="144"/>
      <c r="AT92" s="144"/>
      <c r="AU92" s="144"/>
      <c r="AV92" s="144"/>
      <c r="AW92" s="144"/>
      <c r="AX92" s="144"/>
      <c r="AY92" s="144"/>
      <c r="AZ92" s="144"/>
      <c r="BA92" s="144"/>
      <c r="BB92" s="144"/>
      <c r="BC92" s="144"/>
      <c r="BD92" s="144"/>
      <c r="BE92" s="144"/>
      <c r="BF92" s="144"/>
    </row>
    <row r="93" s="50" customFormat="1" ht="11.25" customHeight="1">
      <c r="A93" s="125"/>
      <c r="B93" s="125"/>
      <c r="C93" s="125"/>
      <c r="D93" s="53"/>
      <c r="E93" s="91"/>
      <c r="F93" s="944"/>
      <c r="G93" s="952"/>
      <c r="H93" s="952"/>
      <c r="I93" s="1253"/>
      <c r="J93" s="1253"/>
      <c r="K93" s="968"/>
      <c r="L93" s="1253"/>
      <c r="M93" s="952"/>
      <c r="N93" s="953"/>
      <c r="O93" s="963"/>
      <c r="P93" s="965"/>
      <c r="Q93" s="459"/>
      <c r="R93" s="459"/>
      <c r="S93" s="961"/>
      <c r="T93" s="459"/>
      <c r="U93" s="459"/>
      <c r="V93" s="459"/>
      <c r="W93" s="459"/>
      <c r="X93" s="459"/>
      <c r="Y93" s="459"/>
      <c r="Z93" s="956"/>
      <c r="AA93" s="957"/>
      <c r="AB93" s="173" t="s">
        <v>1025</v>
      </c>
      <c r="AC93" s="958"/>
      <c r="AD93" s="958"/>
      <c r="AE93" s="958"/>
      <c r="AF93" s="1254"/>
      <c r="AG93" s="969"/>
      <c r="AH93" s="969"/>
      <c r="AI93" s="1254"/>
      <c r="AJ93" s="969"/>
      <c r="AK93" s="970"/>
      <c r="AL93" s="920"/>
      <c r="AM93" s="144"/>
      <c r="AN93" s="144"/>
      <c r="AO93" s="144"/>
      <c r="AP93" s="144"/>
      <c r="AQ93" s="144"/>
      <c r="AR93" s="144"/>
      <c r="AS93" s="144"/>
      <c r="AT93" s="144"/>
      <c r="AU93" s="144"/>
      <c r="AV93" s="144"/>
      <c r="AW93" s="144"/>
      <c r="AX93" s="144"/>
      <c r="AY93" s="144"/>
      <c r="AZ93" s="144"/>
      <c r="BA93" s="144"/>
      <c r="BB93" s="144"/>
      <c r="BC93" s="144"/>
      <c r="BD93" s="144"/>
      <c r="BE93" s="144"/>
      <c r="BF93" s="144"/>
    </row>
    <row r="95" s="1220" customFormat="1" ht="11.25" customHeight="1">
      <c r="A95" s="1220" t="s">
        <v>1950</v>
      </c>
    </row>
    <row r="97" s="50" customFormat="1" ht="11.25" customHeight="1">
      <c r="A97" s="125"/>
      <c r="B97" s="125"/>
      <c r="C97" s="125"/>
      <c r="D97" s="53"/>
      <c r="E97" s="91"/>
      <c r="F97" s="952"/>
      <c r="G97" s="952"/>
      <c r="H97" s="952"/>
      <c r="I97" s="952"/>
      <c r="J97" s="952"/>
      <c r="K97" s="952"/>
      <c r="L97" s="952"/>
      <c r="M97" s="952"/>
      <c r="N97" s="952"/>
      <c r="O97" s="952"/>
      <c r="P97" s="952"/>
      <c r="Q97" s="952"/>
      <c r="R97" s="952"/>
      <c r="S97" s="952"/>
      <c r="T97" s="952"/>
      <c r="U97" s="952"/>
      <c r="V97" s="952"/>
      <c r="W97" s="952"/>
      <c r="X97" s="952"/>
      <c r="Y97" s="952"/>
      <c r="Z97" s="1255"/>
      <c r="AA97" s="954">
        <v>1</v>
      </c>
      <c r="AB97" s="964"/>
      <c r="AC97" s="857"/>
      <c r="AD97" s="964">
        <f>AB97</f>
        <v>0</v>
      </c>
      <c r="AE97" s="857"/>
      <c r="AF97" s="968"/>
      <c r="AG97" s="969"/>
      <c r="AH97" s="969"/>
      <c r="AI97" s="968"/>
      <c r="AJ97" s="969"/>
      <c r="AK97" s="970"/>
      <c r="AL97" s="920"/>
      <c r="AM97" s="144"/>
      <c r="AN97" s="144"/>
      <c r="AO97" s="144"/>
      <c r="AP97" s="144"/>
      <c r="AQ97" s="144"/>
      <c r="AR97" s="144"/>
      <c r="AS97" s="144"/>
      <c r="AT97" s="144"/>
      <c r="AU97" s="144"/>
      <c r="AV97" s="144"/>
      <c r="AW97" s="144"/>
      <c r="AX97" s="144"/>
      <c r="AY97" s="144"/>
      <c r="AZ97" s="144"/>
      <c r="BA97" s="144"/>
      <c r="BB97" s="144"/>
      <c r="BC97" s="144"/>
      <c r="BD97" s="144"/>
      <c r="BE97" s="144"/>
      <c r="BF97" s="144"/>
    </row>
    <row r="99" s="1220" customFormat="1" ht="11.25" customHeight="1">
      <c r="A99" s="1220" t="s">
        <v>1951</v>
      </c>
    </row>
    <row r="101" s="50" customFormat="1" ht="11.25" customHeight="1">
      <c r="A101" s="125"/>
      <c r="B101" s="125"/>
      <c r="C101" s="125"/>
      <c r="D101" s="53"/>
      <c r="E101" s="91"/>
      <c r="F101" s="944"/>
      <c r="G101" s="952"/>
      <c r="H101" s="922" t="s">
        <v>105</v>
      </c>
      <c r="I101" s="945"/>
      <c r="J101" s="389"/>
      <c r="K101" s="449"/>
      <c r="L101" s="225" t="s">
        <v>19</v>
      </c>
      <c r="M101" s="219"/>
      <c r="N101" s="947"/>
      <c r="O101" s="948" t="s">
        <v>370</v>
      </c>
      <c r="P101" s="949"/>
      <c r="Q101" s="949"/>
      <c r="R101" s="949"/>
      <c r="S101" s="949"/>
      <c r="T101" s="949"/>
      <c r="U101" s="949"/>
      <c r="V101" s="949"/>
      <c r="W101" s="949"/>
      <c r="X101" s="949"/>
      <c r="Y101" s="949"/>
      <c r="Z101" s="949"/>
      <c r="AA101" s="949"/>
      <c r="AB101" s="949"/>
      <c r="AC101" s="949"/>
      <c r="AD101" s="949"/>
      <c r="AE101" s="949"/>
      <c r="AF101" s="950"/>
      <c r="AG101" s="951"/>
      <c r="AH101" s="951"/>
      <c r="AI101" s="950"/>
      <c r="AJ101" s="951"/>
      <c r="AK101" s="951"/>
      <c r="AL101" s="920"/>
      <c r="AM101" s="144"/>
      <c r="AN101" s="144"/>
      <c r="AO101" s="144"/>
      <c r="AP101" s="144"/>
      <c r="AQ101" s="144"/>
      <c r="AR101" s="144"/>
      <c r="AS101" s="144"/>
      <c r="AT101" s="144"/>
      <c r="AU101" s="144"/>
      <c r="AV101" s="144"/>
      <c r="AW101" s="144"/>
      <c r="AX101" s="144"/>
      <c r="AY101" s="144"/>
      <c r="AZ101" s="144"/>
      <c r="BA101" s="144"/>
      <c r="BB101" s="144"/>
      <c r="BC101" s="144"/>
      <c r="BD101" s="144"/>
      <c r="BE101" s="144"/>
      <c r="BF101" s="144"/>
    </row>
    <row r="102" s="50" customFormat="1" ht="11.25" customHeight="1">
      <c r="A102" s="125"/>
      <c r="B102" s="125"/>
      <c r="C102" s="125"/>
      <c r="D102" s="53"/>
      <c r="E102" s="91"/>
      <c r="F102" s="944"/>
      <c r="G102" s="952"/>
      <c r="H102" s="922"/>
      <c r="I102" s="945"/>
      <c r="J102" s="389"/>
      <c r="K102" s="449"/>
      <c r="L102" s="225"/>
      <c r="M102" s="219"/>
      <c r="N102" s="953"/>
      <c r="O102" s="954">
        <v>1</v>
      </c>
      <c r="P102" s="955" t="s">
        <v>19</v>
      </c>
      <c r="Q102" s="459" t="s">
        <v>22</v>
      </c>
      <c r="R102" s="459" t="s">
        <v>22</v>
      </c>
      <c r="S102" s="459" t="s">
        <v>22</v>
      </c>
      <c r="T102" s="459" t="s">
        <v>22</v>
      </c>
      <c r="U102" s="459" t="s">
        <v>22</v>
      </c>
      <c r="V102" s="459" t="s">
        <v>22</v>
      </c>
      <c r="W102" s="459" t="s">
        <v>22</v>
      </c>
      <c r="X102" s="459" t="s">
        <v>22</v>
      </c>
      <c r="Y102" s="459"/>
      <c r="Z102" s="956"/>
      <c r="AA102" s="957"/>
      <c r="AB102" s="957"/>
      <c r="AC102" s="958"/>
      <c r="AD102" s="958"/>
      <c r="AE102" s="959"/>
      <c r="AF102" s="950"/>
      <c r="AG102" s="951"/>
      <c r="AH102" s="951"/>
      <c r="AI102" s="950"/>
      <c r="AJ102" s="951"/>
      <c r="AK102" s="951"/>
      <c r="AL102" s="920"/>
      <c r="AM102" s="144"/>
      <c r="AN102" s="144"/>
      <c r="AO102" s="144"/>
      <c r="AP102" s="144"/>
      <c r="AQ102" s="144"/>
      <c r="AR102" s="144"/>
      <c r="AS102" s="144"/>
      <c r="AT102" s="144"/>
      <c r="AU102" s="144"/>
      <c r="AV102" s="144"/>
      <c r="AW102" s="144"/>
      <c r="AX102" s="144"/>
      <c r="AY102" s="144"/>
      <c r="AZ102" s="144"/>
      <c r="BA102" s="144"/>
      <c r="BB102" s="144"/>
      <c r="BC102" s="144"/>
      <c r="BD102" s="144"/>
      <c r="BE102" s="144"/>
      <c r="BF102" s="144"/>
    </row>
    <row r="103" s="50" customFormat="1" ht="11.25" customHeight="1">
      <c r="A103" s="125"/>
      <c r="B103" s="125"/>
      <c r="C103" s="125"/>
      <c r="D103" s="53"/>
      <c r="E103" s="91"/>
      <c r="F103" s="944"/>
      <c r="G103" s="952"/>
      <c r="H103" s="922"/>
      <c r="I103" s="945"/>
      <c r="J103" s="389"/>
      <c r="K103" s="449"/>
      <c r="L103" s="225"/>
      <c r="M103" s="219"/>
      <c r="N103" s="953"/>
      <c r="O103" s="954"/>
      <c r="P103" s="960"/>
      <c r="Q103" s="459"/>
      <c r="R103" s="459"/>
      <c r="S103" s="961"/>
      <c r="T103" s="459"/>
      <c r="U103" s="459"/>
      <c r="V103" s="459"/>
      <c r="W103" s="459"/>
      <c r="X103" s="459"/>
      <c r="Y103" s="459"/>
      <c r="Z103" s="962"/>
      <c r="AA103" s="963">
        <v>1</v>
      </c>
      <c r="AB103" s="964"/>
      <c r="AC103" s="857"/>
      <c r="AD103" s="964">
        <f>AB103</f>
        <v>0</v>
      </c>
      <c r="AE103" s="857"/>
      <c r="AF103" s="950"/>
      <c r="AG103" s="951"/>
      <c r="AH103" s="951"/>
      <c r="AI103" s="950"/>
      <c r="AJ103" s="951"/>
      <c r="AK103" s="951"/>
      <c r="AL103" s="920"/>
      <c r="AM103" s="144"/>
      <c r="AN103" s="144"/>
      <c r="AO103" s="144"/>
      <c r="AP103" s="144"/>
      <c r="AQ103" s="144"/>
      <c r="AR103" s="144"/>
      <c r="AS103" s="144"/>
      <c r="AT103" s="144"/>
      <c r="AU103" s="144"/>
      <c r="AV103" s="144"/>
      <c r="AW103" s="144"/>
      <c r="AX103" s="144"/>
      <c r="AY103" s="144"/>
      <c r="AZ103" s="144"/>
      <c r="BA103" s="144"/>
      <c r="BB103" s="144"/>
      <c r="BC103" s="144"/>
      <c r="BD103" s="144"/>
      <c r="BE103" s="144"/>
      <c r="BF103" s="144"/>
    </row>
    <row r="104" s="50" customFormat="1" ht="11.25" customHeight="1">
      <c r="A104" s="125"/>
      <c r="B104" s="125"/>
      <c r="C104" s="125"/>
      <c r="D104" s="53"/>
      <c r="E104" s="91"/>
      <c r="F104" s="944"/>
      <c r="G104" s="952"/>
      <c r="H104" s="922"/>
      <c r="I104" s="945"/>
      <c r="J104" s="389"/>
      <c r="K104" s="449"/>
      <c r="L104" s="225"/>
      <c r="M104" s="219"/>
      <c r="N104" s="953"/>
      <c r="O104" s="954"/>
      <c r="P104" s="965"/>
      <c r="Q104" s="459"/>
      <c r="R104" s="459"/>
      <c r="S104" s="961"/>
      <c r="T104" s="459"/>
      <c r="U104" s="459"/>
      <c r="V104" s="459"/>
      <c r="W104" s="459"/>
      <c r="X104" s="459"/>
      <c r="Y104" s="459"/>
      <c r="Z104" s="956"/>
      <c r="AA104" s="957"/>
      <c r="AB104" s="173" t="s">
        <v>1025</v>
      </c>
      <c r="AC104" s="958"/>
      <c r="AD104" s="958"/>
      <c r="AE104" s="966"/>
      <c r="AF104" s="950"/>
      <c r="AG104" s="951"/>
      <c r="AH104" s="951"/>
      <c r="AI104" s="950"/>
      <c r="AJ104" s="951"/>
      <c r="AK104" s="951"/>
      <c r="AL104" s="920"/>
      <c r="AM104" s="144"/>
      <c r="AN104" s="144"/>
      <c r="AO104" s="144"/>
      <c r="AP104" s="144"/>
      <c r="AQ104" s="144"/>
      <c r="AR104" s="144"/>
      <c r="AS104" s="144"/>
      <c r="AT104" s="144"/>
      <c r="AU104" s="144"/>
      <c r="AV104" s="144"/>
      <c r="AW104" s="144"/>
      <c r="AX104" s="144"/>
      <c r="AY104" s="144"/>
      <c r="AZ104" s="144"/>
      <c r="BA104" s="144"/>
      <c r="BB104" s="144"/>
      <c r="BC104" s="144"/>
      <c r="BD104" s="144"/>
      <c r="BE104" s="144"/>
      <c r="BF104" s="144"/>
    </row>
    <row r="105" s="50" customFormat="1" ht="11.25" customHeight="1">
      <c r="A105" s="125"/>
      <c r="B105" s="125"/>
      <c r="C105" s="125"/>
      <c r="D105" s="53"/>
      <c r="E105" s="91"/>
      <c r="F105" s="944"/>
      <c r="G105" s="952"/>
      <c r="H105" s="922"/>
      <c r="I105" s="945"/>
      <c r="J105" s="389"/>
      <c r="K105" s="449"/>
      <c r="L105" s="225"/>
      <c r="M105" s="219"/>
      <c r="N105" s="956"/>
      <c r="O105" s="957"/>
      <c r="P105" s="173" t="s">
        <v>1026</v>
      </c>
      <c r="Q105" s="957"/>
      <c r="R105" s="957"/>
      <c r="S105" s="957"/>
      <c r="T105" s="957"/>
      <c r="U105" s="957"/>
      <c r="V105" s="957"/>
      <c r="W105" s="957"/>
      <c r="X105" s="957"/>
      <c r="Y105" s="957"/>
      <c r="Z105" s="957"/>
      <c r="AA105" s="957"/>
      <c r="AB105" s="957"/>
      <c r="AC105" s="957"/>
      <c r="AD105" s="957"/>
      <c r="AE105" s="967"/>
      <c r="AF105" s="950"/>
      <c r="AG105" s="951"/>
      <c r="AH105" s="951"/>
      <c r="AI105" s="950"/>
      <c r="AJ105" s="951"/>
      <c r="AK105" s="951"/>
      <c r="AL105" s="920"/>
      <c r="AM105" s="144"/>
      <c r="AN105" s="144"/>
      <c r="AO105" s="144"/>
      <c r="AP105" s="144"/>
      <c r="AQ105" s="144"/>
      <c r="AR105" s="144"/>
      <c r="AS105" s="144"/>
      <c r="AT105" s="144"/>
      <c r="AU105" s="144"/>
      <c r="AV105" s="144"/>
      <c r="AW105" s="144"/>
      <c r="AX105" s="144"/>
      <c r="AY105" s="144"/>
      <c r="AZ105" s="144"/>
      <c r="BA105" s="144"/>
      <c r="BB105" s="144"/>
      <c r="BC105" s="144"/>
      <c r="BD105" s="144"/>
      <c r="BE105" s="144"/>
      <c r="BF105" s="144"/>
    </row>
    <row r="107" s="1220" customFormat="1" ht="11.25" customHeight="1">
      <c r="A107" s="1220" t="s">
        <v>1952</v>
      </c>
    </row>
    <row r="108" ht="17.25" customHeight="1"/>
    <row r="109" s="992" customFormat="1" ht="21" customHeight="1">
      <c r="A109" s="532"/>
      <c r="B109" s="993"/>
      <c r="D109" s="992"/>
      <c r="E109" s="1022" t="s">
        <v>22</v>
      </c>
      <c r="F109" s="1032" t="e">
        <f>INDEX(IP_MAIN_LIST_NAME_IP,MATCH(A109,IP_MAIN_LIST_IP_ID,0))&amp;" ("&amp;INDEX(IP_MAIN_START_DATE,MATCH(A109,IP_MAIN_LIST_IP_ID,0))&amp;"-"&amp;INDEX(IP_MAIN_END_DATE,MATCH(A109,IP_MAIN_LIST_IP_ID,0))&amp;")"</f>
        <v>#VALUE!</v>
      </c>
      <c r="G109" s="1033"/>
      <c r="H109" s="1034"/>
      <c r="I109" s="1034"/>
      <c r="J109" s="1034"/>
      <c r="K109" s="1034"/>
      <c r="L109" s="1034"/>
      <c r="M109" s="1034"/>
      <c r="N109" s="1034"/>
      <c r="O109" s="1033"/>
      <c r="P109" s="1033"/>
      <c r="Q109" s="1033"/>
      <c r="R109" s="1033"/>
      <c r="S109" s="1033"/>
      <c r="T109" s="1033"/>
      <c r="U109" s="1035"/>
      <c r="V109" s="1035"/>
      <c r="W109" s="1035"/>
      <c r="X109" s="1035"/>
      <c r="Y109" s="1035"/>
      <c r="Z109" s="1035"/>
      <c r="AA109" s="1035"/>
      <c r="AB109" s="1033"/>
      <c r="AC109" s="1034"/>
      <c r="AD109" s="1034"/>
      <c r="AE109" s="1034"/>
      <c r="AF109" s="1034"/>
      <c r="AG109" s="1034"/>
      <c r="AH109" s="1034"/>
      <c r="AI109" s="1034"/>
      <c r="AJ109" s="1034"/>
      <c r="AK109" s="1034"/>
      <c r="AL109" s="1034"/>
      <c r="AM109" s="1034"/>
      <c r="AN109" s="1034"/>
      <c r="AO109" s="1034"/>
      <c r="AP109" s="1034"/>
      <c r="AQ109" s="1034"/>
      <c r="AR109" s="1034"/>
      <c r="AS109" s="1034"/>
      <c r="AT109" s="1034"/>
      <c r="AU109" s="1034"/>
      <c r="AV109" s="1034"/>
      <c r="AW109" s="1034"/>
      <c r="AX109" s="1034"/>
      <c r="AY109" s="1034"/>
      <c r="AZ109" s="1034"/>
      <c r="BA109" s="1034"/>
      <c r="BB109" s="1034"/>
      <c r="BC109" s="1034"/>
      <c r="BD109" s="1034"/>
      <c r="BE109" s="1034"/>
      <c r="BF109" s="1034"/>
      <c r="BG109" s="1034"/>
      <c r="BH109" s="1034"/>
      <c r="BI109" s="1034"/>
      <c r="BJ109" s="1034"/>
      <c r="BK109" s="1034"/>
      <c r="BL109" s="1034"/>
      <c r="BM109" s="1034"/>
      <c r="BN109" s="1034"/>
      <c r="BO109" s="1034"/>
      <c r="BP109" s="1034"/>
      <c r="BQ109" s="1034"/>
      <c r="BR109" s="1034"/>
      <c r="BS109" s="1034"/>
      <c r="BT109" s="1034"/>
      <c r="BU109" s="1034"/>
      <c r="BV109" s="1034"/>
      <c r="BW109" s="1034"/>
      <c r="BX109" s="1034"/>
      <c r="BY109" s="1034"/>
      <c r="BZ109" s="1034"/>
      <c r="CA109" s="1034"/>
      <c r="CB109" s="1034"/>
      <c r="CC109" s="1034"/>
      <c r="CD109" s="1034"/>
      <c r="CE109" s="1034"/>
      <c r="CF109" s="1034"/>
      <c r="CG109" s="1034"/>
      <c r="CH109" s="1034"/>
      <c r="CI109" s="1034"/>
      <c r="CJ109" s="1034"/>
      <c r="CK109" s="1034"/>
      <c r="CL109" s="1036"/>
      <c r="CM109" s="1036"/>
      <c r="CN109" s="1036"/>
      <c r="CO109" s="1036"/>
      <c r="CP109" s="1036"/>
      <c r="CQ109" s="1036"/>
      <c r="CR109" s="1036"/>
      <c r="CS109" s="1036"/>
      <c r="CT109" s="1036"/>
      <c r="CU109" s="1036"/>
      <c r="CV109" s="1036"/>
      <c r="CW109" s="1036"/>
      <c r="CX109" s="1036"/>
      <c r="CY109" s="1036"/>
      <c r="CZ109" s="1036"/>
      <c r="DA109" s="1036"/>
      <c r="DB109" s="1036"/>
      <c r="DC109" s="1036"/>
      <c r="DD109" s="1036"/>
      <c r="DE109" s="1036"/>
      <c r="DF109" s="1036"/>
      <c r="DG109" s="1036"/>
      <c r="DH109" s="1036"/>
      <c r="DI109" s="1036"/>
      <c r="DJ109" s="1036"/>
      <c r="DK109" s="1036"/>
      <c r="DL109" s="1036"/>
      <c r="DM109" s="1036"/>
      <c r="DN109" s="1036"/>
      <c r="DO109" s="1036"/>
      <c r="DP109" s="1036"/>
      <c r="DQ109" s="1036"/>
      <c r="DR109" s="1036"/>
      <c r="DS109" s="1036"/>
      <c r="DT109" s="1036"/>
      <c r="DU109" s="1036"/>
      <c r="DV109" s="1036"/>
      <c r="DW109" s="1036"/>
      <c r="DX109" s="1036"/>
      <c r="DY109" s="1036"/>
      <c r="DZ109" s="1036"/>
      <c r="EA109" s="1036"/>
      <c r="EB109" s="1036"/>
      <c r="EC109" s="1036"/>
      <c r="ED109" s="1036"/>
      <c r="EE109" s="1036"/>
      <c r="EF109" s="1036"/>
      <c r="EG109" s="1036"/>
      <c r="EH109" s="1036"/>
      <c r="EI109" s="1036"/>
      <c r="EJ109" s="1036"/>
      <c r="EK109" s="1036"/>
      <c r="EL109" s="1036"/>
      <c r="EM109" s="1036"/>
      <c r="EN109" s="1036"/>
      <c r="EO109" s="1036"/>
      <c r="EP109" s="1036"/>
      <c r="EQ109" s="1036"/>
      <c r="ER109" s="1036"/>
      <c r="ES109" s="1036"/>
      <c r="ET109" s="1036"/>
      <c r="EU109" s="1036"/>
      <c r="EV109" s="1036"/>
      <c r="EW109" s="1036"/>
      <c r="EX109" s="1036"/>
      <c r="EY109" s="1036"/>
      <c r="EZ109" s="1036"/>
      <c r="FA109" s="1036"/>
      <c r="FB109" s="1036"/>
      <c r="FC109" s="1036"/>
      <c r="FD109" s="1036"/>
      <c r="FE109" s="1036"/>
      <c r="FF109" s="1036"/>
      <c r="FG109" s="1036"/>
      <c r="FH109" s="1036"/>
      <c r="FI109" s="1036"/>
      <c r="FJ109" s="1036"/>
      <c r="FK109" s="1036"/>
      <c r="FL109" s="1036"/>
      <c r="FM109" s="1036"/>
      <c r="FN109" s="1036"/>
      <c r="FO109" s="1036"/>
      <c r="FP109" s="1036"/>
      <c r="FQ109" s="1036"/>
      <c r="FR109" s="1036"/>
      <c r="FS109" s="1036"/>
      <c r="FT109" s="1036"/>
      <c r="FU109" s="1036"/>
      <c r="FV109" s="1037"/>
      <c r="FW109" s="1031"/>
      <c r="FX109" s="1027"/>
    </row>
    <row r="110" s="992" customFormat="1" ht="24.75" customHeight="1">
      <c r="B110" s="993"/>
      <c r="C110" s="992"/>
      <c r="D110" s="992"/>
      <c r="E110" s="63"/>
      <c r="F110" s="829">
        <v>1</v>
      </c>
      <c r="G110" s="116"/>
      <c r="H110" s="109"/>
      <c r="I110" s="1038"/>
      <c r="J110" s="1039"/>
      <c r="K110" s="1039"/>
      <c r="L110" s="1039"/>
      <c r="M110" s="1039"/>
      <c r="N110" s="1039"/>
      <c r="O110" s="1040"/>
      <c r="P110" s="1040"/>
      <c r="Q110" s="1040"/>
      <c r="R110" s="1040"/>
      <c r="S110" s="1040"/>
      <c r="T110" s="1040"/>
      <c r="U110" s="1040"/>
      <c r="V110" s="1040"/>
      <c r="W110" s="1040"/>
      <c r="X110" s="1040"/>
      <c r="Y110" s="1040"/>
      <c r="Z110" s="1040"/>
      <c r="AA110" s="1040"/>
      <c r="AB110" s="1040"/>
      <c r="AC110" s="1039"/>
      <c r="AD110" s="1039"/>
      <c r="AE110" s="1039"/>
      <c r="AF110" s="1039"/>
      <c r="AG110" s="1039"/>
      <c r="AH110" s="1039"/>
      <c r="AI110" s="1039"/>
      <c r="AJ110" s="1039"/>
      <c r="AK110" s="1039"/>
      <c r="AL110" s="1039"/>
      <c r="AM110" s="1039"/>
      <c r="AN110" s="1039"/>
      <c r="AO110" s="1039"/>
      <c r="AP110" s="1039"/>
      <c r="AQ110" s="1039"/>
      <c r="AR110" s="1039"/>
      <c r="AS110" s="1039"/>
      <c r="AT110" s="1039"/>
      <c r="AU110" s="1039"/>
      <c r="AV110" s="1039"/>
      <c r="AW110" s="1039"/>
      <c r="AX110" s="1039"/>
      <c r="AY110" s="1039"/>
      <c r="AZ110" s="1039"/>
      <c r="BA110" s="1039"/>
      <c r="BB110" s="1039"/>
      <c r="BC110" s="1039"/>
      <c r="BD110" s="1039"/>
      <c r="BE110" s="1039"/>
      <c r="BF110" s="1039"/>
      <c r="BG110" s="1039"/>
      <c r="BH110" s="1039"/>
      <c r="BI110" s="1039"/>
      <c r="BJ110" s="1039"/>
      <c r="BK110" s="1039"/>
      <c r="BL110" s="1039"/>
      <c r="BM110" s="1039"/>
      <c r="BN110" s="1039"/>
      <c r="BO110" s="1039"/>
      <c r="BP110" s="1039"/>
      <c r="BQ110" s="1039"/>
      <c r="BR110" s="1039"/>
      <c r="BS110" s="1039"/>
      <c r="BT110" s="1040"/>
      <c r="BU110" s="1040"/>
      <c r="BV110" s="1040"/>
      <c r="BW110" s="1040"/>
      <c r="BX110" s="1040"/>
      <c r="BY110" s="1040"/>
      <c r="BZ110" s="1040"/>
      <c r="CA110" s="1040"/>
      <c r="CB110" s="1040"/>
      <c r="CC110" s="1040"/>
      <c r="CD110" s="1040"/>
      <c r="CE110" s="1040"/>
      <c r="CF110" s="1040"/>
      <c r="CG110" s="1040"/>
      <c r="CH110" s="1040"/>
      <c r="CI110" s="1040"/>
      <c r="CJ110" s="1040"/>
      <c r="CK110" s="1040"/>
      <c r="CL110" s="1039"/>
      <c r="CM110" s="1039"/>
      <c r="CN110" s="1039"/>
      <c r="CO110" s="1039"/>
      <c r="CP110" s="1039"/>
      <c r="CQ110" s="1039"/>
      <c r="CR110" s="1039"/>
      <c r="CS110" s="1039"/>
      <c r="CT110" s="1039"/>
      <c r="CU110" s="1039"/>
      <c r="CV110" s="1039"/>
      <c r="CW110" s="1039"/>
      <c r="CX110" s="1039"/>
      <c r="CY110" s="1040"/>
      <c r="CZ110" s="1040"/>
      <c r="DA110" s="1040"/>
      <c r="DB110" s="1040"/>
      <c r="DC110" s="1040"/>
      <c r="DD110" s="1040"/>
      <c r="DE110" s="1040"/>
      <c r="DF110" s="1040"/>
      <c r="DG110" s="1040"/>
      <c r="DH110" s="1040"/>
      <c r="DI110" s="1040"/>
      <c r="DJ110" s="1040"/>
      <c r="DK110" s="1039"/>
      <c r="DL110" s="1039"/>
      <c r="DM110" s="1039"/>
      <c r="DN110" s="1039"/>
      <c r="DO110" s="1039"/>
      <c r="DP110" s="1039"/>
      <c r="DQ110" s="1039"/>
      <c r="DR110" s="1039"/>
      <c r="DS110" s="1039"/>
      <c r="DT110" s="1039"/>
      <c r="DU110" s="1039"/>
      <c r="DV110" s="1039"/>
      <c r="DW110" s="1039"/>
      <c r="DX110" s="1039"/>
      <c r="DY110" s="1039"/>
      <c r="DZ110" s="1039"/>
      <c r="EA110" s="1039"/>
      <c r="EB110" s="1039"/>
      <c r="EC110" s="1039"/>
      <c r="ED110" s="1039"/>
      <c r="EE110" s="1039"/>
      <c r="EF110" s="1039"/>
      <c r="EG110" s="1039"/>
      <c r="EH110" s="1039"/>
      <c r="EI110" s="1039"/>
      <c r="EJ110" s="1039"/>
      <c r="EK110" s="1039"/>
      <c r="EL110" s="1039"/>
      <c r="EM110" s="1039"/>
      <c r="EN110" s="1039"/>
      <c r="EO110" s="1039"/>
      <c r="EP110" s="1039"/>
      <c r="EQ110" s="1039"/>
      <c r="ER110" s="1039"/>
      <c r="ES110" s="1039"/>
      <c r="ET110" s="1039"/>
      <c r="EU110" s="1039"/>
      <c r="EV110" s="1039"/>
      <c r="EW110" s="1039"/>
      <c r="EX110" s="1039"/>
      <c r="EY110" s="1039"/>
      <c r="EZ110" s="1039"/>
      <c r="FA110" s="1039"/>
      <c r="FB110" s="1039"/>
      <c r="FC110" s="1039"/>
      <c r="FD110" s="1039"/>
      <c r="FE110" s="1039"/>
      <c r="FF110" s="1039"/>
      <c r="FG110" s="1039"/>
      <c r="FH110" s="1039"/>
      <c r="FI110" s="1039"/>
      <c r="FJ110" s="1039"/>
      <c r="FK110" s="1039"/>
      <c r="FL110" s="1039"/>
      <c r="FM110" s="1039"/>
      <c r="FN110" s="1039"/>
      <c r="FO110" s="1039"/>
      <c r="FP110" s="1039"/>
      <c r="FQ110" s="1039"/>
      <c r="FR110" s="1039"/>
      <c r="FS110" s="1039"/>
      <c r="FT110" s="1039"/>
      <c r="FU110" s="1039"/>
      <c r="FV110" s="1039"/>
      <c r="FW110" s="1039"/>
      <c r="FX110" s="1027"/>
    </row>
    <row r="111" s="992" customFormat="1" ht="12" customHeight="1">
      <c r="A111" s="992"/>
      <c r="B111" s="993"/>
      <c r="C111" s="992"/>
      <c r="D111" s="992"/>
      <c r="E111" s="992"/>
      <c r="F111" s="1041"/>
      <c r="G111" s="973" t="s">
        <v>1146</v>
      </c>
      <c r="H111" s="973"/>
      <c r="I111" s="973"/>
      <c r="J111" s="973"/>
      <c r="K111" s="973"/>
      <c r="L111" s="973"/>
      <c r="M111" s="973"/>
      <c r="N111" s="973"/>
      <c r="O111" s="973"/>
      <c r="P111" s="973"/>
      <c r="Q111" s="973"/>
      <c r="R111" s="973"/>
      <c r="S111" s="973"/>
      <c r="T111" s="973"/>
      <c r="U111" s="973"/>
      <c r="V111" s="973"/>
      <c r="W111" s="973"/>
      <c r="X111" s="973"/>
      <c r="Y111" s="973"/>
      <c r="Z111" s="973"/>
      <c r="AA111" s="973"/>
      <c r="AB111" s="973"/>
      <c r="AC111" s="973"/>
      <c r="AD111" s="973"/>
      <c r="AE111" s="973"/>
      <c r="AF111" s="973"/>
      <c r="AG111" s="973"/>
      <c r="AH111" s="973"/>
      <c r="AI111" s="973"/>
      <c r="AJ111" s="973"/>
      <c r="AK111" s="973"/>
      <c r="AL111" s="973"/>
      <c r="AM111" s="973"/>
      <c r="AN111" s="973"/>
      <c r="AO111" s="973"/>
      <c r="AP111" s="973"/>
      <c r="AQ111" s="973"/>
      <c r="AR111" s="973"/>
      <c r="AS111" s="973"/>
      <c r="AT111" s="973"/>
      <c r="AU111" s="973"/>
      <c r="AV111" s="973"/>
      <c r="AW111" s="973"/>
      <c r="AX111" s="973"/>
      <c r="AY111" s="973"/>
      <c r="AZ111" s="973"/>
      <c r="BA111" s="973"/>
      <c r="BB111" s="973"/>
      <c r="BC111" s="973"/>
      <c r="BD111" s="973"/>
      <c r="BE111" s="973"/>
      <c r="BF111" s="973"/>
      <c r="BG111" s="973"/>
      <c r="BH111" s="973"/>
      <c r="BI111" s="973"/>
      <c r="BJ111" s="973"/>
      <c r="BK111" s="973"/>
      <c r="BL111" s="973"/>
      <c r="BM111" s="973"/>
      <c r="BN111" s="973"/>
      <c r="BO111" s="973"/>
      <c r="BP111" s="973"/>
      <c r="BQ111" s="973"/>
      <c r="BR111" s="973"/>
      <c r="BS111" s="973"/>
      <c r="BT111" s="973"/>
      <c r="BU111" s="973"/>
      <c r="BV111" s="973"/>
      <c r="BW111" s="973"/>
      <c r="BX111" s="973"/>
      <c r="BY111" s="973"/>
      <c r="BZ111" s="973"/>
      <c r="CA111" s="973"/>
      <c r="CB111" s="973"/>
      <c r="CC111" s="973"/>
      <c r="CD111" s="973"/>
      <c r="CE111" s="973"/>
      <c r="CF111" s="973"/>
      <c r="CG111" s="973"/>
      <c r="CH111" s="973"/>
      <c r="CI111" s="973"/>
      <c r="CJ111" s="973"/>
      <c r="CK111" s="973"/>
      <c r="CL111" s="973"/>
      <c r="CM111" s="973"/>
      <c r="CN111" s="973"/>
      <c r="CO111" s="973"/>
      <c r="CP111" s="973"/>
      <c r="CQ111" s="973"/>
      <c r="CR111" s="973"/>
      <c r="CS111" s="973"/>
      <c r="CT111" s="973"/>
      <c r="CU111" s="973"/>
      <c r="CV111" s="973"/>
      <c r="CW111" s="973"/>
      <c r="CX111" s="973"/>
      <c r="CY111" s="973"/>
      <c r="CZ111" s="973"/>
      <c r="DA111" s="973"/>
      <c r="DB111" s="973"/>
      <c r="DC111" s="973"/>
      <c r="DD111" s="973"/>
      <c r="DE111" s="973"/>
      <c r="DF111" s="973"/>
      <c r="DG111" s="973"/>
      <c r="DH111" s="973"/>
      <c r="DI111" s="973"/>
      <c r="DJ111" s="973"/>
      <c r="DK111" s="973"/>
      <c r="DL111" s="973"/>
      <c r="DM111" s="973"/>
      <c r="DN111" s="973"/>
      <c r="DO111" s="973"/>
      <c r="DP111" s="973"/>
      <c r="DQ111" s="973"/>
      <c r="DR111" s="973"/>
      <c r="DS111" s="973"/>
      <c r="DT111" s="973"/>
      <c r="DU111" s="973"/>
      <c r="DV111" s="973"/>
      <c r="DW111" s="973"/>
      <c r="DX111" s="973"/>
      <c r="DY111" s="973"/>
      <c r="DZ111" s="973"/>
      <c r="EA111" s="973"/>
      <c r="EB111" s="973"/>
      <c r="EC111" s="973"/>
      <c r="ED111" s="973"/>
      <c r="EE111" s="973"/>
      <c r="EF111" s="973"/>
      <c r="EG111" s="973"/>
      <c r="EH111" s="973"/>
      <c r="EI111" s="973"/>
      <c r="EJ111" s="973"/>
      <c r="EK111" s="973"/>
      <c r="EL111" s="973"/>
      <c r="EM111" s="973"/>
      <c r="EN111" s="973"/>
      <c r="EO111" s="973"/>
      <c r="EP111" s="973"/>
      <c r="EQ111" s="973"/>
      <c r="ER111" s="973"/>
      <c r="ES111" s="973"/>
      <c r="ET111" s="973"/>
      <c r="EU111" s="973"/>
      <c r="EV111" s="973"/>
      <c r="EW111" s="973"/>
      <c r="EX111" s="973"/>
      <c r="EY111" s="973"/>
      <c r="EZ111" s="973"/>
      <c r="FA111" s="973"/>
      <c r="FB111" s="973"/>
      <c r="FC111" s="973"/>
      <c r="FD111" s="973"/>
      <c r="FE111" s="973"/>
      <c r="FF111" s="973"/>
      <c r="FG111" s="973"/>
      <c r="FH111" s="973"/>
      <c r="FI111" s="973"/>
      <c r="FJ111" s="973"/>
      <c r="FK111" s="973"/>
      <c r="FL111" s="973"/>
      <c r="FM111" s="973"/>
      <c r="FN111" s="973"/>
      <c r="FO111" s="973"/>
      <c r="FP111" s="973"/>
      <c r="FQ111" s="973"/>
      <c r="FR111" s="973"/>
      <c r="FS111" s="973"/>
      <c r="FT111" s="973"/>
      <c r="FU111" s="973"/>
      <c r="FV111" s="973"/>
      <c r="FW111" s="1042"/>
      <c r="FX111" s="144"/>
      <c r="FY111" s="994"/>
      <c r="FZ111" s="994"/>
      <c r="GA111" s="994"/>
      <c r="GB111" s="994"/>
    </row>
    <row r="113" s="1220" customFormat="1" ht="11.25" customHeight="1">
      <c r="A113" s="1220" t="s">
        <v>1953</v>
      </c>
    </row>
    <row r="115" s="63" customFormat="1" ht="15" customHeight="1">
      <c r="A115" s="784"/>
      <c r="B115" s="63"/>
      <c r="C115" s="63"/>
      <c r="D115" s="226" t="s">
        <v>105</v>
      </c>
      <c r="E115" s="786" t="s">
        <v>101</v>
      </c>
      <c r="F115" s="787"/>
      <c r="G115" s="788"/>
      <c r="H115" s="79" t="str">
        <f>IF(A115="","",INDEX(DIFFERENTIATION_UNMERGE_VD,MATCH(A115,DIFFERENTIATION_ID_DIFF,0)))</f>
        <v/>
      </c>
      <c r="I115" s="79"/>
      <c r="J115" s="79"/>
      <c r="K115" s="79"/>
      <c r="L115" s="79"/>
      <c r="M115" s="79"/>
      <c r="N115" s="79"/>
      <c r="O115" s="79"/>
      <c r="P115" s="79"/>
      <c r="Q115" s="79"/>
      <c r="R115" s="79"/>
      <c r="S115" s="789"/>
      <c r="T115" s="790"/>
      <c r="U115" s="168"/>
      <c r="V115" s="168"/>
      <c r="W115" s="64"/>
      <c r="X115" s="64"/>
      <c r="Y115" s="64"/>
      <c r="Z115" s="64"/>
      <c r="AA115" s="168"/>
      <c r="AB115" s="64"/>
      <c r="AC115" s="791"/>
      <c r="AD115" s="64"/>
      <c r="AE115" s="792" t="s">
        <v>22</v>
      </c>
      <c r="AF115" s="792"/>
      <c r="AG115" s="793" t="s">
        <v>603</v>
      </c>
      <c r="AH115" s="794">
        <v>3</v>
      </c>
      <c r="AI115" s="168"/>
      <c r="AJ115" s="168"/>
      <c r="AK115" s="168"/>
      <c r="AL115" s="168"/>
      <c r="AM115" s="168"/>
      <c r="AN115" s="168"/>
      <c r="AO115" s="168"/>
      <c r="AP115" s="168"/>
      <c r="AQ115" s="168"/>
      <c r="AR115" s="168"/>
      <c r="AS115" s="168"/>
      <c r="AT115" s="168"/>
      <c r="AU115" s="168"/>
      <c r="AV115" s="168"/>
      <c r="AW115" s="168"/>
      <c r="AX115" s="168"/>
      <c r="AY115" s="168"/>
      <c r="AZ115" s="168"/>
      <c r="BA115" s="168"/>
      <c r="BB115" s="168"/>
      <c r="BC115" s="168"/>
      <c r="BD115" s="168"/>
      <c r="BE115" s="168"/>
      <c r="BF115" s="168"/>
      <c r="BG115" s="168"/>
      <c r="BH115" s="168"/>
      <c r="BI115" s="168"/>
      <c r="BJ115" s="168"/>
      <c r="BK115" s="168"/>
      <c r="BL115" s="168"/>
      <c r="BM115" s="168"/>
      <c r="BN115" s="168"/>
      <c r="BO115" s="168"/>
      <c r="BP115" s="168"/>
      <c r="BQ115" s="168"/>
      <c r="BR115" s="168"/>
      <c r="BS115" s="168"/>
      <c r="BT115" s="168"/>
      <c r="BU115" s="168"/>
      <c r="BV115" s="64"/>
      <c r="BW115" s="64"/>
      <c r="BX115" s="64"/>
      <c r="BY115" s="64"/>
      <c r="BZ115" s="64"/>
      <c r="CA115" s="64"/>
      <c r="CB115" s="64"/>
      <c r="CC115" s="64"/>
      <c r="CD115" s="64"/>
      <c r="CE115" s="64"/>
    </row>
    <row r="116" s="63" customFormat="1" ht="15" customHeight="1">
      <c r="A116" s="784"/>
      <c r="B116" s="63"/>
      <c r="C116" s="63"/>
      <c r="D116" s="1256"/>
      <c r="E116" s="786" t="s">
        <v>558</v>
      </c>
      <c r="F116" s="787"/>
      <c r="G116" s="788"/>
      <c r="H116" s="79" t="str">
        <f>IF(A115="","",INDEX(DIFFERENTIATION_UNMERGE_AREA,MATCH(A115,DIFFERENTIATION_ID_DIFF,0)))</f>
        <v/>
      </c>
      <c r="I116" s="79"/>
      <c r="J116" s="79"/>
      <c r="K116" s="79"/>
      <c r="L116" s="79"/>
      <c r="M116" s="79"/>
      <c r="N116" s="79"/>
      <c r="O116" s="79"/>
      <c r="P116" s="79"/>
      <c r="Q116" s="79"/>
      <c r="R116" s="79"/>
      <c r="S116" s="789"/>
      <c r="T116" s="790"/>
      <c r="U116" s="168"/>
      <c r="V116" s="168"/>
      <c r="W116" s="64"/>
      <c r="X116" s="64"/>
      <c r="Y116" s="64"/>
      <c r="Z116" s="64"/>
      <c r="AA116" s="168"/>
      <c r="AB116" s="64"/>
      <c r="AC116" s="791"/>
      <c r="AD116" s="64"/>
      <c r="AE116" s="792"/>
      <c r="AF116" s="792"/>
      <c r="AG116" s="793"/>
      <c r="AH116" s="794"/>
      <c r="AI116" s="168"/>
      <c r="AJ116" s="168"/>
      <c r="AK116" s="168"/>
      <c r="AL116" s="168"/>
      <c r="AM116" s="168"/>
      <c r="AN116" s="168"/>
      <c r="AO116" s="168"/>
      <c r="AP116" s="168"/>
      <c r="AQ116" s="168"/>
      <c r="AR116" s="168"/>
      <c r="AS116" s="168"/>
      <c r="AT116" s="168"/>
      <c r="AU116" s="168"/>
      <c r="AV116" s="168"/>
      <c r="AW116" s="168"/>
      <c r="AX116" s="168"/>
      <c r="AY116" s="168"/>
      <c r="AZ116" s="168"/>
      <c r="BA116" s="168"/>
      <c r="BB116" s="168"/>
      <c r="BC116" s="168"/>
      <c r="BD116" s="168"/>
      <c r="BE116" s="168"/>
      <c r="BF116" s="168"/>
      <c r="BG116" s="168"/>
      <c r="BH116" s="168"/>
      <c r="BI116" s="168"/>
      <c r="BJ116" s="168"/>
      <c r="BK116" s="168"/>
      <c r="BL116" s="168"/>
      <c r="BM116" s="168"/>
      <c r="BN116" s="168"/>
      <c r="BO116" s="168"/>
      <c r="BP116" s="168"/>
      <c r="BQ116" s="168"/>
      <c r="BR116" s="168"/>
      <c r="BS116" s="168"/>
      <c r="BT116" s="168"/>
      <c r="BU116" s="168"/>
      <c r="BV116" s="64"/>
      <c r="BW116" s="64"/>
      <c r="BX116" s="64"/>
      <c r="BY116" s="64"/>
      <c r="BZ116" s="64"/>
      <c r="CA116" s="64"/>
      <c r="CB116" s="64"/>
      <c r="CC116" s="64"/>
      <c r="CD116" s="64"/>
      <c r="CE116" s="64"/>
    </row>
    <row r="117" s="63" customFormat="1" ht="15" customHeight="1">
      <c r="A117" s="784"/>
      <c r="B117" s="63"/>
      <c r="C117" s="63"/>
      <c r="D117" s="1256"/>
      <c r="E117" s="786" t="s">
        <v>559</v>
      </c>
      <c r="F117" s="787"/>
      <c r="G117" s="788"/>
      <c r="H117" s="79" t="str">
        <f>IF(A115="","",INDEX(DIFFERENTIATION_UNMERGE_SYSTEM,MATCH(A115,DIFFERENTIATION_ID_DIFF,0)))</f>
        <v/>
      </c>
      <c r="I117" s="79"/>
      <c r="J117" s="79"/>
      <c r="K117" s="79"/>
      <c r="L117" s="79"/>
      <c r="M117" s="79"/>
      <c r="N117" s="79"/>
      <c r="O117" s="79"/>
      <c r="P117" s="79"/>
      <c r="Q117" s="79"/>
      <c r="R117" s="79"/>
      <c r="S117" s="789"/>
      <c r="T117" s="790"/>
      <c r="U117" s="168"/>
      <c r="V117" s="168"/>
      <c r="W117" s="64"/>
      <c r="X117" s="64"/>
      <c r="Y117" s="64"/>
      <c r="Z117" s="64"/>
      <c r="AA117" s="168"/>
      <c r="AB117" s="64"/>
      <c r="AC117" s="791"/>
      <c r="AD117" s="64"/>
      <c r="AE117" s="792"/>
      <c r="AF117" s="792"/>
      <c r="AG117" s="793"/>
      <c r="AH117" s="794"/>
      <c r="AI117" s="168"/>
      <c r="AJ117" s="168"/>
      <c r="AK117" s="168"/>
      <c r="AL117" s="168"/>
      <c r="AM117" s="168"/>
      <c r="AN117" s="168"/>
      <c r="AO117" s="168"/>
      <c r="AP117" s="168"/>
      <c r="AQ117" s="168"/>
      <c r="AR117" s="168"/>
      <c r="AS117" s="168"/>
      <c r="AT117" s="168"/>
      <c r="AU117" s="168"/>
      <c r="AV117" s="168"/>
      <c r="AW117" s="168"/>
      <c r="AX117" s="168"/>
      <c r="AY117" s="168"/>
      <c r="AZ117" s="168"/>
      <c r="BA117" s="168"/>
      <c r="BB117" s="168"/>
      <c r="BC117" s="168"/>
      <c r="BD117" s="168"/>
      <c r="BE117" s="168"/>
      <c r="BF117" s="168"/>
      <c r="BG117" s="168"/>
      <c r="BH117" s="168"/>
      <c r="BI117" s="168"/>
      <c r="BJ117" s="168"/>
      <c r="BK117" s="168"/>
      <c r="BL117" s="168"/>
      <c r="BM117" s="168"/>
      <c r="BN117" s="168"/>
      <c r="BO117" s="168"/>
      <c r="BP117" s="168"/>
      <c r="BQ117" s="168"/>
      <c r="BR117" s="168"/>
      <c r="BS117" s="168"/>
      <c r="BT117" s="168"/>
      <c r="BU117" s="168"/>
      <c r="BV117" s="64"/>
      <c r="BW117" s="64"/>
      <c r="BX117" s="64"/>
      <c r="BY117" s="64"/>
      <c r="BZ117" s="64"/>
      <c r="CA117" s="64"/>
      <c r="CB117" s="64"/>
      <c r="CC117" s="64"/>
      <c r="CD117" s="64"/>
      <c r="CE117" s="64"/>
    </row>
    <row r="118" s="63" customFormat="1" ht="24.75" customHeight="1">
      <c r="A118" s="114"/>
      <c r="B118" s="53"/>
      <c r="C118" s="169"/>
      <c r="D118" s="1256"/>
      <c r="E118" s="796" t="s">
        <v>604</v>
      </c>
      <c r="F118" s="796"/>
      <c r="G118" s="796"/>
      <c r="H118" s="796"/>
      <c r="I118" s="796"/>
      <c r="J118" s="796"/>
      <c r="K118" s="796"/>
      <c r="L118" s="796"/>
      <c r="M118" s="796"/>
      <c r="N118" s="796"/>
      <c r="O118" s="796"/>
      <c r="P118" s="796"/>
      <c r="Q118" s="729">
        <f>SUMIF(T119:T120,"i",Q119:Q120)</f>
        <v>0</v>
      </c>
      <c r="R118" s="797"/>
      <c r="S118" s="314" t="s">
        <v>605</v>
      </c>
      <c r="T118" s="790" t="s">
        <v>606</v>
      </c>
      <c r="U118" s="133">
        <v>1</v>
      </c>
      <c r="V118" s="133" t="s">
        <v>569</v>
      </c>
      <c r="W118" s="53"/>
      <c r="X118" s="53"/>
      <c r="Y118" s="53"/>
      <c r="Z118" s="53"/>
      <c r="AA118" s="57"/>
      <c r="AB118" s="53"/>
      <c r="AC118" s="791"/>
      <c r="AD118" s="64"/>
      <c r="AE118" s="53"/>
      <c r="AF118" s="53"/>
      <c r="AG118" s="57"/>
      <c r="AH118" s="57"/>
      <c r="AI118" s="57"/>
      <c r="AJ118" s="57"/>
      <c r="AK118" s="57"/>
      <c r="AL118" s="57"/>
      <c r="AM118" s="57"/>
      <c r="AN118" s="57"/>
      <c r="AO118" s="57"/>
      <c r="AP118" s="57"/>
      <c r="AQ118" s="57"/>
      <c r="AR118" s="57"/>
      <c r="AS118" s="57"/>
      <c r="AT118" s="57"/>
      <c r="AU118" s="57"/>
      <c r="AV118" s="57"/>
      <c r="AW118" s="57"/>
      <c r="AX118" s="57"/>
      <c r="AY118" s="57"/>
      <c r="AZ118" s="57"/>
      <c r="BA118" s="57"/>
      <c r="BB118" s="57"/>
      <c r="BC118" s="57"/>
      <c r="BD118" s="57"/>
      <c r="BE118" s="57"/>
      <c r="BF118" s="57"/>
      <c r="BG118" s="57"/>
      <c r="BH118" s="57"/>
      <c r="BI118" s="57"/>
      <c r="BJ118" s="57"/>
      <c r="BK118" s="57"/>
      <c r="BL118" s="57"/>
      <c r="BM118" s="57"/>
      <c r="BN118" s="57"/>
      <c r="BO118" s="57"/>
      <c r="BP118" s="57"/>
      <c r="BQ118" s="57"/>
      <c r="BR118" s="57"/>
      <c r="BS118" s="57"/>
      <c r="BT118" s="57"/>
      <c r="BU118" s="57"/>
      <c r="BV118" s="53"/>
      <c r="BW118" s="53"/>
      <c r="BX118" s="53"/>
      <c r="BY118" s="53"/>
      <c r="BZ118" s="53"/>
      <c r="CA118" s="53"/>
      <c r="CB118" s="53"/>
      <c r="CC118" s="53"/>
      <c r="CD118" s="53"/>
      <c r="CE118" s="53"/>
    </row>
    <row r="119" s="63" customFormat="1" ht="11.25" hidden="1" customHeight="1">
      <c r="A119" s="133"/>
      <c r="B119" s="57"/>
      <c r="C119" s="57"/>
      <c r="D119" s="1256"/>
      <c r="E119" s="352"/>
      <c r="F119" s="352">
        <v>0</v>
      </c>
      <c r="G119" s="352"/>
      <c r="H119" s="352"/>
      <c r="I119" s="352"/>
      <c r="J119" s="352"/>
      <c r="K119" s="352"/>
      <c r="L119" s="352"/>
      <c r="M119" s="352"/>
      <c r="N119" s="352"/>
      <c r="O119" s="352"/>
      <c r="P119" s="352"/>
      <c r="Q119" s="352"/>
      <c r="R119" s="352"/>
      <c r="S119" s="351"/>
      <c r="T119" s="798"/>
      <c r="U119" s="133"/>
      <c r="V119" s="133"/>
      <c r="W119" s="57"/>
      <c r="X119" s="57"/>
      <c r="Y119" s="57"/>
      <c r="Z119" s="57"/>
      <c r="AA119" s="57"/>
      <c r="AB119" s="53"/>
      <c r="AC119" s="791"/>
      <c r="AD119" s="64"/>
      <c r="AE119" s="53"/>
      <c r="AF119" s="53"/>
      <c r="AG119" s="57"/>
      <c r="AH119" s="57"/>
      <c r="AI119" s="57"/>
      <c r="AJ119" s="57"/>
      <c r="AK119" s="57"/>
      <c r="AL119" s="57"/>
      <c r="AM119" s="57"/>
      <c r="AN119" s="57"/>
      <c r="AO119" s="57"/>
      <c r="AP119" s="57"/>
      <c r="AQ119" s="57"/>
      <c r="AR119" s="57"/>
      <c r="AS119" s="57"/>
      <c r="AT119" s="57"/>
      <c r="AU119" s="57"/>
      <c r="AV119" s="57"/>
      <c r="AW119" s="57"/>
      <c r="AX119" s="57"/>
      <c r="AY119" s="57"/>
      <c r="AZ119" s="57"/>
      <c r="BA119" s="57"/>
      <c r="BB119" s="57"/>
      <c r="BC119" s="57"/>
      <c r="BD119" s="57"/>
      <c r="BE119" s="57"/>
      <c r="BF119" s="57"/>
      <c r="BG119" s="57"/>
      <c r="BH119" s="57"/>
      <c r="BI119" s="57"/>
      <c r="BJ119" s="57"/>
      <c r="BK119" s="57"/>
      <c r="BL119" s="57"/>
      <c r="BM119" s="57"/>
      <c r="BN119" s="57"/>
      <c r="BO119" s="57"/>
      <c r="BP119" s="57"/>
      <c r="BQ119" s="57"/>
      <c r="BR119" s="57"/>
      <c r="BS119" s="57"/>
      <c r="BT119" s="57"/>
      <c r="BU119" s="57"/>
      <c r="BV119" s="57"/>
      <c r="BW119" s="57"/>
      <c r="BX119" s="57"/>
      <c r="BY119" s="57"/>
      <c r="BZ119" s="57"/>
      <c r="CA119" s="57"/>
      <c r="CB119" s="57"/>
      <c r="CC119" s="57"/>
      <c r="CD119" s="57"/>
      <c r="CE119" s="57"/>
    </row>
    <row r="120" s="63" customFormat="1" ht="11.25" customHeight="1">
      <c r="A120" s="114"/>
      <c r="B120" s="53"/>
      <c r="C120" s="169"/>
      <c r="D120" s="1256"/>
      <c r="E120" s="639" t="s">
        <v>22</v>
      </c>
      <c r="F120" s="173" t="s">
        <v>22</v>
      </c>
      <c r="G120" s="173" t="s">
        <v>1954</v>
      </c>
      <c r="H120" s="178" t="s">
        <v>22</v>
      </c>
      <c r="I120" s="178"/>
      <c r="J120" s="178"/>
      <c r="K120" s="178"/>
      <c r="L120" s="178"/>
      <c r="M120" s="178"/>
      <c r="N120" s="178"/>
      <c r="O120" s="178"/>
      <c r="P120" s="178"/>
      <c r="Q120" s="178"/>
      <c r="R120" s="230"/>
      <c r="S120" s="1257"/>
      <c r="T120" s="798"/>
      <c r="U120" s="133"/>
      <c r="V120" s="133"/>
      <c r="W120" s="53"/>
      <c r="X120" s="53"/>
      <c r="Y120" s="53"/>
      <c r="Z120" s="53"/>
      <c r="AA120" s="57"/>
      <c r="AB120" s="53"/>
      <c r="AC120" s="791"/>
      <c r="AD120" s="64"/>
      <c r="AE120" s="53"/>
      <c r="AF120" s="53"/>
      <c r="AG120" s="57"/>
      <c r="AH120" s="57"/>
      <c r="AI120" s="57"/>
      <c r="AJ120" s="57"/>
      <c r="AK120" s="57"/>
      <c r="AL120" s="57"/>
      <c r="AM120" s="57"/>
      <c r="AN120" s="57"/>
      <c r="AO120" s="57"/>
      <c r="AP120" s="57"/>
      <c r="AQ120" s="57"/>
      <c r="AR120" s="57"/>
      <c r="AS120" s="57"/>
      <c r="AT120" s="57"/>
      <c r="AU120" s="57"/>
      <c r="AV120" s="57"/>
      <c r="AW120" s="57"/>
      <c r="AX120" s="57"/>
      <c r="AY120" s="57"/>
      <c r="AZ120" s="57"/>
      <c r="BA120" s="57"/>
      <c r="BB120" s="57"/>
      <c r="BC120" s="57"/>
      <c r="BD120" s="57"/>
      <c r="BE120" s="57"/>
      <c r="BF120" s="57"/>
      <c r="BG120" s="57"/>
      <c r="BH120" s="57"/>
      <c r="BI120" s="57"/>
      <c r="BJ120" s="57"/>
      <c r="BK120" s="57"/>
      <c r="BL120" s="57"/>
      <c r="BM120" s="57"/>
      <c r="BN120" s="57"/>
      <c r="BO120" s="57"/>
      <c r="BP120" s="57"/>
      <c r="BQ120" s="57"/>
      <c r="BR120" s="57"/>
      <c r="BS120" s="57"/>
      <c r="BT120" s="57"/>
      <c r="BU120" s="57"/>
      <c r="BV120" s="53"/>
      <c r="BW120" s="53"/>
      <c r="BX120" s="53"/>
      <c r="BY120" s="53"/>
      <c r="BZ120" s="53"/>
      <c r="CA120" s="53"/>
      <c r="CB120" s="53"/>
      <c r="CC120" s="53"/>
      <c r="CD120" s="53"/>
      <c r="CE120" s="53"/>
    </row>
    <row r="121" s="63" customFormat="1" ht="24.75" customHeight="1">
      <c r="A121" s="114"/>
      <c r="B121" s="53"/>
      <c r="C121" s="169"/>
      <c r="D121" s="1256"/>
      <c r="E121" s="796" t="s">
        <v>607</v>
      </c>
      <c r="F121" s="796"/>
      <c r="G121" s="796"/>
      <c r="H121" s="796"/>
      <c r="I121" s="796"/>
      <c r="J121" s="796"/>
      <c r="K121" s="796"/>
      <c r="L121" s="796"/>
      <c r="M121" s="796"/>
      <c r="N121" s="796"/>
      <c r="O121" s="796"/>
      <c r="P121" s="796"/>
      <c r="Q121" s="729">
        <f>SUMIF(T122:T123,"i",Q122:Q123)</f>
        <v>0</v>
      </c>
      <c r="R121" s="797"/>
      <c r="S121" s="314" t="s">
        <v>608</v>
      </c>
      <c r="T121" s="790" t="s">
        <v>606</v>
      </c>
      <c r="U121" s="133">
        <v>1</v>
      </c>
      <c r="V121" s="133" t="s">
        <v>569</v>
      </c>
      <c r="W121" s="53"/>
      <c r="X121" s="53"/>
      <c r="Y121" s="53"/>
      <c r="Z121" s="53"/>
      <c r="AA121" s="57"/>
      <c r="AB121" s="53"/>
      <c r="AC121" s="791"/>
      <c r="AD121" s="64"/>
      <c r="AE121" s="53"/>
      <c r="AF121" s="53"/>
      <c r="AG121" s="57"/>
      <c r="AH121" s="57"/>
      <c r="AI121" s="57"/>
      <c r="AJ121" s="57"/>
      <c r="AK121" s="57"/>
      <c r="AL121" s="57"/>
      <c r="AM121" s="57"/>
      <c r="AN121" s="57"/>
      <c r="AO121" s="57"/>
      <c r="AP121" s="57"/>
      <c r="AQ121" s="57"/>
      <c r="AR121" s="57"/>
      <c r="AS121" s="57"/>
      <c r="AT121" s="57"/>
      <c r="AU121" s="57"/>
      <c r="AV121" s="57"/>
      <c r="AW121" s="57"/>
      <c r="AX121" s="57"/>
      <c r="AY121" s="57"/>
      <c r="AZ121" s="57"/>
      <c r="BA121" s="57"/>
      <c r="BB121" s="57"/>
      <c r="BC121" s="57"/>
      <c r="BD121" s="57"/>
      <c r="BE121" s="57"/>
      <c r="BF121" s="57"/>
      <c r="BG121" s="57"/>
      <c r="BH121" s="57"/>
      <c r="BI121" s="57"/>
      <c r="BJ121" s="57"/>
      <c r="BK121" s="57"/>
      <c r="BL121" s="57"/>
      <c r="BM121" s="57"/>
      <c r="BN121" s="57"/>
      <c r="BO121" s="57"/>
      <c r="BP121" s="57"/>
      <c r="BQ121" s="57"/>
      <c r="BR121" s="57"/>
      <c r="BS121" s="57"/>
      <c r="BT121" s="57"/>
      <c r="BU121" s="57"/>
      <c r="BV121" s="53"/>
      <c r="BW121" s="53"/>
      <c r="BX121" s="53"/>
      <c r="BY121" s="53"/>
      <c r="BZ121" s="53"/>
      <c r="CA121" s="53"/>
      <c r="CB121" s="53"/>
      <c r="CC121" s="53"/>
      <c r="CD121" s="53"/>
      <c r="CE121" s="53"/>
    </row>
    <row r="122" s="63" customFormat="1" ht="11.25" hidden="1" customHeight="1">
      <c r="A122" s="133"/>
      <c r="B122" s="57"/>
      <c r="C122" s="57"/>
      <c r="D122" s="1256"/>
      <c r="E122" s="352"/>
      <c r="F122" s="352">
        <v>0</v>
      </c>
      <c r="G122" s="352"/>
      <c r="H122" s="352"/>
      <c r="I122" s="352"/>
      <c r="J122" s="352"/>
      <c r="K122" s="352"/>
      <c r="L122" s="352"/>
      <c r="M122" s="352"/>
      <c r="N122" s="352"/>
      <c r="O122" s="352"/>
      <c r="P122" s="352"/>
      <c r="Q122" s="352"/>
      <c r="R122" s="352"/>
      <c r="S122" s="351"/>
      <c r="T122" s="798"/>
      <c r="U122" s="133"/>
      <c r="V122" s="133"/>
      <c r="W122" s="57"/>
      <c r="X122" s="57"/>
      <c r="Y122" s="57"/>
      <c r="Z122" s="57"/>
      <c r="AA122" s="57"/>
      <c r="AB122" s="53"/>
      <c r="AC122" s="791"/>
      <c r="AD122" s="64"/>
      <c r="AE122" s="53"/>
      <c r="AF122" s="53"/>
      <c r="AG122" s="57"/>
      <c r="AH122" s="57"/>
      <c r="AI122" s="57"/>
      <c r="AJ122" s="57"/>
      <c r="AK122" s="57"/>
      <c r="AL122" s="57"/>
      <c r="AM122" s="57"/>
      <c r="AN122" s="57"/>
      <c r="AO122" s="57"/>
      <c r="AP122" s="57"/>
      <c r="AQ122" s="57"/>
      <c r="AR122" s="57"/>
      <c r="AS122" s="57"/>
      <c r="AT122" s="57"/>
      <c r="AU122" s="57"/>
      <c r="AV122" s="57"/>
      <c r="AW122" s="57"/>
      <c r="AX122" s="57"/>
      <c r="AY122" s="57"/>
      <c r="AZ122" s="57"/>
      <c r="BA122" s="57"/>
      <c r="BB122" s="57"/>
      <c r="BC122" s="57"/>
      <c r="BD122" s="57"/>
      <c r="BE122" s="57"/>
      <c r="BF122" s="57"/>
      <c r="BG122" s="57"/>
      <c r="BH122" s="57"/>
      <c r="BI122" s="57"/>
      <c r="BJ122" s="57"/>
      <c r="BK122" s="57"/>
      <c r="BL122" s="57"/>
      <c r="BM122" s="57"/>
      <c r="BN122" s="57"/>
      <c r="BO122" s="57"/>
      <c r="BP122" s="57"/>
      <c r="BQ122" s="57"/>
      <c r="BR122" s="57"/>
      <c r="BS122" s="57"/>
      <c r="BT122" s="57"/>
      <c r="BU122" s="57"/>
      <c r="BV122" s="57"/>
      <c r="BW122" s="57"/>
      <c r="BX122" s="57"/>
      <c r="BY122" s="57"/>
      <c r="BZ122" s="57"/>
      <c r="CA122" s="57"/>
      <c r="CB122" s="57"/>
      <c r="CC122" s="57"/>
      <c r="CD122" s="57"/>
      <c r="CE122" s="57"/>
    </row>
    <row r="123" s="63" customFormat="1" ht="11.25" customHeight="1">
      <c r="A123" s="114"/>
      <c r="B123" s="53"/>
      <c r="C123" s="169"/>
      <c r="D123" s="1258"/>
      <c r="E123" s="639" t="s">
        <v>22</v>
      </c>
      <c r="F123" s="173" t="s">
        <v>22</v>
      </c>
      <c r="G123" s="173" t="s">
        <v>1954</v>
      </c>
      <c r="H123" s="178" t="s">
        <v>22</v>
      </c>
      <c r="I123" s="178"/>
      <c r="J123" s="178"/>
      <c r="K123" s="178"/>
      <c r="L123" s="178"/>
      <c r="M123" s="178"/>
      <c r="N123" s="178"/>
      <c r="O123" s="178"/>
      <c r="P123" s="178"/>
      <c r="Q123" s="178"/>
      <c r="R123" s="230"/>
      <c r="S123" s="1257"/>
      <c r="T123" s="798"/>
      <c r="U123" s="133"/>
      <c r="V123" s="133"/>
      <c r="W123" s="53"/>
      <c r="X123" s="53"/>
      <c r="Y123" s="53"/>
      <c r="Z123" s="53"/>
      <c r="AA123" s="57"/>
      <c r="AB123" s="53"/>
      <c r="AC123" s="791"/>
      <c r="AD123" s="64"/>
      <c r="AE123" s="53"/>
      <c r="AF123" s="53"/>
      <c r="AG123" s="57"/>
      <c r="AH123" s="57"/>
      <c r="AI123" s="57"/>
      <c r="AJ123" s="57"/>
      <c r="AK123" s="57"/>
      <c r="AL123" s="57"/>
      <c r="AM123" s="57"/>
      <c r="AN123" s="57"/>
      <c r="AO123" s="57"/>
      <c r="AP123" s="57"/>
      <c r="AQ123" s="57"/>
      <c r="AR123" s="57"/>
      <c r="AS123" s="57"/>
      <c r="AT123" s="57"/>
      <c r="AU123" s="57"/>
      <c r="AV123" s="57"/>
      <c r="AW123" s="57"/>
      <c r="AX123" s="57"/>
      <c r="AY123" s="57"/>
      <c r="AZ123" s="57"/>
      <c r="BA123" s="57"/>
      <c r="BB123" s="57"/>
      <c r="BC123" s="57"/>
      <c r="BD123" s="57"/>
      <c r="BE123" s="57"/>
      <c r="BF123" s="57"/>
      <c r="BG123" s="57"/>
      <c r="BH123" s="57"/>
      <c r="BI123" s="57"/>
      <c r="BJ123" s="57"/>
      <c r="BK123" s="57"/>
      <c r="BL123" s="57"/>
      <c r="BM123" s="57"/>
      <c r="BN123" s="57"/>
      <c r="BO123" s="57"/>
      <c r="BP123" s="57"/>
      <c r="BQ123" s="57"/>
      <c r="BR123" s="57"/>
      <c r="BS123" s="57"/>
      <c r="BT123" s="57"/>
      <c r="BU123" s="57"/>
      <c r="BV123" s="53"/>
      <c r="BW123" s="53"/>
      <c r="BX123" s="53"/>
      <c r="BY123" s="53"/>
      <c r="BZ123" s="53"/>
      <c r="CA123" s="53"/>
      <c r="CB123" s="53"/>
      <c r="CC123" s="53"/>
      <c r="CD123" s="53"/>
      <c r="CE123" s="53"/>
    </row>
    <row r="125" s="1220" customFormat="1" ht="11.25" customHeight="1">
      <c r="A125" s="1220" t="s">
        <v>1955</v>
      </c>
    </row>
    <row r="127" s="63" customFormat="1" ht="15" customHeight="1">
      <c r="A127" s="784"/>
      <c r="B127" s="63"/>
      <c r="C127" s="63"/>
      <c r="D127" s="226" t="s">
        <v>105</v>
      </c>
      <c r="E127" s="786" t="s">
        <v>101</v>
      </c>
      <c r="F127" s="787"/>
      <c r="G127" s="788"/>
      <c r="H127" s="79" t="str">
        <f>IF(A127="","",INDEX(DIFFERENTIATION_UNMERGE_VD,MATCH(A127,DIFFERENTIATION_ID_DIFF,0)))</f>
        <v/>
      </c>
      <c r="I127" s="79"/>
      <c r="J127" s="79"/>
      <c r="K127" s="79"/>
      <c r="L127" s="79"/>
      <c r="M127" s="79"/>
      <c r="N127" s="79"/>
      <c r="O127" s="79"/>
      <c r="P127" s="79"/>
      <c r="Q127" s="79"/>
      <c r="R127" s="79"/>
      <c r="S127" s="789"/>
      <c r="T127" s="790"/>
      <c r="U127" s="168"/>
      <c r="V127" s="168"/>
      <c r="W127" s="64"/>
      <c r="X127" s="64"/>
      <c r="Y127" s="64"/>
      <c r="Z127" s="64"/>
      <c r="AA127" s="168"/>
      <c r="AB127" s="64"/>
      <c r="AC127" s="791"/>
      <c r="AD127" s="64"/>
      <c r="AE127" s="792" t="s">
        <v>22</v>
      </c>
      <c r="AF127" s="792"/>
      <c r="AG127" s="793" t="s">
        <v>603</v>
      </c>
      <c r="AH127" s="794">
        <v>3</v>
      </c>
      <c r="AI127" s="168"/>
      <c r="AJ127" s="168"/>
      <c r="AK127" s="168"/>
      <c r="AL127" s="168"/>
      <c r="AM127" s="168"/>
      <c r="AN127" s="168"/>
      <c r="AO127" s="168"/>
      <c r="AP127" s="168"/>
      <c r="AQ127" s="168"/>
      <c r="AR127" s="168"/>
      <c r="AS127" s="168"/>
      <c r="AT127" s="168"/>
      <c r="AU127" s="168"/>
      <c r="AV127" s="168"/>
      <c r="AW127" s="168"/>
      <c r="AX127" s="168"/>
      <c r="AY127" s="168"/>
      <c r="AZ127" s="168"/>
      <c r="BA127" s="168"/>
      <c r="BB127" s="168"/>
      <c r="BC127" s="168"/>
      <c r="BD127" s="168"/>
      <c r="BE127" s="168"/>
      <c r="BF127" s="168"/>
      <c r="BG127" s="168"/>
      <c r="BH127" s="168"/>
      <c r="BI127" s="168"/>
      <c r="BJ127" s="168"/>
      <c r="BK127" s="168"/>
      <c r="BL127" s="168"/>
      <c r="BM127" s="168"/>
      <c r="BN127" s="168"/>
      <c r="BO127" s="168"/>
      <c r="BP127" s="168"/>
      <c r="BQ127" s="168"/>
      <c r="BR127" s="168"/>
      <c r="BS127" s="168"/>
      <c r="BT127" s="168"/>
      <c r="BU127" s="168"/>
      <c r="BV127" s="64"/>
      <c r="BW127" s="64"/>
      <c r="BX127" s="64"/>
      <c r="BY127" s="64"/>
      <c r="BZ127" s="64"/>
      <c r="CA127" s="64"/>
      <c r="CB127" s="64"/>
      <c r="CC127" s="64"/>
      <c r="CD127" s="64"/>
      <c r="CE127" s="64"/>
    </row>
    <row r="128" s="63" customFormat="1" ht="15" customHeight="1">
      <c r="A128" s="784"/>
      <c r="B128" s="63"/>
      <c r="C128" s="63"/>
      <c r="D128" s="1256"/>
      <c r="E128" s="786" t="s">
        <v>558</v>
      </c>
      <c r="F128" s="787"/>
      <c r="G128" s="788"/>
      <c r="H128" s="79" t="str">
        <f>IF(A127="","",INDEX(DIFFERENTIATION_UNMERGE_AREA,MATCH(A127,DIFFERENTIATION_ID_DIFF,0)))</f>
        <v/>
      </c>
      <c r="I128" s="79"/>
      <c r="J128" s="79"/>
      <c r="K128" s="79"/>
      <c r="L128" s="79"/>
      <c r="M128" s="79"/>
      <c r="N128" s="79"/>
      <c r="O128" s="79"/>
      <c r="P128" s="79"/>
      <c r="Q128" s="79"/>
      <c r="R128" s="79"/>
      <c r="S128" s="789"/>
      <c r="T128" s="790"/>
      <c r="U128" s="168"/>
      <c r="V128" s="168"/>
      <c r="W128" s="64"/>
      <c r="X128" s="64"/>
      <c r="Y128" s="64"/>
      <c r="Z128" s="64"/>
      <c r="AA128" s="168"/>
      <c r="AB128" s="64"/>
      <c r="AC128" s="791"/>
      <c r="AD128" s="64"/>
      <c r="AE128" s="792"/>
      <c r="AF128" s="792"/>
      <c r="AG128" s="793"/>
      <c r="AH128" s="794"/>
      <c r="AI128" s="168"/>
      <c r="AJ128" s="168"/>
      <c r="AK128" s="168"/>
      <c r="AL128" s="168"/>
      <c r="AM128" s="168"/>
      <c r="AN128" s="168"/>
      <c r="AO128" s="168"/>
      <c r="AP128" s="168"/>
      <c r="AQ128" s="168"/>
      <c r="AR128" s="168"/>
      <c r="AS128" s="168"/>
      <c r="AT128" s="168"/>
      <c r="AU128" s="168"/>
      <c r="AV128" s="168"/>
      <c r="AW128" s="168"/>
      <c r="AX128" s="168"/>
      <c r="AY128" s="168"/>
      <c r="AZ128" s="168"/>
      <c r="BA128" s="168"/>
      <c r="BB128" s="168"/>
      <c r="BC128" s="168"/>
      <c r="BD128" s="168"/>
      <c r="BE128" s="168"/>
      <c r="BF128" s="168"/>
      <c r="BG128" s="168"/>
      <c r="BH128" s="168"/>
      <c r="BI128" s="168"/>
      <c r="BJ128" s="168"/>
      <c r="BK128" s="168"/>
      <c r="BL128" s="168"/>
      <c r="BM128" s="168"/>
      <c r="BN128" s="168"/>
      <c r="BO128" s="168"/>
      <c r="BP128" s="168"/>
      <c r="BQ128" s="168"/>
      <c r="BR128" s="168"/>
      <c r="BS128" s="168"/>
      <c r="BT128" s="168"/>
      <c r="BU128" s="168"/>
      <c r="BV128" s="64"/>
      <c r="BW128" s="64"/>
      <c r="BX128" s="64"/>
      <c r="BY128" s="64"/>
      <c r="BZ128" s="64"/>
      <c r="CA128" s="64"/>
      <c r="CB128" s="64"/>
      <c r="CC128" s="64"/>
      <c r="CD128" s="64"/>
      <c r="CE128" s="64"/>
    </row>
    <row r="129" s="63" customFormat="1" ht="15" customHeight="1">
      <c r="A129" s="784"/>
      <c r="B129" s="63"/>
      <c r="C129" s="63"/>
      <c r="D129" s="1256"/>
      <c r="E129" s="786" t="s">
        <v>559</v>
      </c>
      <c r="F129" s="787"/>
      <c r="G129" s="788"/>
      <c r="H129" s="79" t="str">
        <f>IF(A127="","",INDEX(DIFFERENTIATION_UNMERGE_SYSTEM,MATCH(A127,DIFFERENTIATION_ID_DIFF,0)))</f>
        <v/>
      </c>
      <c r="I129" s="79"/>
      <c r="J129" s="79"/>
      <c r="K129" s="79"/>
      <c r="L129" s="79"/>
      <c r="M129" s="79"/>
      <c r="N129" s="79"/>
      <c r="O129" s="79"/>
      <c r="P129" s="79"/>
      <c r="Q129" s="79"/>
      <c r="R129" s="79"/>
      <c r="S129" s="789"/>
      <c r="T129" s="790"/>
      <c r="U129" s="168"/>
      <c r="V129" s="168"/>
      <c r="W129" s="64"/>
      <c r="X129" s="64"/>
      <c r="Y129" s="64"/>
      <c r="Z129" s="64"/>
      <c r="AA129" s="168"/>
      <c r="AB129" s="64"/>
      <c r="AC129" s="791"/>
      <c r="AD129" s="64"/>
      <c r="AE129" s="792"/>
      <c r="AF129" s="792"/>
      <c r="AG129" s="793"/>
      <c r="AH129" s="794"/>
      <c r="AI129" s="168"/>
      <c r="AJ129" s="168"/>
      <c r="AK129" s="168"/>
      <c r="AL129" s="168"/>
      <c r="AM129" s="168"/>
      <c r="AN129" s="168"/>
      <c r="AO129" s="168"/>
      <c r="AP129" s="168"/>
      <c r="AQ129" s="168"/>
      <c r="AR129" s="168"/>
      <c r="AS129" s="168"/>
      <c r="AT129" s="168"/>
      <c r="AU129" s="168"/>
      <c r="AV129" s="168"/>
      <c r="AW129" s="168"/>
      <c r="AX129" s="168"/>
      <c r="AY129" s="168"/>
      <c r="AZ129" s="168"/>
      <c r="BA129" s="168"/>
      <c r="BB129" s="168"/>
      <c r="BC129" s="168"/>
      <c r="BD129" s="168"/>
      <c r="BE129" s="168"/>
      <c r="BF129" s="168"/>
      <c r="BG129" s="168"/>
      <c r="BH129" s="168"/>
      <c r="BI129" s="168"/>
      <c r="BJ129" s="168"/>
      <c r="BK129" s="168"/>
      <c r="BL129" s="168"/>
      <c r="BM129" s="168"/>
      <c r="BN129" s="168"/>
      <c r="BO129" s="168"/>
      <c r="BP129" s="168"/>
      <c r="BQ129" s="168"/>
      <c r="BR129" s="168"/>
      <c r="BS129" s="168"/>
      <c r="BT129" s="168"/>
      <c r="BU129" s="168"/>
      <c r="BV129" s="64"/>
      <c r="BW129" s="64"/>
      <c r="BX129" s="64"/>
      <c r="BY129" s="64"/>
      <c r="BZ129" s="64"/>
      <c r="CA129" s="64"/>
      <c r="CB129" s="64"/>
      <c r="CC129" s="64"/>
      <c r="CD129" s="64"/>
      <c r="CE129" s="64"/>
    </row>
    <row r="130" s="63" customFormat="1" ht="24.75" customHeight="1">
      <c r="A130" s="114"/>
      <c r="B130" s="53"/>
      <c r="C130" s="169"/>
      <c r="D130" s="1256"/>
      <c r="E130" s="796" t="s">
        <v>604</v>
      </c>
      <c r="F130" s="796"/>
      <c r="G130" s="796"/>
      <c r="H130" s="796"/>
      <c r="I130" s="796"/>
      <c r="J130" s="796"/>
      <c r="K130" s="796"/>
      <c r="L130" s="796"/>
      <c r="M130" s="796"/>
      <c r="N130" s="796"/>
      <c r="O130" s="796"/>
      <c r="P130" s="796"/>
      <c r="Q130" s="729">
        <f>SUMIF(T131:T132,"i",Q131:Q132)</f>
        <v>0</v>
      </c>
      <c r="R130" s="797"/>
      <c r="S130" s="314" t="s">
        <v>605</v>
      </c>
      <c r="T130" s="790" t="s">
        <v>606</v>
      </c>
      <c r="U130" s="133">
        <v>1</v>
      </c>
      <c r="V130" s="133" t="s">
        <v>569</v>
      </c>
      <c r="W130" s="53"/>
      <c r="X130" s="53"/>
      <c r="Y130" s="53"/>
      <c r="Z130" s="53"/>
      <c r="AA130" s="57"/>
      <c r="AB130" s="53"/>
      <c r="AC130" s="791"/>
      <c r="AD130" s="64"/>
      <c r="AE130" s="53"/>
      <c r="AF130" s="53"/>
      <c r="AG130" s="57"/>
      <c r="AH130" s="57"/>
      <c r="AI130" s="57"/>
      <c r="AJ130" s="57"/>
      <c r="AK130" s="57"/>
      <c r="AL130" s="57"/>
      <c r="AM130" s="57"/>
      <c r="AN130" s="57"/>
      <c r="AO130" s="57"/>
      <c r="AP130" s="57"/>
      <c r="AQ130" s="57"/>
      <c r="AR130" s="57"/>
      <c r="AS130" s="57"/>
      <c r="AT130" s="57"/>
      <c r="AU130" s="57"/>
      <c r="AV130" s="57"/>
      <c r="AW130" s="57"/>
      <c r="AX130" s="57"/>
      <c r="AY130" s="57"/>
      <c r="AZ130" s="57"/>
      <c r="BA130" s="57"/>
      <c r="BB130" s="57"/>
      <c r="BC130" s="57"/>
      <c r="BD130" s="57"/>
      <c r="BE130" s="57"/>
      <c r="BF130" s="57"/>
      <c r="BG130" s="57"/>
      <c r="BH130" s="57"/>
      <c r="BI130" s="57"/>
      <c r="BJ130" s="57"/>
      <c r="BK130" s="57"/>
      <c r="BL130" s="57"/>
      <c r="BM130" s="57"/>
      <c r="BN130" s="57"/>
      <c r="BO130" s="57"/>
      <c r="BP130" s="57"/>
      <c r="BQ130" s="57"/>
      <c r="BR130" s="57"/>
      <c r="BS130" s="57"/>
      <c r="BT130" s="57"/>
      <c r="BU130" s="57"/>
      <c r="BV130" s="53"/>
      <c r="BW130" s="53"/>
      <c r="BX130" s="53"/>
      <c r="BY130" s="53"/>
      <c r="BZ130" s="53"/>
      <c r="CA130" s="53"/>
      <c r="CB130" s="53"/>
      <c r="CC130" s="53"/>
      <c r="CD130" s="53"/>
      <c r="CE130" s="53"/>
    </row>
    <row r="131" s="63" customFormat="1" ht="11.25" hidden="1" customHeight="1">
      <c r="A131" s="133"/>
      <c r="B131" s="57"/>
      <c r="C131" s="57"/>
      <c r="D131" s="1256"/>
      <c r="E131" s="352"/>
      <c r="F131" s="352">
        <v>0</v>
      </c>
      <c r="G131" s="352"/>
      <c r="H131" s="352"/>
      <c r="I131" s="352"/>
      <c r="J131" s="352"/>
      <c r="K131" s="352"/>
      <c r="L131" s="352"/>
      <c r="M131" s="352"/>
      <c r="N131" s="352"/>
      <c r="O131" s="352"/>
      <c r="P131" s="352"/>
      <c r="Q131" s="352"/>
      <c r="R131" s="352"/>
      <c r="S131" s="351"/>
      <c r="T131" s="798"/>
      <c r="U131" s="133"/>
      <c r="V131" s="133"/>
      <c r="W131" s="57"/>
      <c r="X131" s="57"/>
      <c r="Y131" s="57"/>
      <c r="Z131" s="57"/>
      <c r="AA131" s="57"/>
      <c r="AB131" s="53"/>
      <c r="AC131" s="791"/>
      <c r="AD131" s="64"/>
      <c r="AE131" s="53"/>
      <c r="AF131" s="53"/>
      <c r="AG131" s="57"/>
      <c r="AH131" s="57"/>
      <c r="AI131" s="57"/>
      <c r="AJ131" s="57"/>
      <c r="AK131" s="57"/>
      <c r="AL131" s="57"/>
      <c r="AM131" s="57"/>
      <c r="AN131" s="57"/>
      <c r="AO131" s="57"/>
      <c r="AP131" s="57"/>
      <c r="AQ131" s="57"/>
      <c r="AR131" s="57"/>
      <c r="AS131" s="57"/>
      <c r="AT131" s="57"/>
      <c r="AU131" s="57"/>
      <c r="AV131" s="57"/>
      <c r="AW131" s="57"/>
      <c r="AX131" s="57"/>
      <c r="AY131" s="57"/>
      <c r="AZ131" s="57"/>
      <c r="BA131" s="57"/>
      <c r="BB131" s="57"/>
      <c r="BC131" s="57"/>
      <c r="BD131" s="57"/>
      <c r="BE131" s="57"/>
      <c r="BF131" s="57"/>
      <c r="BG131" s="57"/>
      <c r="BH131" s="57"/>
      <c r="BI131" s="57"/>
      <c r="BJ131" s="57"/>
      <c r="BK131" s="57"/>
      <c r="BL131" s="57"/>
      <c r="BM131" s="57"/>
      <c r="BN131" s="57"/>
      <c r="BO131" s="57"/>
      <c r="BP131" s="57"/>
      <c r="BQ131" s="57"/>
      <c r="BR131" s="57"/>
      <c r="BS131" s="57"/>
      <c r="BT131" s="57"/>
      <c r="BU131" s="57"/>
      <c r="BV131" s="57"/>
      <c r="BW131" s="57"/>
      <c r="BX131" s="57"/>
      <c r="BY131" s="57"/>
      <c r="BZ131" s="57"/>
      <c r="CA131" s="57"/>
      <c r="CB131" s="57"/>
      <c r="CC131" s="57"/>
      <c r="CD131" s="57"/>
      <c r="CE131" s="57"/>
    </row>
    <row r="132" s="63" customFormat="1" ht="11.25" customHeight="1">
      <c r="A132" s="114"/>
      <c r="B132" s="53"/>
      <c r="C132" s="169"/>
      <c r="D132" s="1256"/>
      <c r="E132" s="639" t="s">
        <v>22</v>
      </c>
      <c r="F132" s="173" t="s">
        <v>22</v>
      </c>
      <c r="G132" s="173" t="s">
        <v>1954</v>
      </c>
      <c r="H132" s="178" t="s">
        <v>22</v>
      </c>
      <c r="I132" s="178"/>
      <c r="J132" s="178"/>
      <c r="K132" s="178"/>
      <c r="L132" s="178"/>
      <c r="M132" s="178"/>
      <c r="N132" s="178"/>
      <c r="O132" s="178"/>
      <c r="P132" s="178"/>
      <c r="Q132" s="178"/>
      <c r="R132" s="230"/>
      <c r="S132" s="1257"/>
      <c r="T132" s="798"/>
      <c r="U132" s="133"/>
      <c r="V132" s="133"/>
      <c r="W132" s="53"/>
      <c r="X132" s="53"/>
      <c r="Y132" s="53"/>
      <c r="Z132" s="53"/>
      <c r="AA132" s="57"/>
      <c r="AB132" s="53"/>
      <c r="AC132" s="791"/>
      <c r="AD132" s="64"/>
      <c r="AE132" s="53"/>
      <c r="AF132" s="53"/>
      <c r="AG132" s="57"/>
      <c r="AH132" s="57"/>
      <c r="AI132" s="57"/>
      <c r="AJ132" s="57"/>
      <c r="AK132" s="57"/>
      <c r="AL132" s="57"/>
      <c r="AM132" s="57"/>
      <c r="AN132" s="57"/>
      <c r="AO132" s="57"/>
      <c r="AP132" s="57"/>
      <c r="AQ132" s="57"/>
      <c r="AR132" s="57"/>
      <c r="AS132" s="57"/>
      <c r="AT132" s="57"/>
      <c r="AU132" s="57"/>
      <c r="AV132" s="57"/>
      <c r="AW132" s="57"/>
      <c r="AX132" s="57"/>
      <c r="AY132" s="57"/>
      <c r="AZ132" s="57"/>
      <c r="BA132" s="57"/>
      <c r="BB132" s="57"/>
      <c r="BC132" s="57"/>
      <c r="BD132" s="57"/>
      <c r="BE132" s="57"/>
      <c r="BF132" s="57"/>
      <c r="BG132" s="57"/>
      <c r="BH132" s="57"/>
      <c r="BI132" s="57"/>
      <c r="BJ132" s="57"/>
      <c r="BK132" s="57"/>
      <c r="BL132" s="57"/>
      <c r="BM132" s="57"/>
      <c r="BN132" s="57"/>
      <c r="BO132" s="57"/>
      <c r="BP132" s="57"/>
      <c r="BQ132" s="57"/>
      <c r="BR132" s="57"/>
      <c r="BS132" s="57"/>
      <c r="BT132" s="57"/>
      <c r="BU132" s="57"/>
      <c r="BV132" s="53"/>
      <c r="BW132" s="53"/>
      <c r="BX132" s="53"/>
      <c r="BY132" s="53"/>
      <c r="BZ132" s="53"/>
      <c r="CA132" s="53"/>
      <c r="CB132" s="53"/>
      <c r="CC132" s="53"/>
      <c r="CD132" s="53"/>
      <c r="CE132" s="53"/>
    </row>
    <row r="133" s="168" customFormat="1" ht="5.25" hidden="1" customHeight="1">
      <c r="A133" s="133"/>
      <c r="B133" s="57"/>
      <c r="C133" s="57"/>
      <c r="D133" s="1256"/>
      <c r="E133" s="1259"/>
      <c r="F133" s="1259"/>
      <c r="G133" s="1259"/>
      <c r="H133" s="1259"/>
      <c r="I133" s="1259"/>
      <c r="J133" s="1259"/>
      <c r="K133" s="1259"/>
      <c r="L133" s="1259"/>
      <c r="M133" s="1259"/>
      <c r="N133" s="1259"/>
      <c r="O133" s="1259"/>
      <c r="P133" s="1259"/>
      <c r="Q133" s="652"/>
      <c r="R133" s="1260"/>
      <c r="S133" s="352"/>
      <c r="T133" s="790" t="s">
        <v>606</v>
      </c>
      <c r="U133" s="133">
        <v>1</v>
      </c>
      <c r="V133" s="133" t="s">
        <v>569</v>
      </c>
      <c r="W133" s="57"/>
      <c r="X133" s="57"/>
      <c r="Y133" s="57"/>
      <c r="Z133" s="57"/>
      <c r="AA133" s="57"/>
      <c r="AB133" s="57"/>
      <c r="AC133" s="1261"/>
      <c r="AD133" s="168"/>
      <c r="AE133" s="57"/>
      <c r="AF133" s="57"/>
      <c r="AG133" s="57"/>
      <c r="AH133" s="57"/>
      <c r="AI133" s="57"/>
      <c r="AJ133" s="57"/>
      <c r="AK133" s="57"/>
      <c r="AL133" s="57"/>
      <c r="AM133" s="57"/>
      <c r="AN133" s="57"/>
      <c r="AO133" s="57"/>
      <c r="AP133" s="57"/>
      <c r="AQ133" s="57"/>
      <c r="AR133" s="57"/>
      <c r="AS133" s="57"/>
      <c r="AT133" s="57"/>
      <c r="AU133" s="57"/>
      <c r="AV133" s="57"/>
      <c r="AW133" s="57"/>
      <c r="AX133" s="57"/>
      <c r="AY133" s="57"/>
      <c r="AZ133" s="57"/>
      <c r="BA133" s="57"/>
      <c r="BB133" s="57"/>
      <c r="BC133" s="57"/>
      <c r="BD133" s="57"/>
      <c r="BE133" s="57"/>
      <c r="BF133" s="57"/>
      <c r="BG133" s="57"/>
      <c r="BH133" s="57"/>
      <c r="BI133" s="57"/>
      <c r="BJ133" s="57"/>
      <c r="BK133" s="57"/>
      <c r="BL133" s="57"/>
      <c r="BM133" s="57"/>
      <c r="BN133" s="57"/>
      <c r="BO133" s="57"/>
      <c r="BP133" s="57"/>
      <c r="BQ133" s="57"/>
      <c r="BR133" s="57"/>
      <c r="BS133" s="57"/>
      <c r="BT133" s="57"/>
      <c r="BU133" s="57"/>
      <c r="BV133" s="57"/>
      <c r="BW133" s="57"/>
      <c r="BX133" s="57"/>
      <c r="BY133" s="57"/>
      <c r="BZ133" s="57"/>
      <c r="CA133" s="57"/>
      <c r="CB133" s="57"/>
      <c r="CC133" s="57"/>
      <c r="CD133" s="57"/>
      <c r="CE133" s="57"/>
    </row>
    <row r="134" s="168" customFormat="1" ht="5.25" hidden="1" customHeight="1">
      <c r="A134" s="133"/>
      <c r="B134" s="57"/>
      <c r="C134" s="57"/>
      <c r="D134" s="1256"/>
      <c r="E134" s="352"/>
      <c r="F134" s="352"/>
      <c r="G134" s="352"/>
      <c r="H134" s="352"/>
      <c r="I134" s="352"/>
      <c r="J134" s="352"/>
      <c r="K134" s="352"/>
      <c r="L134" s="352"/>
      <c r="M134" s="352"/>
      <c r="N134" s="352"/>
      <c r="O134" s="352"/>
      <c r="P134" s="352"/>
      <c r="Q134" s="352"/>
      <c r="R134" s="352"/>
      <c r="S134" s="351"/>
      <c r="T134" s="798"/>
      <c r="U134" s="133"/>
      <c r="V134" s="133"/>
      <c r="W134" s="57"/>
      <c r="X134" s="57"/>
      <c r="Y134" s="57"/>
      <c r="Z134" s="57"/>
      <c r="AA134" s="57"/>
      <c r="AB134" s="57"/>
      <c r="AC134" s="1261"/>
      <c r="AD134" s="168"/>
      <c r="AE134" s="57"/>
      <c r="AF134" s="57"/>
      <c r="AG134" s="57"/>
      <c r="AH134" s="57"/>
      <c r="AI134" s="57"/>
      <c r="AJ134" s="57"/>
      <c r="AK134" s="57"/>
      <c r="AL134" s="57"/>
      <c r="AM134" s="57"/>
      <c r="AN134" s="57"/>
      <c r="AO134" s="57"/>
      <c r="AP134" s="57"/>
      <c r="AQ134" s="57"/>
      <c r="AR134" s="57"/>
      <c r="AS134" s="57"/>
      <c r="AT134" s="57"/>
      <c r="AU134" s="57"/>
      <c r="AV134" s="57"/>
      <c r="AW134" s="57"/>
      <c r="AX134" s="57"/>
      <c r="AY134" s="57"/>
      <c r="AZ134" s="57"/>
      <c r="BA134" s="57"/>
      <c r="BB134" s="57"/>
      <c r="BC134" s="57"/>
      <c r="BD134" s="57"/>
      <c r="BE134" s="57"/>
      <c r="BF134" s="57"/>
      <c r="BG134" s="57"/>
      <c r="BH134" s="57"/>
      <c r="BI134" s="57"/>
      <c r="BJ134" s="57"/>
      <c r="BK134" s="57"/>
      <c r="BL134" s="57"/>
      <c r="BM134" s="57"/>
      <c r="BN134" s="57"/>
      <c r="BO134" s="57"/>
      <c r="BP134" s="57"/>
      <c r="BQ134" s="57"/>
      <c r="BR134" s="57"/>
      <c r="BS134" s="57"/>
      <c r="BT134" s="57"/>
      <c r="BU134" s="57"/>
      <c r="BV134" s="57"/>
      <c r="BW134" s="57"/>
      <c r="BX134" s="57"/>
      <c r="BY134" s="57"/>
      <c r="BZ134" s="57"/>
      <c r="CA134" s="57"/>
      <c r="CB134" s="57"/>
      <c r="CC134" s="57"/>
      <c r="CD134" s="57"/>
      <c r="CE134" s="57"/>
    </row>
    <row r="135" s="168" customFormat="1" ht="5.25" hidden="1" customHeight="1">
      <c r="A135" s="133"/>
      <c r="B135" s="57"/>
      <c r="C135" s="57"/>
      <c r="D135" s="1258"/>
      <c r="E135" s="1262"/>
      <c r="F135" s="1263"/>
      <c r="G135" s="1263"/>
      <c r="H135" s="1264"/>
      <c r="I135" s="1264"/>
      <c r="J135" s="1264"/>
      <c r="K135" s="1264"/>
      <c r="L135" s="1264"/>
      <c r="M135" s="1264"/>
      <c r="N135" s="1264"/>
      <c r="O135" s="1264"/>
      <c r="P135" s="1264"/>
      <c r="Q135" s="1264"/>
      <c r="R135" s="1265"/>
      <c r="S135" s="1266"/>
      <c r="T135" s="798"/>
      <c r="U135" s="133"/>
      <c r="V135" s="133"/>
      <c r="W135" s="57"/>
      <c r="X135" s="57"/>
      <c r="Y135" s="57"/>
      <c r="Z135" s="57"/>
      <c r="AA135" s="57"/>
      <c r="AB135" s="57"/>
      <c r="AC135" s="1261"/>
      <c r="AD135" s="168"/>
      <c r="AE135" s="57"/>
      <c r="AF135" s="57"/>
      <c r="AG135" s="57"/>
      <c r="AH135" s="57"/>
      <c r="AI135" s="57"/>
      <c r="AJ135" s="57"/>
      <c r="AK135" s="57"/>
      <c r="AL135" s="57"/>
      <c r="AM135" s="57"/>
      <c r="AN135" s="57"/>
      <c r="AO135" s="57"/>
      <c r="AP135" s="57"/>
      <c r="AQ135" s="57"/>
      <c r="AR135" s="57"/>
      <c r="AS135" s="57"/>
      <c r="AT135" s="57"/>
      <c r="AU135" s="57"/>
      <c r="AV135" s="57"/>
      <c r="AW135" s="57"/>
      <c r="AX135" s="57"/>
      <c r="AY135" s="57"/>
      <c r="AZ135" s="57"/>
      <c r="BA135" s="57"/>
      <c r="BB135" s="57"/>
      <c r="BC135" s="57"/>
      <c r="BD135" s="57"/>
      <c r="BE135" s="57"/>
      <c r="BF135" s="57"/>
      <c r="BG135" s="57"/>
      <c r="BH135" s="57"/>
      <c r="BI135" s="57"/>
      <c r="BJ135" s="57"/>
      <c r="BK135" s="57"/>
      <c r="BL135" s="57"/>
      <c r="BM135" s="57"/>
      <c r="BN135" s="57"/>
      <c r="BO135" s="57"/>
      <c r="BP135" s="57"/>
      <c r="BQ135" s="57"/>
      <c r="BR135" s="57"/>
      <c r="BS135" s="57"/>
      <c r="BT135" s="57"/>
      <c r="BU135" s="57"/>
      <c r="BV135" s="57"/>
      <c r="BW135" s="57"/>
      <c r="BX135" s="57"/>
      <c r="BY135" s="57"/>
      <c r="BZ135" s="57"/>
      <c r="CA135" s="57"/>
      <c r="CB135" s="57"/>
      <c r="CC135" s="57"/>
      <c r="CD135" s="57"/>
      <c r="CE135" s="57"/>
    </row>
    <row r="136" ht="17.25" customHeight="1">
      <c r="D136" s="1267"/>
    </row>
    <row r="137" s="1220" customFormat="1" ht="11.25" customHeight="1">
      <c r="A137" s="1220" t="s">
        <v>1956</v>
      </c>
    </row>
    <row r="139" s="63" customFormat="1" ht="45" customHeight="1">
      <c r="A139" s="114"/>
      <c r="B139" s="53"/>
      <c r="C139" s="169"/>
      <c r="D139" s="63"/>
      <c r="E139" s="1268"/>
      <c r="F139" s="219" t="s">
        <v>105</v>
      </c>
      <c r="G139" s="1269" t="s">
        <v>22</v>
      </c>
      <c r="H139" s="486"/>
      <c r="I139" s="1270" t="s">
        <v>105</v>
      </c>
      <c r="J139" s="831" t="s">
        <v>1957</v>
      </c>
      <c r="K139" s="252" t="s">
        <v>540</v>
      </c>
      <c r="L139" s="419" t="s">
        <v>540</v>
      </c>
      <c r="M139" s="247"/>
      <c r="N139" s="252" t="s">
        <v>540</v>
      </c>
      <c r="O139" s="252" t="s">
        <v>540</v>
      </c>
      <c r="P139" s="252" t="s">
        <v>540</v>
      </c>
      <c r="Q139" s="987">
        <f>SUM(Q140:Q142)</f>
        <v>0</v>
      </c>
      <c r="R139" s="987">
        <f>IF(R136=0,0,(Q136/R136)*100)</f>
        <v>0</v>
      </c>
      <c r="S139" s="314"/>
      <c r="T139" s="790" t="s">
        <v>606</v>
      </c>
      <c r="U139" s="63"/>
      <c r="V139" s="63"/>
      <c r="AC139" s="63"/>
    </row>
    <row r="140" s="63" customFormat="1" ht="11.25" customHeight="1">
      <c r="A140" s="114"/>
      <c r="B140" s="53"/>
      <c r="C140" s="169"/>
      <c r="D140" s="63"/>
      <c r="E140" s="1240"/>
      <c r="F140" s="219"/>
      <c r="G140" s="1269"/>
      <c r="H140" s="158"/>
      <c r="I140" s="922" t="s">
        <v>1052</v>
      </c>
      <c r="J140" s="1056"/>
      <c r="K140" s="1271"/>
      <c r="L140" s="1049"/>
      <c r="M140" s="1272" t="s">
        <v>105</v>
      </c>
      <c r="N140" s="358"/>
      <c r="O140" s="434"/>
      <c r="P140" s="514"/>
      <c r="Q140" s="434"/>
      <c r="R140" s="534">
        <v>0</v>
      </c>
      <c r="S140" s="314"/>
      <c r="T140" s="790"/>
      <c r="U140" s="63"/>
      <c r="V140" s="63"/>
      <c r="AC140" s="63"/>
    </row>
    <row r="141" s="63" customFormat="1" ht="11.25" customHeight="1">
      <c r="A141" s="114"/>
      <c r="B141" s="53"/>
      <c r="C141" s="169"/>
      <c r="D141" s="63"/>
      <c r="E141" s="1240"/>
      <c r="F141" s="219"/>
      <c r="G141" s="1269"/>
      <c r="H141" s="158"/>
      <c r="I141" s="922"/>
      <c r="J141" s="1056"/>
      <c r="K141" s="358"/>
      <c r="L141" s="1273"/>
      <c r="M141" s="1274"/>
      <c r="N141" s="178" t="s">
        <v>1958</v>
      </c>
      <c r="O141" s="178"/>
      <c r="P141" s="178"/>
      <c r="Q141" s="178"/>
      <c r="R141" s="230"/>
      <c r="S141" s="314"/>
      <c r="T141" s="790"/>
      <c r="U141" s="63"/>
      <c r="V141" s="63"/>
      <c r="AC141" s="63"/>
    </row>
    <row r="142" s="63" customFormat="1" ht="11.25" customHeight="1">
      <c r="A142" s="114"/>
      <c r="B142" s="53"/>
      <c r="C142" s="169"/>
      <c r="D142" s="63"/>
      <c r="E142" s="1275"/>
      <c r="F142" s="219"/>
      <c r="G142" s="95"/>
      <c r="H142" s="1273" t="s">
        <v>22</v>
      </c>
      <c r="I142" s="1274"/>
      <c r="J142" s="178" t="s">
        <v>1959</v>
      </c>
      <c r="K142" s="178"/>
      <c r="L142" s="178"/>
      <c r="M142" s="178"/>
      <c r="N142" s="178"/>
      <c r="O142" s="178"/>
      <c r="P142" s="178"/>
      <c r="Q142" s="178"/>
      <c r="R142" s="230"/>
      <c r="S142" s="314"/>
      <c r="T142" s="790"/>
      <c r="U142" s="63"/>
      <c r="V142" s="63"/>
      <c r="AC142" s="63"/>
    </row>
    <row r="147" s="63" customFormat="1" ht="11.25" customHeight="1">
      <c r="A147" s="114"/>
      <c r="B147" s="53"/>
      <c r="C147" s="169"/>
      <c r="D147" s="63"/>
      <c r="E147" s="952"/>
      <c r="F147" s="952"/>
      <c r="G147" s="952"/>
      <c r="H147" s="158"/>
      <c r="I147" s="922" t="s">
        <v>1052</v>
      </c>
      <c r="J147" s="1056"/>
      <c r="K147" s="1271"/>
      <c r="L147" s="1049"/>
      <c r="M147" s="1272" t="s">
        <v>105</v>
      </c>
      <c r="N147" s="358"/>
      <c r="O147" s="434"/>
      <c r="P147" s="514"/>
      <c r="Q147" s="434"/>
      <c r="R147" s="534">
        <v>0</v>
      </c>
      <c r="S147" s="63"/>
      <c r="T147" s="790"/>
      <c r="U147" s="63"/>
      <c r="V147" s="63"/>
      <c r="AC147" s="63"/>
    </row>
    <row r="148" s="63" customFormat="1" ht="11.25" customHeight="1">
      <c r="A148" s="114"/>
      <c r="B148" s="53"/>
      <c r="C148" s="169"/>
      <c r="D148" s="63"/>
      <c r="E148" s="952"/>
      <c r="F148" s="952"/>
      <c r="G148" s="952"/>
      <c r="H148" s="158"/>
      <c r="I148" s="922"/>
      <c r="J148" s="1056"/>
      <c r="K148" s="358"/>
      <c r="L148" s="1273"/>
      <c r="M148" s="1274"/>
      <c r="N148" s="178" t="s">
        <v>1958</v>
      </c>
      <c r="O148" s="178"/>
      <c r="P148" s="178"/>
      <c r="Q148" s="178"/>
      <c r="R148" s="230"/>
      <c r="S148" s="63"/>
      <c r="T148" s="790"/>
      <c r="U148" s="63"/>
      <c r="V148" s="63"/>
      <c r="AC148" s="63"/>
    </row>
    <row r="150" s="63" customFormat="1" ht="11.25" customHeight="1">
      <c r="A150" s="114"/>
      <c r="B150" s="53"/>
      <c r="C150" s="169"/>
      <c r="D150" s="63"/>
      <c r="E150" s="1276"/>
      <c r="F150" s="63"/>
      <c r="G150" s="63"/>
      <c r="H150" s="1277"/>
      <c r="I150" s="952"/>
      <c r="J150" s="968"/>
      <c r="K150" s="968"/>
      <c r="L150" s="1049"/>
      <c r="M150" s="1272" t="s">
        <v>105</v>
      </c>
      <c r="N150" s="358"/>
      <c r="O150" s="434"/>
      <c r="P150" s="514"/>
      <c r="Q150" s="434"/>
      <c r="R150" s="534">
        <v>0</v>
      </c>
      <c r="S150" s="63"/>
      <c r="T150" s="790"/>
      <c r="U150" s="63"/>
      <c r="V150" s="63"/>
      <c r="AC150" s="63"/>
    </row>
    <row r="152" s="1220" customFormat="1" ht="17.25" customHeight="1">
      <c r="A152" s="1220" t="s">
        <v>1960</v>
      </c>
    </row>
    <row r="153" ht="17.25" customHeight="1">
      <c r="G153" s="274"/>
      <c r="H153" s="274"/>
      <c r="I153" s="274"/>
      <c r="M153" s="63"/>
    </row>
    <row r="154" s="185" customFormat="1" ht="17.25" customHeight="1">
      <c r="A154" s="254"/>
      <c r="C154" s="129"/>
      <c r="D154" s="251"/>
      <c r="E154" s="256"/>
      <c r="F154" s="257"/>
      <c r="G154" s="1278"/>
      <c r="H154" s="251"/>
      <c r="I154" s="251">
        <v>1</v>
      </c>
      <c r="J154" s="388"/>
      <c r="K154" s="315" t="s">
        <v>64</v>
      </c>
      <c r="L154" s="219"/>
      <c r="M154" s="219" t="s">
        <v>105</v>
      </c>
      <c r="N154" s="1279" t="str">
        <f>IF(Z154="","",INDEX(TERRITORY_MR_LIST,MATCH(Z154,TERRITORY_LIST_ID,0)))</f>
        <v/>
      </c>
      <c r="O154" s="315" t="s">
        <v>64</v>
      </c>
      <c r="P154" s="219"/>
      <c r="Q154" s="219" t="s">
        <v>105</v>
      </c>
      <c r="R154" s="358" t="s">
        <v>22</v>
      </c>
      <c r="S154" s="225" t="s">
        <v>64</v>
      </c>
      <c r="T154" s="219"/>
      <c r="U154" s="219" t="s">
        <v>105</v>
      </c>
      <c r="V154" s="358" t="s">
        <v>22</v>
      </c>
      <c r="W154" s="388"/>
      <c r="Y154" s="265"/>
      <c r="Z154" s="265"/>
      <c r="AA154" s="265"/>
      <c r="AB154" s="265"/>
      <c r="AC154" s="265"/>
      <c r="AD154" s="265"/>
      <c r="AE154" s="265"/>
      <c r="AF154" s="265"/>
      <c r="AG154" s="265"/>
      <c r="AH154" s="265"/>
      <c r="AI154" s="265"/>
      <c r="AJ154" s="265"/>
      <c r="AK154" s="265"/>
      <c r="AL154" s="62"/>
      <c r="AM154" s="62"/>
      <c r="AN154" s="265"/>
      <c r="AO154" s="265"/>
      <c r="AP154" s="265"/>
      <c r="AQ154" s="265"/>
    </row>
    <row r="155" s="185" customFormat="1" ht="17.25" customHeight="1">
      <c r="A155" s="254"/>
      <c r="C155" s="185"/>
      <c r="D155" s="251"/>
      <c r="E155" s="256"/>
      <c r="F155" s="266"/>
      <c r="G155" s="1278"/>
      <c r="H155" s="251"/>
      <c r="I155" s="251"/>
      <c r="J155" s="388"/>
      <c r="K155" s="321"/>
      <c r="L155" s="219"/>
      <c r="M155" s="219"/>
      <c r="N155" s="1279"/>
      <c r="O155" s="321"/>
      <c r="P155" s="219"/>
      <c r="Q155" s="219"/>
      <c r="R155" s="358"/>
      <c r="S155" s="225"/>
      <c r="T155" s="1280"/>
      <c r="U155" s="1281"/>
      <c r="V155" s="1281" t="s">
        <v>408</v>
      </c>
      <c r="W155" s="1282"/>
      <c r="Y155" s="107"/>
      <c r="Z155" s="107"/>
      <c r="AA155" s="107"/>
      <c r="AB155" s="107"/>
      <c r="AC155" s="107"/>
      <c r="AD155" s="107"/>
      <c r="AE155" s="107"/>
      <c r="AF155" s="107"/>
      <c r="AG155" s="107"/>
      <c r="AH155" s="107"/>
      <c r="AI155" s="107"/>
      <c r="AJ155" s="107"/>
      <c r="AK155" s="107"/>
    </row>
    <row r="156" s="185" customFormat="1" ht="17.25" customHeight="1">
      <c r="A156" s="254"/>
      <c r="C156" s="185"/>
      <c r="D156" s="275"/>
      <c r="E156" s="276"/>
      <c r="F156" s="266"/>
      <c r="G156" s="1283"/>
      <c r="H156" s="275"/>
      <c r="I156" s="275"/>
      <c r="J156" s="1284"/>
      <c r="K156" s="321"/>
      <c r="L156" s="275"/>
      <c r="M156" s="275"/>
      <c r="N156" s="1285"/>
      <c r="O156" s="221"/>
      <c r="P156" s="1280"/>
      <c r="Q156" s="1281"/>
      <c r="R156" s="1281" t="s">
        <v>409</v>
      </c>
      <c r="S156" s="1286"/>
      <c r="T156" s="1286"/>
      <c r="U156" s="1286"/>
      <c r="V156" s="1286"/>
      <c r="W156" s="1282"/>
      <c r="Y156" s="107"/>
      <c r="Z156" s="107"/>
      <c r="AA156" s="107"/>
      <c r="AB156" s="107"/>
      <c r="AC156" s="107"/>
      <c r="AD156" s="107"/>
      <c r="AE156" s="107"/>
      <c r="AF156" s="107"/>
      <c r="AG156" s="107"/>
      <c r="AH156" s="107"/>
      <c r="AI156" s="107"/>
      <c r="AJ156" s="107"/>
      <c r="AK156" s="107"/>
    </row>
    <row r="157" s="185" customFormat="1" ht="17.25" customHeight="1">
      <c r="A157" s="254"/>
      <c r="C157" s="185"/>
      <c r="D157" s="275"/>
      <c r="E157" s="276"/>
      <c r="F157" s="266"/>
      <c r="G157" s="1283"/>
      <c r="H157" s="275"/>
      <c r="I157" s="275"/>
      <c r="J157" s="1284"/>
      <c r="K157" s="221"/>
      <c r="L157" s="1280"/>
      <c r="M157" s="1281"/>
      <c r="N157" s="1281" t="s">
        <v>410</v>
      </c>
      <c r="O157" s="1281"/>
      <c r="P157" s="1281"/>
      <c r="Q157" s="1281"/>
      <c r="R157" s="1281"/>
      <c r="S157" s="1286"/>
      <c r="T157" s="1286"/>
      <c r="U157" s="1286"/>
      <c r="V157" s="1286"/>
      <c r="W157" s="1282"/>
      <c r="Y157" s="107"/>
      <c r="Z157" s="107"/>
      <c r="AA157" s="107"/>
      <c r="AB157" s="107"/>
      <c r="AC157" s="107"/>
      <c r="AD157" s="107"/>
      <c r="AE157" s="107"/>
      <c r="AF157" s="107"/>
      <c r="AG157" s="107"/>
      <c r="AH157" s="107"/>
      <c r="AI157" s="107"/>
      <c r="AJ157" s="107"/>
      <c r="AK157" s="107"/>
    </row>
    <row r="158" s="185" customFormat="1" ht="17.25" customHeight="1">
      <c r="A158" s="254"/>
      <c r="C158" s="185"/>
      <c r="D158" s="275"/>
      <c r="E158" s="276"/>
      <c r="F158" s="277"/>
      <c r="G158" s="1283"/>
      <c r="H158" s="1280"/>
      <c r="I158" s="1281"/>
      <c r="J158" s="1281" t="s">
        <v>442</v>
      </c>
      <c r="K158" s="1281"/>
      <c r="L158" s="1281"/>
      <c r="M158" s="1281"/>
      <c r="N158" s="1281"/>
      <c r="O158" s="1281"/>
      <c r="P158" s="1281"/>
      <c r="Q158" s="1281"/>
      <c r="R158" s="1281"/>
      <c r="S158" s="1286"/>
      <c r="T158" s="1286"/>
      <c r="U158" s="1286"/>
      <c r="V158" s="1286"/>
      <c r="W158" s="1282"/>
      <c r="Y158" s="107"/>
      <c r="Z158" s="107"/>
      <c r="AA158" s="107"/>
      <c r="AB158" s="107"/>
      <c r="AC158" s="107"/>
      <c r="AD158" s="107"/>
      <c r="AE158" s="107"/>
      <c r="AF158" s="107"/>
      <c r="AG158" s="107"/>
      <c r="AH158" s="107"/>
      <c r="AI158" s="107"/>
      <c r="AJ158" s="107"/>
      <c r="AK158" s="107"/>
    </row>
    <row r="159" ht="17.25" customHeight="1">
      <c r="G159" s="274"/>
      <c r="H159" s="274"/>
      <c r="I159" s="274"/>
      <c r="M159" s="63"/>
    </row>
    <row r="160" s="185" customFormat="1" ht="17.25" customHeight="1">
      <c r="A160" s="254"/>
      <c r="C160" s="129"/>
      <c r="D160" s="952"/>
      <c r="E160" s="1287"/>
      <c r="F160" s="266"/>
      <c r="G160" s="1288"/>
      <c r="H160" s="251"/>
      <c r="I160" s="251">
        <v>1</v>
      </c>
      <c r="J160" s="388"/>
      <c r="K160" s="315" t="s">
        <v>64</v>
      </c>
      <c r="L160" s="219"/>
      <c r="M160" s="219" t="s">
        <v>105</v>
      </c>
      <c r="N160" s="1279" t="str">
        <f>IF(Z160="","",INDEX(TERRITORY_MR_LIST,MATCH(Z160,TERRITORY_LIST_ID,0)))</f>
        <v/>
      </c>
      <c r="O160" s="315" t="s">
        <v>64</v>
      </c>
      <c r="P160" s="219"/>
      <c r="Q160" s="219" t="s">
        <v>105</v>
      </c>
      <c r="R160" s="358" t="s">
        <v>22</v>
      </c>
      <c r="S160" s="225" t="s">
        <v>64</v>
      </c>
      <c r="T160" s="219"/>
      <c r="U160" s="219" t="s">
        <v>105</v>
      </c>
      <c r="V160" s="358" t="s">
        <v>22</v>
      </c>
      <c r="W160" s="388"/>
      <c r="Y160" s="265"/>
      <c r="Z160" s="265"/>
      <c r="AA160" s="265"/>
      <c r="AB160" s="265"/>
      <c r="AC160" s="265"/>
      <c r="AD160" s="265"/>
      <c r="AE160" s="265"/>
      <c r="AF160" s="265"/>
      <c r="AG160" s="265"/>
      <c r="AH160" s="265"/>
      <c r="AI160" s="265"/>
      <c r="AJ160" s="265"/>
      <c r="AK160" s="265"/>
      <c r="AL160" s="62"/>
      <c r="AM160" s="62"/>
      <c r="AN160" s="265"/>
      <c r="AO160" s="265"/>
      <c r="AP160" s="265"/>
      <c r="AQ160" s="265"/>
    </row>
    <row r="161" s="185" customFormat="1" ht="17.25" customHeight="1">
      <c r="A161" s="254"/>
      <c r="C161" s="185"/>
      <c r="D161" s="952"/>
      <c r="E161" s="1287"/>
      <c r="F161" s="266"/>
      <c r="G161" s="1288"/>
      <c r="H161" s="251"/>
      <c r="I161" s="251"/>
      <c r="J161" s="388"/>
      <c r="K161" s="321"/>
      <c r="L161" s="219"/>
      <c r="M161" s="219"/>
      <c r="N161" s="1279"/>
      <c r="O161" s="321"/>
      <c r="P161" s="219"/>
      <c r="Q161" s="219"/>
      <c r="R161" s="358"/>
      <c r="S161" s="225"/>
      <c r="T161" s="1280"/>
      <c r="U161" s="1281"/>
      <c r="V161" s="1281" t="s">
        <v>408</v>
      </c>
      <c r="W161" s="1282"/>
      <c r="Y161" s="107"/>
      <c r="Z161" s="107"/>
      <c r="AA161" s="107"/>
      <c r="AB161" s="107"/>
      <c r="AC161" s="107"/>
      <c r="AD161" s="107"/>
      <c r="AE161" s="107"/>
      <c r="AF161" s="107"/>
      <c r="AG161" s="107"/>
      <c r="AH161" s="107"/>
      <c r="AI161" s="107"/>
      <c r="AJ161" s="107"/>
      <c r="AK161" s="107"/>
    </row>
    <row r="162" s="185" customFormat="1" ht="17.25" customHeight="1">
      <c r="A162" s="254"/>
      <c r="C162" s="185"/>
      <c r="D162" s="952"/>
      <c r="E162" s="1287"/>
      <c r="F162" s="266"/>
      <c r="G162" s="1288"/>
      <c r="H162" s="275"/>
      <c r="I162" s="275"/>
      <c r="J162" s="1284"/>
      <c r="K162" s="321"/>
      <c r="L162" s="275"/>
      <c r="M162" s="275"/>
      <c r="N162" s="1285"/>
      <c r="O162" s="221"/>
      <c r="P162" s="1280"/>
      <c r="Q162" s="1281"/>
      <c r="R162" s="1281" t="s">
        <v>409</v>
      </c>
      <c r="S162" s="1286"/>
      <c r="T162" s="1286"/>
      <c r="U162" s="1286"/>
      <c r="V162" s="1286"/>
      <c r="W162" s="1282"/>
      <c r="Y162" s="107"/>
      <c r="Z162" s="107"/>
      <c r="AA162" s="107"/>
      <c r="AB162" s="107"/>
      <c r="AC162" s="107"/>
      <c r="AD162" s="107"/>
      <c r="AE162" s="107"/>
      <c r="AF162" s="107"/>
      <c r="AG162" s="107"/>
      <c r="AH162" s="107"/>
      <c r="AI162" s="107"/>
      <c r="AJ162" s="107"/>
      <c r="AK162" s="107"/>
    </row>
    <row r="163" s="185" customFormat="1" ht="17.25" customHeight="1">
      <c r="A163" s="254"/>
      <c r="C163" s="185"/>
      <c r="D163" s="952"/>
      <c r="E163" s="1287"/>
      <c r="F163" s="266"/>
      <c r="G163" s="1288"/>
      <c r="H163" s="275"/>
      <c r="I163" s="275"/>
      <c r="J163" s="1284"/>
      <c r="K163" s="221"/>
      <c r="L163" s="1280"/>
      <c r="M163" s="1281"/>
      <c r="N163" s="1281" t="s">
        <v>410</v>
      </c>
      <c r="O163" s="1281"/>
      <c r="P163" s="1281"/>
      <c r="Q163" s="1281"/>
      <c r="R163" s="1281"/>
      <c r="S163" s="1286"/>
      <c r="T163" s="1286"/>
      <c r="U163" s="1286"/>
      <c r="V163" s="1286"/>
      <c r="W163" s="1282"/>
      <c r="Y163" s="107"/>
      <c r="Z163" s="107"/>
      <c r="AA163" s="107"/>
      <c r="AB163" s="107"/>
      <c r="AC163" s="107"/>
      <c r="AD163" s="107"/>
      <c r="AE163" s="107"/>
      <c r="AF163" s="107"/>
      <c r="AG163" s="107"/>
      <c r="AH163" s="107"/>
      <c r="AI163" s="107"/>
      <c r="AJ163" s="107"/>
      <c r="AK163" s="107"/>
    </row>
    <row r="164" ht="17.25" customHeight="1">
      <c r="G164" s="274"/>
      <c r="H164" s="274"/>
      <c r="I164" s="274"/>
      <c r="M164" s="63"/>
    </row>
    <row r="165" s="185" customFormat="1" ht="17.25" customHeight="1">
      <c r="A165" s="254"/>
      <c r="C165" s="129"/>
      <c r="D165" s="952"/>
      <c r="E165" s="1287"/>
      <c r="F165" s="266"/>
      <c r="G165" s="1288"/>
      <c r="H165" s="952"/>
      <c r="I165" s="952"/>
      <c r="J165" s="1289"/>
      <c r="K165" s="1290"/>
      <c r="L165" s="219"/>
      <c r="M165" s="219" t="s">
        <v>105</v>
      </c>
      <c r="N165" s="1279" t="str">
        <f>IF(Z165="","",INDEX(TERRITORY_MR_LIST,MATCH(Z165,TERRITORY_LIST_ID,0)))</f>
        <v/>
      </c>
      <c r="O165" s="315" t="s">
        <v>64</v>
      </c>
      <c r="P165" s="219"/>
      <c r="Q165" s="219" t="s">
        <v>105</v>
      </c>
      <c r="R165" s="358" t="s">
        <v>22</v>
      </c>
      <c r="S165" s="225" t="s">
        <v>64</v>
      </c>
      <c r="T165" s="219"/>
      <c r="U165" s="219" t="s">
        <v>105</v>
      </c>
      <c r="V165" s="358" t="s">
        <v>22</v>
      </c>
      <c r="W165" s="388"/>
      <c r="Y165" s="265"/>
      <c r="Z165" s="265"/>
      <c r="AA165" s="265"/>
      <c r="AB165" s="265"/>
      <c r="AC165" s="265"/>
      <c r="AD165" s="265"/>
      <c r="AE165" s="265"/>
      <c r="AF165" s="265"/>
      <c r="AG165" s="265"/>
      <c r="AH165" s="265"/>
      <c r="AI165" s="265"/>
      <c r="AJ165" s="265"/>
      <c r="AK165" s="265"/>
      <c r="AL165" s="62"/>
      <c r="AM165" s="62"/>
      <c r="AN165" s="265"/>
      <c r="AO165" s="265"/>
      <c r="AP165" s="265"/>
      <c r="AQ165" s="265"/>
    </row>
    <row r="166" s="185" customFormat="1" ht="17.25" customHeight="1">
      <c r="A166" s="254"/>
      <c r="C166" s="185"/>
      <c r="D166" s="952"/>
      <c r="E166" s="1287"/>
      <c r="F166" s="266"/>
      <c r="G166" s="1288"/>
      <c r="H166" s="952"/>
      <c r="I166" s="952"/>
      <c r="J166" s="1289"/>
      <c r="K166" s="1290"/>
      <c r="L166" s="219"/>
      <c r="M166" s="219"/>
      <c r="N166" s="1279"/>
      <c r="O166" s="321"/>
      <c r="P166" s="219"/>
      <c r="Q166" s="219"/>
      <c r="R166" s="358"/>
      <c r="S166" s="225"/>
      <c r="T166" s="1280"/>
      <c r="U166" s="1281"/>
      <c r="V166" s="1281" t="s">
        <v>408</v>
      </c>
      <c r="W166" s="1282"/>
      <c r="Y166" s="107"/>
      <c r="Z166" s="107"/>
      <c r="AA166" s="107"/>
      <c r="AB166" s="107"/>
      <c r="AC166" s="107"/>
      <c r="AD166" s="107"/>
      <c r="AE166" s="107"/>
      <c r="AF166" s="107"/>
      <c r="AG166" s="107"/>
      <c r="AH166" s="107"/>
      <c r="AI166" s="107"/>
      <c r="AJ166" s="107"/>
      <c r="AK166" s="107"/>
    </row>
    <row r="167" s="185" customFormat="1" ht="17.25" customHeight="1">
      <c r="A167" s="254"/>
      <c r="C167" s="185"/>
      <c r="D167" s="952"/>
      <c r="E167" s="1287"/>
      <c r="F167" s="266"/>
      <c r="G167" s="1288"/>
      <c r="H167" s="952"/>
      <c r="I167" s="952"/>
      <c r="J167" s="1289"/>
      <c r="K167" s="1290"/>
      <c r="L167" s="275"/>
      <c r="M167" s="275"/>
      <c r="N167" s="1285"/>
      <c r="O167" s="221"/>
      <c r="P167" s="1280"/>
      <c r="Q167" s="1281"/>
      <c r="R167" s="1281" t="s">
        <v>409</v>
      </c>
      <c r="S167" s="1286"/>
      <c r="T167" s="1286"/>
      <c r="U167" s="1286"/>
      <c r="V167" s="1286"/>
      <c r="W167" s="1282"/>
      <c r="Y167" s="107"/>
      <c r="Z167" s="107"/>
      <c r="AA167" s="107"/>
      <c r="AB167" s="107"/>
      <c r="AC167" s="107"/>
      <c r="AD167" s="107"/>
      <c r="AE167" s="107"/>
      <c r="AF167" s="107"/>
      <c r="AG167" s="107"/>
      <c r="AH167" s="107"/>
      <c r="AI167" s="107"/>
      <c r="AJ167" s="107"/>
      <c r="AK167" s="107"/>
    </row>
    <row r="168" ht="17.25" customHeight="1">
      <c r="G168" s="274"/>
      <c r="H168" s="274"/>
      <c r="I168" s="274"/>
      <c r="M168" s="63"/>
    </row>
    <row r="169" s="185" customFormat="1" ht="17.25" customHeight="1">
      <c r="A169" s="254"/>
      <c r="C169" s="129"/>
      <c r="D169" s="952"/>
      <c r="E169" s="1287"/>
      <c r="F169" s="266"/>
      <c r="G169" s="1288"/>
      <c r="H169" s="952"/>
      <c r="I169" s="952"/>
      <c r="J169" s="1289"/>
      <c r="K169" s="1290"/>
      <c r="L169" s="1291"/>
      <c r="M169" s="1291"/>
      <c r="N169" s="1292"/>
      <c r="O169" s="321"/>
      <c r="P169" s="219"/>
      <c r="Q169" s="219" t="s">
        <v>105</v>
      </c>
      <c r="R169" s="358" t="s">
        <v>22</v>
      </c>
      <c r="S169" s="225" t="s">
        <v>64</v>
      </c>
      <c r="T169" s="219"/>
      <c r="U169" s="219" t="s">
        <v>105</v>
      </c>
      <c r="V169" s="358" t="s">
        <v>22</v>
      </c>
      <c r="W169" s="388"/>
      <c r="Y169" s="265"/>
      <c r="Z169" s="265"/>
      <c r="AA169" s="265"/>
      <c r="AB169" s="265"/>
      <c r="AC169" s="265"/>
      <c r="AD169" s="265"/>
      <c r="AE169" s="265"/>
      <c r="AF169" s="265"/>
      <c r="AG169" s="265"/>
      <c r="AH169" s="265"/>
      <c r="AI169" s="265"/>
      <c r="AJ169" s="265"/>
      <c r="AK169" s="265"/>
      <c r="AL169" s="62"/>
      <c r="AM169" s="62"/>
      <c r="AN169" s="265"/>
      <c r="AO169" s="265"/>
      <c r="AP169" s="265"/>
      <c r="AQ169" s="265"/>
    </row>
    <row r="170" s="185" customFormat="1" ht="17.25" customHeight="1">
      <c r="A170" s="254"/>
      <c r="C170" s="185"/>
      <c r="D170" s="952"/>
      <c r="E170" s="1287"/>
      <c r="F170" s="266"/>
      <c r="G170" s="1288"/>
      <c r="H170" s="952"/>
      <c r="I170" s="952"/>
      <c r="J170" s="1289"/>
      <c r="K170" s="1290"/>
      <c r="L170" s="1291"/>
      <c r="M170" s="1291"/>
      <c r="N170" s="1292"/>
      <c r="O170" s="321"/>
      <c r="P170" s="219"/>
      <c r="Q170" s="219"/>
      <c r="R170" s="358"/>
      <c r="S170" s="225"/>
      <c r="T170" s="1280"/>
      <c r="U170" s="1281"/>
      <c r="V170" s="1281" t="s">
        <v>408</v>
      </c>
      <c r="W170" s="1282"/>
      <c r="Y170" s="107"/>
      <c r="Z170" s="107"/>
      <c r="AA170" s="107"/>
      <c r="AB170" s="107"/>
      <c r="AC170" s="107"/>
      <c r="AD170" s="107"/>
      <c r="AE170" s="107"/>
      <c r="AF170" s="107"/>
      <c r="AG170" s="107"/>
      <c r="AH170" s="107"/>
      <c r="AI170" s="107"/>
      <c r="AJ170" s="107"/>
      <c r="AK170" s="107"/>
    </row>
    <row r="171" ht="17.25" customHeight="1">
      <c r="G171" s="274"/>
      <c r="H171" s="274"/>
      <c r="I171" s="274"/>
      <c r="M171" s="63"/>
    </row>
    <row r="172" s="185" customFormat="1" ht="17.25" customHeight="1">
      <c r="A172" s="254"/>
      <c r="C172" s="129"/>
      <c r="D172" s="952"/>
      <c r="E172" s="1287"/>
      <c r="F172" s="266"/>
      <c r="G172" s="1288"/>
      <c r="H172" s="1291"/>
      <c r="I172" s="1291"/>
      <c r="J172" s="1293"/>
      <c r="K172" s="1288"/>
      <c r="L172" s="1291"/>
      <c r="M172" s="1291"/>
      <c r="N172" s="1288"/>
      <c r="O172" s="1288"/>
      <c r="P172" s="1291"/>
      <c r="Q172" s="1291"/>
      <c r="R172" s="1294"/>
      <c r="S172" s="1288"/>
      <c r="T172" s="219"/>
      <c r="U172" s="219" t="s">
        <v>105</v>
      </c>
      <c r="V172" s="358" t="s">
        <v>22</v>
      </c>
      <c r="W172" s="388"/>
      <c r="Y172" s="265"/>
      <c r="Z172" s="265"/>
      <c r="AA172" s="265"/>
      <c r="AB172" s="265"/>
      <c r="AC172" s="265"/>
      <c r="AD172" s="265"/>
      <c r="AE172" s="265"/>
      <c r="AF172" s="265"/>
      <c r="AG172" s="265"/>
      <c r="AH172" s="265"/>
      <c r="AI172" s="265"/>
      <c r="AJ172" s="265"/>
      <c r="AK172" s="265"/>
      <c r="AL172" s="62"/>
      <c r="AM172" s="62"/>
      <c r="AN172" s="265"/>
      <c r="AO172" s="265"/>
      <c r="AP172" s="265"/>
      <c r="AQ172" s="265"/>
    </row>
    <row r="174" s="1220" customFormat="1" ht="17.25" customHeight="1">
      <c r="A174" s="1220" t="s">
        <v>1961</v>
      </c>
    </row>
    <row r="175" ht="17.25" customHeight="1">
      <c r="G175" s="274"/>
      <c r="H175" s="274"/>
      <c r="I175" s="274"/>
      <c r="M175" s="63"/>
    </row>
    <row r="176" s="185" customFormat="1" ht="17.25" customHeight="1">
      <c r="A176" s="254"/>
      <c r="C176" s="129"/>
      <c r="D176" s="251"/>
      <c r="E176" s="256"/>
      <c r="F176" s="257"/>
      <c r="G176" s="1278"/>
      <c r="H176" s="251"/>
      <c r="I176" s="251">
        <v>1</v>
      </c>
      <c r="J176" s="388"/>
      <c r="K176" s="315" t="s">
        <v>64</v>
      </c>
      <c r="L176" s="219"/>
      <c r="M176" s="219" t="s">
        <v>105</v>
      </c>
      <c r="N176" s="1279" t="str">
        <f>IF(Z176="","",INDEX(TERRITORY_MR_LIST,MATCH(Z176,TERRITORY_LIST_ID,0)))</f>
        <v/>
      </c>
      <c r="O176" s="315" t="s">
        <v>64</v>
      </c>
      <c r="P176" s="219"/>
      <c r="Q176" s="219" t="s">
        <v>105</v>
      </c>
      <c r="R176" s="358" t="s">
        <v>22</v>
      </c>
      <c r="S176" s="655" t="s">
        <v>19</v>
      </c>
      <c r="T176" s="655"/>
      <c r="U176" s="655" t="s">
        <v>105</v>
      </c>
      <c r="V176" s="1295"/>
      <c r="W176" s="388"/>
      <c r="Y176" s="265"/>
      <c r="Z176" s="265"/>
      <c r="AA176" s="265"/>
      <c r="AB176" s="265"/>
      <c r="AC176" s="265"/>
      <c r="AD176" s="265"/>
      <c r="AE176" s="265"/>
      <c r="AF176" s="265"/>
      <c r="AG176" s="265"/>
      <c r="AH176" s="265"/>
      <c r="AI176" s="265"/>
      <c r="AJ176" s="265"/>
      <c r="AK176" s="265"/>
      <c r="AL176" s="62"/>
      <c r="AM176" s="62"/>
      <c r="AN176" s="265"/>
      <c r="AO176" s="265"/>
      <c r="AP176" s="265"/>
      <c r="AQ176" s="265"/>
    </row>
    <row r="177" s="185" customFormat="1" ht="17.25" customHeight="1">
      <c r="A177" s="254"/>
      <c r="C177" s="185"/>
      <c r="D177" s="251"/>
      <c r="E177" s="256"/>
      <c r="F177" s="266"/>
      <c r="G177" s="1278"/>
      <c r="H177" s="251"/>
      <c r="I177" s="251"/>
      <c r="J177" s="388"/>
      <c r="K177" s="321"/>
      <c r="L177" s="219"/>
      <c r="M177" s="219"/>
      <c r="N177" s="1279"/>
      <c r="O177" s="321"/>
      <c r="P177" s="219"/>
      <c r="Q177" s="219"/>
      <c r="R177" s="358"/>
      <c r="S177" s="655"/>
      <c r="T177" s="1296"/>
      <c r="U177" s="1297"/>
      <c r="V177" s="1297"/>
      <c r="W177" s="388"/>
      <c r="Y177" s="107"/>
      <c r="Z177" s="107"/>
      <c r="AA177" s="107"/>
      <c r="AB177" s="107"/>
      <c r="AC177" s="107"/>
      <c r="AD177" s="107"/>
      <c r="AE177" s="107"/>
      <c r="AF177" s="107"/>
      <c r="AG177" s="107"/>
      <c r="AH177" s="107"/>
      <c r="AI177" s="107"/>
      <c r="AJ177" s="107"/>
      <c r="AK177" s="107"/>
    </row>
    <row r="178" s="185" customFormat="1" ht="17.25" customHeight="1">
      <c r="A178" s="254"/>
      <c r="C178" s="185"/>
      <c r="D178" s="275"/>
      <c r="E178" s="276"/>
      <c r="F178" s="266"/>
      <c r="G178" s="1283"/>
      <c r="H178" s="275"/>
      <c r="I178" s="275"/>
      <c r="J178" s="1284"/>
      <c r="K178" s="321"/>
      <c r="L178" s="275"/>
      <c r="M178" s="275"/>
      <c r="N178" s="1285"/>
      <c r="O178" s="221"/>
      <c r="P178" s="1280"/>
      <c r="Q178" s="1281"/>
      <c r="R178" s="1281" t="s">
        <v>409</v>
      </c>
      <c r="S178" s="1286"/>
      <c r="T178" s="1286"/>
      <c r="U178" s="1286"/>
      <c r="V178" s="1286"/>
      <c r="W178" s="1298"/>
      <c r="Y178" s="107"/>
      <c r="Z178" s="107"/>
      <c r="AA178" s="107"/>
      <c r="AB178" s="107"/>
      <c r="AC178" s="107"/>
      <c r="AD178" s="107"/>
      <c r="AE178" s="107"/>
      <c r="AF178" s="107"/>
      <c r="AG178" s="107"/>
      <c r="AH178" s="107"/>
      <c r="AI178" s="107"/>
      <c r="AJ178" s="107"/>
      <c r="AK178" s="107"/>
    </row>
    <row r="179" s="185" customFormat="1" ht="17.25" customHeight="1">
      <c r="A179" s="254"/>
      <c r="C179" s="185"/>
      <c r="D179" s="275"/>
      <c r="E179" s="276"/>
      <c r="F179" s="266"/>
      <c r="G179" s="1283"/>
      <c r="H179" s="275"/>
      <c r="I179" s="275"/>
      <c r="J179" s="1284"/>
      <c r="K179" s="221"/>
      <c r="L179" s="1280"/>
      <c r="M179" s="1281"/>
      <c r="N179" s="1281" t="s">
        <v>410</v>
      </c>
      <c r="O179" s="1281"/>
      <c r="P179" s="1281"/>
      <c r="Q179" s="1281"/>
      <c r="R179" s="1281"/>
      <c r="S179" s="1286"/>
      <c r="T179" s="1286"/>
      <c r="U179" s="1286"/>
      <c r="V179" s="1286"/>
      <c r="W179" s="1282"/>
      <c r="Y179" s="107"/>
      <c r="Z179" s="107"/>
      <c r="AA179" s="107"/>
      <c r="AB179" s="107"/>
      <c r="AC179" s="107"/>
      <c r="AD179" s="107"/>
      <c r="AE179" s="107"/>
      <c r="AF179" s="107"/>
      <c r="AG179" s="107"/>
      <c r="AH179" s="107"/>
      <c r="AI179" s="107"/>
      <c r="AJ179" s="107"/>
      <c r="AK179" s="107"/>
    </row>
    <row r="180" s="185" customFormat="1" ht="17.25" customHeight="1">
      <c r="A180" s="254"/>
      <c r="C180" s="185"/>
      <c r="D180" s="275"/>
      <c r="E180" s="276"/>
      <c r="F180" s="277"/>
      <c r="G180" s="1283"/>
      <c r="H180" s="1280"/>
      <c r="I180" s="1281"/>
      <c r="J180" s="1281" t="s">
        <v>442</v>
      </c>
      <c r="K180" s="1281"/>
      <c r="L180" s="1281"/>
      <c r="M180" s="1281"/>
      <c r="N180" s="1281"/>
      <c r="O180" s="1281"/>
      <c r="P180" s="1281"/>
      <c r="Q180" s="1281"/>
      <c r="R180" s="1281"/>
      <c r="S180" s="1286"/>
      <c r="T180" s="1286"/>
      <c r="U180" s="1286"/>
      <c r="V180" s="1286"/>
      <c r="W180" s="1282"/>
      <c r="Y180" s="107"/>
      <c r="Z180" s="107"/>
      <c r="AA180" s="107"/>
      <c r="AB180" s="107"/>
      <c r="AC180" s="107"/>
      <c r="AD180" s="107"/>
      <c r="AE180" s="107"/>
      <c r="AF180" s="107"/>
      <c r="AG180" s="107"/>
      <c r="AH180" s="107"/>
      <c r="AI180" s="107"/>
      <c r="AJ180" s="107"/>
      <c r="AK180" s="107"/>
    </row>
    <row r="181" ht="17.25" customHeight="1">
      <c r="A181" s="63"/>
    </row>
    <row r="182" s="185" customFormat="1" ht="17.25" customHeight="1">
      <c r="A182" s="254"/>
      <c r="C182" s="129"/>
      <c r="D182" s="952"/>
      <c r="E182" s="1287"/>
      <c r="F182" s="266"/>
      <c r="G182" s="1288"/>
      <c r="H182" s="251"/>
      <c r="I182" s="251">
        <v>1</v>
      </c>
      <c r="J182" s="388"/>
      <c r="K182" s="315" t="s">
        <v>64</v>
      </c>
      <c r="L182" s="219"/>
      <c r="M182" s="219" t="s">
        <v>105</v>
      </c>
      <c r="N182" s="1279" t="str">
        <f>IF(Z182="","",INDEX(TERRITORY_MR_LIST,MATCH(Z182,TERRITORY_LIST_ID,0)))</f>
        <v/>
      </c>
      <c r="O182" s="315" t="s">
        <v>64</v>
      </c>
      <c r="P182" s="219"/>
      <c r="Q182" s="219" t="s">
        <v>105</v>
      </c>
      <c r="R182" s="358" t="s">
        <v>22</v>
      </c>
      <c r="S182" s="655" t="s">
        <v>19</v>
      </c>
      <c r="T182" s="655"/>
      <c r="U182" s="655" t="s">
        <v>105</v>
      </c>
      <c r="V182" s="1295"/>
      <c r="W182" s="388"/>
      <c r="Y182" s="265"/>
      <c r="Z182" s="265"/>
      <c r="AA182" s="265"/>
      <c r="AB182" s="265"/>
      <c r="AC182" s="265"/>
      <c r="AD182" s="265"/>
      <c r="AE182" s="265"/>
      <c r="AF182" s="265"/>
      <c r="AG182" s="265"/>
      <c r="AH182" s="265"/>
      <c r="AI182" s="265"/>
      <c r="AJ182" s="265"/>
      <c r="AK182" s="265"/>
      <c r="AL182" s="62"/>
      <c r="AM182" s="62"/>
      <c r="AN182" s="265"/>
      <c r="AO182" s="265"/>
      <c r="AP182" s="265"/>
      <c r="AQ182" s="265"/>
    </row>
    <row r="183" s="185" customFormat="1" ht="17.25" customHeight="1">
      <c r="A183" s="254"/>
      <c r="C183" s="185"/>
      <c r="D183" s="952"/>
      <c r="E183" s="1287"/>
      <c r="F183" s="266"/>
      <c r="G183" s="1288"/>
      <c r="H183" s="251"/>
      <c r="I183" s="251"/>
      <c r="J183" s="388"/>
      <c r="K183" s="321"/>
      <c r="L183" s="219"/>
      <c r="M183" s="219"/>
      <c r="N183" s="1279"/>
      <c r="O183" s="321"/>
      <c r="P183" s="219"/>
      <c r="Q183" s="219"/>
      <c r="R183" s="358"/>
      <c r="S183" s="655"/>
      <c r="T183" s="1296"/>
      <c r="U183" s="1297"/>
      <c r="V183" s="1297"/>
      <c r="W183" s="388"/>
      <c r="Y183" s="107"/>
      <c r="Z183" s="107"/>
      <c r="AA183" s="107"/>
      <c r="AB183" s="107"/>
      <c r="AC183" s="107"/>
      <c r="AD183" s="107"/>
      <c r="AE183" s="107"/>
      <c r="AF183" s="107"/>
      <c r="AG183" s="107"/>
      <c r="AH183" s="107"/>
      <c r="AI183" s="107"/>
      <c r="AJ183" s="107"/>
      <c r="AK183" s="107"/>
    </row>
    <row r="184" s="185" customFormat="1" ht="17.25" customHeight="1">
      <c r="A184" s="254"/>
      <c r="C184" s="185"/>
      <c r="D184" s="952"/>
      <c r="E184" s="1287"/>
      <c r="F184" s="266"/>
      <c r="G184" s="1288"/>
      <c r="H184" s="275"/>
      <c r="I184" s="275"/>
      <c r="J184" s="1284"/>
      <c r="K184" s="321"/>
      <c r="L184" s="275"/>
      <c r="M184" s="275"/>
      <c r="N184" s="1285"/>
      <c r="O184" s="221"/>
      <c r="P184" s="1280"/>
      <c r="Q184" s="1281"/>
      <c r="R184" s="1281" t="s">
        <v>409</v>
      </c>
      <c r="S184" s="1286"/>
      <c r="T184" s="1286"/>
      <c r="U184" s="1286"/>
      <c r="V184" s="1286"/>
      <c r="W184" s="1298"/>
      <c r="Y184" s="107"/>
      <c r="Z184" s="107"/>
      <c r="AA184" s="107"/>
      <c r="AB184" s="107"/>
      <c r="AC184" s="107"/>
      <c r="AD184" s="107"/>
      <c r="AE184" s="107"/>
      <c r="AF184" s="107"/>
      <c r="AG184" s="107"/>
      <c r="AH184" s="107"/>
      <c r="AI184" s="107"/>
      <c r="AJ184" s="107"/>
      <c r="AK184" s="107"/>
    </row>
    <row r="185" s="185" customFormat="1" ht="17.25" customHeight="1">
      <c r="A185" s="254"/>
      <c r="C185" s="185"/>
      <c r="D185" s="952"/>
      <c r="E185" s="1287"/>
      <c r="F185" s="266"/>
      <c r="G185" s="1288"/>
      <c r="H185" s="275"/>
      <c r="I185" s="275"/>
      <c r="J185" s="1284"/>
      <c r="K185" s="221"/>
      <c r="L185" s="1280"/>
      <c r="M185" s="1281"/>
      <c r="N185" s="1281" t="s">
        <v>410</v>
      </c>
      <c r="O185" s="1281"/>
      <c r="P185" s="1281"/>
      <c r="Q185" s="1281"/>
      <c r="R185" s="1281"/>
      <c r="S185" s="1286"/>
      <c r="T185" s="1286"/>
      <c r="U185" s="1286"/>
      <c r="V185" s="1286"/>
      <c r="W185" s="1282"/>
      <c r="Y185" s="107"/>
      <c r="Z185" s="107"/>
      <c r="AA185" s="107"/>
      <c r="AB185" s="107"/>
      <c r="AC185" s="107"/>
      <c r="AD185" s="107"/>
      <c r="AE185" s="107"/>
      <c r="AF185" s="107"/>
      <c r="AG185" s="107"/>
      <c r="AH185" s="107"/>
      <c r="AI185" s="107"/>
      <c r="AJ185" s="107"/>
      <c r="AK185" s="107"/>
    </row>
    <row r="186" ht="17.25" customHeight="1">
      <c r="A186" s="63"/>
    </row>
    <row r="187" s="185" customFormat="1" ht="17.25" customHeight="1">
      <c r="A187" s="254"/>
      <c r="C187" s="129"/>
      <c r="D187" s="952"/>
      <c r="E187" s="1287"/>
      <c r="F187" s="266"/>
      <c r="G187" s="1288"/>
      <c r="H187" s="952"/>
      <c r="I187" s="952"/>
      <c r="J187" s="1299"/>
      <c r="K187" s="1288"/>
      <c r="L187" s="219"/>
      <c r="M187" s="219" t="s">
        <v>105</v>
      </c>
      <c r="N187" s="1279" t="str">
        <f>IF(Z187="","",INDEX(TERRITORY_MR_LIST,MATCH(Z187,TERRITORY_LIST_ID,0)))</f>
        <v/>
      </c>
      <c r="O187" s="315" t="s">
        <v>64</v>
      </c>
      <c r="P187" s="219"/>
      <c r="Q187" s="219" t="s">
        <v>105</v>
      </c>
      <c r="R187" s="358" t="s">
        <v>22</v>
      </c>
      <c r="S187" s="655" t="s">
        <v>19</v>
      </c>
      <c r="T187" s="655"/>
      <c r="U187" s="655" t="s">
        <v>105</v>
      </c>
      <c r="V187" s="1295"/>
      <c r="W187" s="388"/>
      <c r="Y187" s="265"/>
      <c r="Z187" s="265"/>
      <c r="AA187" s="265"/>
      <c r="AB187" s="265"/>
      <c r="AC187" s="265"/>
      <c r="AD187" s="265"/>
      <c r="AE187" s="265"/>
      <c r="AF187" s="265"/>
      <c r="AG187" s="265"/>
      <c r="AH187" s="265"/>
      <c r="AI187" s="265"/>
      <c r="AJ187" s="265"/>
      <c r="AK187" s="265"/>
      <c r="AL187" s="62"/>
      <c r="AM187" s="62"/>
      <c r="AN187" s="265"/>
      <c r="AO187" s="265"/>
      <c r="AP187" s="265"/>
      <c r="AQ187" s="265"/>
    </row>
    <row r="188" s="185" customFormat="1" ht="17.25" customHeight="1">
      <c r="A188" s="254"/>
      <c r="C188" s="185"/>
      <c r="D188" s="952"/>
      <c r="E188" s="1287"/>
      <c r="F188" s="266"/>
      <c r="G188" s="1288"/>
      <c r="H188" s="952"/>
      <c r="I188" s="952"/>
      <c r="J188" s="1299"/>
      <c r="K188" s="1288"/>
      <c r="L188" s="219"/>
      <c r="M188" s="219"/>
      <c r="N188" s="1279"/>
      <c r="O188" s="321"/>
      <c r="P188" s="219"/>
      <c r="Q188" s="219"/>
      <c r="R188" s="358"/>
      <c r="S188" s="655"/>
      <c r="T188" s="1296"/>
      <c r="U188" s="1297"/>
      <c r="V188" s="1297"/>
      <c r="W188" s="388"/>
      <c r="Y188" s="107"/>
      <c r="Z188" s="107"/>
      <c r="AA188" s="107"/>
      <c r="AB188" s="107"/>
      <c r="AC188" s="107"/>
      <c r="AD188" s="107"/>
      <c r="AE188" s="107"/>
      <c r="AF188" s="107"/>
      <c r="AG188" s="107"/>
      <c r="AH188" s="107"/>
      <c r="AI188" s="107"/>
      <c r="AJ188" s="107"/>
      <c r="AK188" s="107"/>
    </row>
    <row r="189" s="185" customFormat="1" ht="17.25" customHeight="1">
      <c r="A189" s="254"/>
      <c r="C189" s="185"/>
      <c r="D189" s="952"/>
      <c r="E189" s="1287"/>
      <c r="F189" s="266"/>
      <c r="G189" s="1288"/>
      <c r="H189" s="952"/>
      <c r="I189" s="952"/>
      <c r="J189" s="1299"/>
      <c r="K189" s="1288"/>
      <c r="L189" s="275"/>
      <c r="M189" s="275"/>
      <c r="N189" s="1285"/>
      <c r="O189" s="221"/>
      <c r="P189" s="1280"/>
      <c r="Q189" s="1281"/>
      <c r="R189" s="1281" t="s">
        <v>409</v>
      </c>
      <c r="S189" s="1286"/>
      <c r="T189" s="1286"/>
      <c r="U189" s="1286"/>
      <c r="V189" s="1286"/>
      <c r="W189" s="1298"/>
      <c r="Y189" s="107"/>
      <c r="Z189" s="107"/>
      <c r="AA189" s="107"/>
      <c r="AB189" s="107"/>
      <c r="AC189" s="107"/>
      <c r="AD189" s="107"/>
      <c r="AE189" s="107"/>
      <c r="AF189" s="107"/>
      <c r="AG189" s="107"/>
      <c r="AH189" s="107"/>
      <c r="AI189" s="107"/>
      <c r="AJ189" s="107"/>
      <c r="AK189" s="107"/>
    </row>
    <row r="190" ht="17.25" customHeight="1">
      <c r="A190" s="63"/>
    </row>
    <row r="191" s="185" customFormat="1" ht="17.25" customHeight="1">
      <c r="A191" s="254"/>
      <c r="C191" s="129"/>
      <c r="D191" s="952"/>
      <c r="E191" s="1287"/>
      <c r="F191" s="266"/>
      <c r="G191" s="1288"/>
      <c r="H191" s="952"/>
      <c r="I191" s="952"/>
      <c r="J191" s="1299"/>
      <c r="K191" s="1288"/>
      <c r="L191" s="952"/>
      <c r="M191" s="952"/>
      <c r="N191" s="1292"/>
      <c r="O191" s="321"/>
      <c r="P191" s="219"/>
      <c r="Q191" s="219" t="s">
        <v>105</v>
      </c>
      <c r="R191" s="358" t="s">
        <v>22</v>
      </c>
      <c r="S191" s="655" t="s">
        <v>19</v>
      </c>
      <c r="T191" s="655"/>
      <c r="U191" s="655" t="s">
        <v>105</v>
      </c>
      <c r="V191" s="1295"/>
      <c r="W191" s="388"/>
      <c r="Y191" s="265"/>
      <c r="Z191" s="265"/>
      <c r="AA191" s="265"/>
      <c r="AB191" s="265"/>
      <c r="AC191" s="265"/>
      <c r="AD191" s="265"/>
      <c r="AE191" s="265"/>
      <c r="AF191" s="265"/>
      <c r="AG191" s="265"/>
      <c r="AH191" s="265"/>
      <c r="AI191" s="265"/>
      <c r="AJ191" s="265"/>
      <c r="AK191" s="265"/>
      <c r="AL191" s="62"/>
      <c r="AM191" s="62"/>
      <c r="AN191" s="265"/>
      <c r="AO191" s="265"/>
      <c r="AP191" s="265"/>
      <c r="AQ191" s="265"/>
    </row>
    <row r="192" s="185" customFormat="1" ht="17.25" customHeight="1">
      <c r="A192" s="254"/>
      <c r="C192" s="185"/>
      <c r="D192" s="952"/>
      <c r="E192" s="1287"/>
      <c r="F192" s="266"/>
      <c r="G192" s="1288"/>
      <c r="H192" s="952"/>
      <c r="I192" s="952"/>
      <c r="J192" s="1299"/>
      <c r="K192" s="1288"/>
      <c r="L192" s="952"/>
      <c r="M192" s="952"/>
      <c r="N192" s="1292"/>
      <c r="O192" s="321"/>
      <c r="P192" s="219"/>
      <c r="Q192" s="219"/>
      <c r="R192" s="358"/>
      <c r="S192" s="655"/>
      <c r="T192" s="1296"/>
      <c r="U192" s="1297"/>
      <c r="V192" s="1297"/>
      <c r="W192" s="388"/>
      <c r="Y192" s="107"/>
      <c r="Z192" s="107"/>
      <c r="AA192" s="107"/>
      <c r="AB192" s="107"/>
      <c r="AC192" s="107"/>
      <c r="AD192" s="107"/>
      <c r="AE192" s="107"/>
      <c r="AF192" s="107"/>
      <c r="AG192" s="107"/>
      <c r="AH192" s="107"/>
      <c r="AI192" s="107"/>
      <c r="AJ192" s="107"/>
      <c r="AK192" s="107"/>
    </row>
    <row r="193" ht="17.25" customHeight="1">
      <c r="A193" s="63"/>
    </row>
    <row r="194" ht="16.5" customHeight="1">
      <c r="A194" s="254"/>
      <c r="B194" s="185"/>
      <c r="C194" s="185"/>
      <c r="D194" s="251"/>
      <c r="E194" s="314"/>
      <c r="F194" s="314"/>
      <c r="G194" s="158"/>
      <c r="H194" s="258"/>
      <c r="I194" s="259"/>
      <c r="J194" s="260"/>
      <c r="K194" s="261"/>
      <c r="L194" s="261"/>
      <c r="M194" s="261"/>
      <c r="N194" s="262"/>
      <c r="O194" s="261"/>
      <c r="P194" s="261"/>
      <c r="Q194" s="261"/>
      <c r="R194" s="263"/>
      <c r="S194" s="261"/>
      <c r="T194" s="261"/>
      <c r="U194" s="261"/>
      <c r="V194" s="263"/>
      <c r="W194" s="264"/>
    </row>
    <row r="195" ht="16.5" customHeight="1">
      <c r="A195" s="254"/>
      <c r="B195" s="185"/>
      <c r="C195" s="185"/>
      <c r="D195" s="251"/>
      <c r="E195" s="314"/>
      <c r="F195" s="314"/>
      <c r="G195" s="158"/>
      <c r="H195" s="267"/>
      <c r="I195" s="268"/>
      <c r="J195" s="269"/>
      <c r="K195" s="126"/>
      <c r="L195" s="126"/>
      <c r="M195" s="126"/>
      <c r="N195" s="270"/>
      <c r="O195" s="126"/>
      <c r="P195" s="126"/>
      <c r="Q195" s="126"/>
      <c r="R195" s="271"/>
      <c r="S195" s="126"/>
      <c r="T195" s="272"/>
      <c r="U195" s="272"/>
      <c r="V195" s="272"/>
      <c r="W195" s="273"/>
    </row>
    <row r="196" ht="17.25" customHeight="1">
      <c r="A196" s="254"/>
      <c r="B196" s="185"/>
      <c r="C196" s="185"/>
      <c r="D196" s="251"/>
      <c r="E196" s="314"/>
      <c r="F196" s="314"/>
      <c r="G196" s="158"/>
      <c r="H196" s="267"/>
      <c r="I196" s="268"/>
      <c r="J196" s="274"/>
      <c r="K196" s="126"/>
      <c r="L196" s="126"/>
      <c r="M196" s="126"/>
      <c r="N196" s="271"/>
      <c r="O196" s="126"/>
      <c r="P196" s="126"/>
      <c r="Q196" s="272"/>
      <c r="R196" s="272"/>
      <c r="S196" s="185"/>
      <c r="T196" s="185"/>
      <c r="U196" s="185"/>
      <c r="V196" s="185"/>
      <c r="W196" s="273"/>
    </row>
    <row r="197" ht="17.25" customHeight="1">
      <c r="A197" s="254"/>
      <c r="B197" s="185"/>
      <c r="C197" s="185"/>
      <c r="D197" s="251"/>
      <c r="E197" s="314"/>
      <c r="F197" s="314"/>
      <c r="G197" s="158"/>
      <c r="H197" s="267"/>
      <c r="I197" s="268"/>
      <c r="J197" s="274"/>
      <c r="K197" s="126"/>
      <c r="L197" s="272"/>
      <c r="M197" s="272"/>
      <c r="N197" s="272"/>
      <c r="O197" s="272"/>
      <c r="P197" s="272"/>
      <c r="Q197" s="272"/>
      <c r="R197" s="272"/>
      <c r="S197" s="185"/>
      <c r="T197" s="185"/>
      <c r="U197" s="185"/>
      <c r="V197" s="185"/>
      <c r="W197" s="273"/>
    </row>
    <row r="198" ht="17.25" customHeight="1">
      <c r="A198" s="254"/>
      <c r="B198" s="185"/>
      <c r="C198" s="185"/>
      <c r="D198" s="251"/>
      <c r="E198" s="314"/>
      <c r="F198" s="314"/>
      <c r="G198" s="158"/>
      <c r="H198" s="278"/>
      <c r="I198" s="279"/>
      <c r="J198" s="279"/>
      <c r="K198" s="279"/>
      <c r="L198" s="279"/>
      <c r="M198" s="279"/>
      <c r="N198" s="279"/>
      <c r="O198" s="279"/>
      <c r="P198" s="279"/>
      <c r="Q198" s="279"/>
      <c r="R198" s="279"/>
      <c r="S198" s="280"/>
      <c r="T198" s="280"/>
      <c r="U198" s="280"/>
      <c r="V198" s="280"/>
      <c r="W198" s="281"/>
    </row>
    <row r="200" s="1220" customFormat="1" ht="17.25" customHeight="1">
      <c r="A200" s="1220" t="s">
        <v>1962</v>
      </c>
    </row>
    <row r="201" ht="17.25" customHeight="1">
      <c r="G201" s="274"/>
      <c r="H201" s="274"/>
      <c r="I201" s="274"/>
      <c r="M201" s="63"/>
    </row>
    <row r="202" s="63" customFormat="1" ht="15" customHeight="1">
      <c r="D202" s="1300"/>
      <c r="E202" s="307"/>
      <c r="F202" s="307"/>
      <c r="G202" s="315"/>
      <c r="H202" s="1301"/>
      <c r="I202" s="1302">
        <v>1</v>
      </c>
      <c r="J202" s="388"/>
      <c r="K202" s="1213"/>
      <c r="L202" s="315" t="s">
        <v>64</v>
      </c>
      <c r="M202" s="315" t="s">
        <v>64</v>
      </c>
      <c r="N202" s="1301"/>
      <c r="O202" s="219" t="s">
        <v>105</v>
      </c>
      <c r="P202" s="449"/>
      <c r="Q202" s="1213"/>
      <c r="R202" s="315" t="s">
        <v>64</v>
      </c>
      <c r="S202" s="315" t="s">
        <v>64</v>
      </c>
      <c r="T202" s="1303"/>
      <c r="U202" s="219" t="s">
        <v>105</v>
      </c>
      <c r="V202" s="1304" t="str">
        <f>IF(AK202="","",INDEX(TERRITORY_MR_LIST,MATCH(AK202,TERRITORY_LIST_ID,0)))</f>
        <v/>
      </c>
      <c r="W202" s="226"/>
      <c r="X202" s="315" t="s">
        <v>64</v>
      </c>
      <c r="Y202" s="315" t="s">
        <v>19</v>
      </c>
      <c r="Z202" s="1301"/>
      <c r="AA202" s="219" t="s">
        <v>105</v>
      </c>
      <c r="AB202" s="1305"/>
      <c r="AC202" s="329"/>
      <c r="AD202" s="315" t="s">
        <v>64</v>
      </c>
      <c r="AE202" s="315" t="s">
        <v>19</v>
      </c>
      <c r="AF202" s="226"/>
      <c r="AG202" s="219" t="s">
        <v>105</v>
      </c>
      <c r="AH202" s="1250"/>
      <c r="AI202" s="388"/>
    </row>
    <row r="203" s="63" customFormat="1" ht="15" customHeight="1">
      <c r="D203" s="1300"/>
      <c r="E203" s="307"/>
      <c r="F203" s="307"/>
      <c r="G203" s="321"/>
      <c r="H203" s="1301"/>
      <c r="I203" s="1302"/>
      <c r="J203" s="388"/>
      <c r="K203" s="1306"/>
      <c r="L203" s="321"/>
      <c r="M203" s="321"/>
      <c r="N203" s="1301"/>
      <c r="O203" s="219"/>
      <c r="P203" s="449"/>
      <c r="Q203" s="1307"/>
      <c r="R203" s="321"/>
      <c r="S203" s="321"/>
      <c r="T203" s="1303"/>
      <c r="U203" s="219"/>
      <c r="V203" s="1308"/>
      <c r="W203" s="1256"/>
      <c r="X203" s="321"/>
      <c r="Y203" s="321"/>
      <c r="Z203" s="1301"/>
      <c r="AA203" s="219"/>
      <c r="AB203" s="1201"/>
      <c r="AC203" s="796"/>
      <c r="AD203" s="221"/>
      <c r="AE203" s="221"/>
      <c r="AF203" s="1309"/>
      <c r="AG203" s="1280"/>
      <c r="AH203" s="1281" t="s">
        <v>1963</v>
      </c>
      <c r="AI203" s="1282"/>
    </row>
    <row r="204" s="63" customFormat="1" ht="15" customHeight="1">
      <c r="D204" s="1300"/>
      <c r="E204" s="307"/>
      <c r="F204" s="307"/>
      <c r="G204" s="321"/>
      <c r="H204" s="1301"/>
      <c r="I204" s="1302"/>
      <c r="J204" s="388"/>
      <c r="K204" s="1306"/>
      <c r="L204" s="321"/>
      <c r="M204" s="321"/>
      <c r="N204" s="1301"/>
      <c r="O204" s="219"/>
      <c r="P204" s="449"/>
      <c r="Q204" s="1307"/>
      <c r="R204" s="321"/>
      <c r="S204" s="321"/>
      <c r="T204" s="1303"/>
      <c r="U204" s="219"/>
      <c r="V204" s="1308"/>
      <c r="W204" s="1256"/>
      <c r="X204" s="321"/>
      <c r="Y204" s="321"/>
      <c r="Z204" s="1256"/>
      <c r="AA204" s="1310"/>
      <c r="AB204" s="1311" t="s">
        <v>1964</v>
      </c>
      <c r="AC204" s="1311"/>
      <c r="AD204" s="1311"/>
      <c r="AE204" s="1311"/>
      <c r="AF204" s="1311"/>
      <c r="AG204" s="1311"/>
      <c r="AH204" s="1311"/>
      <c r="AI204" s="1312"/>
    </row>
    <row r="205" s="63" customFormat="1" ht="15" customHeight="1">
      <c r="D205" s="1300"/>
      <c r="E205" s="307"/>
      <c r="F205" s="307"/>
      <c r="G205" s="321"/>
      <c r="H205" s="1301"/>
      <c r="I205" s="1302"/>
      <c r="J205" s="388"/>
      <c r="K205" s="1306"/>
      <c r="L205" s="321"/>
      <c r="M205" s="321"/>
      <c r="N205" s="1301"/>
      <c r="O205" s="219"/>
      <c r="P205" s="1313"/>
      <c r="Q205" s="1307"/>
      <c r="R205" s="321"/>
      <c r="S205" s="321"/>
      <c r="T205" s="1314"/>
      <c r="U205" s="1315"/>
      <c r="V205" s="1281" t="s">
        <v>99</v>
      </c>
      <c r="W205" s="1281"/>
      <c r="X205" s="1281"/>
      <c r="Y205" s="1281"/>
      <c r="Z205" s="1281"/>
      <c r="AA205" s="1281"/>
      <c r="AB205" s="1281"/>
      <c r="AC205" s="1281"/>
      <c r="AD205" s="1281"/>
      <c r="AE205" s="1281"/>
      <c r="AF205" s="1281"/>
      <c r="AG205" s="1281"/>
      <c r="AH205" s="1281"/>
      <c r="AI205" s="1282"/>
    </row>
    <row r="206" s="63" customFormat="1" ht="11.25" customHeight="1">
      <c r="D206" s="1300"/>
      <c r="E206" s="307"/>
      <c r="F206" s="307"/>
      <c r="G206" s="321"/>
      <c r="H206" s="1291"/>
      <c r="I206" s="1302"/>
      <c r="J206" s="1316"/>
      <c r="K206" s="1306"/>
      <c r="L206" s="321"/>
      <c r="M206" s="321"/>
      <c r="N206" s="1291"/>
      <c r="O206" s="1310"/>
      <c r="P206" s="1281" t="s">
        <v>1965</v>
      </c>
      <c r="Q206" s="1281"/>
      <c r="R206" s="1281"/>
      <c r="S206" s="1281"/>
      <c r="T206" s="1281"/>
      <c r="U206" s="1281"/>
      <c r="V206" s="1281"/>
      <c r="W206" s="1281"/>
      <c r="X206" s="1281"/>
      <c r="Y206" s="1281"/>
      <c r="Z206" s="1281"/>
      <c r="AA206" s="1281"/>
      <c r="AB206" s="1281"/>
      <c r="AC206" s="1281"/>
      <c r="AD206" s="1281"/>
      <c r="AE206" s="1281"/>
      <c r="AF206" s="1281"/>
      <c r="AG206" s="1281"/>
      <c r="AH206" s="1281"/>
      <c r="AI206" s="1282"/>
    </row>
    <row r="207" s="298" customFormat="1" ht="11.25" customHeight="1">
      <c r="D207" s="1300"/>
      <c r="E207" s="307"/>
      <c r="F207" s="307"/>
      <c r="G207" s="221"/>
      <c r="H207" s="1317"/>
      <c r="I207" s="1318"/>
      <c r="J207" s="1281" t="s">
        <v>442</v>
      </c>
      <c r="K207" s="1281"/>
      <c r="L207" s="1281"/>
      <c r="M207" s="1281"/>
      <c r="N207" s="1281"/>
      <c r="O207" s="1281"/>
      <c r="P207" s="1281"/>
      <c r="Q207" s="1281"/>
      <c r="R207" s="1281"/>
      <c r="S207" s="1281"/>
      <c r="T207" s="1281"/>
      <c r="U207" s="1281"/>
      <c r="V207" s="1281"/>
      <c r="W207" s="1281"/>
      <c r="X207" s="1281"/>
      <c r="Y207" s="1281"/>
      <c r="Z207" s="1281"/>
      <c r="AA207" s="1281"/>
      <c r="AB207" s="1281"/>
      <c r="AC207" s="1281"/>
      <c r="AD207" s="1281"/>
      <c r="AE207" s="1281"/>
      <c r="AF207" s="1281"/>
      <c r="AG207" s="1281"/>
      <c r="AH207" s="1281"/>
      <c r="AI207" s="1282"/>
      <c r="BK207" s="63"/>
    </row>
    <row r="208" ht="17.25" customHeight="1">
      <c r="G208" s="274"/>
      <c r="I208" s="274"/>
      <c r="J208" s="274"/>
      <c r="N208" s="63"/>
    </row>
    <row r="209" s="63" customFormat="1" ht="15" customHeight="1">
      <c r="D209" s="1300"/>
      <c r="E209" s="307"/>
      <c r="F209" s="307"/>
      <c r="G209" s="314"/>
      <c r="H209" s="316"/>
      <c r="I209" s="317"/>
      <c r="J209" s="260"/>
      <c r="K209" s="260"/>
      <c r="L209" s="261"/>
      <c r="M209" s="261"/>
      <c r="N209" s="318"/>
      <c r="O209" s="261"/>
      <c r="P209" s="260"/>
      <c r="Q209" s="260"/>
      <c r="R209" s="261"/>
      <c r="S209" s="261"/>
      <c r="T209" s="319"/>
      <c r="U209" s="261"/>
      <c r="V209" s="260"/>
      <c r="W209" s="261"/>
      <c r="X209" s="261"/>
      <c r="Y209" s="261"/>
      <c r="Z209" s="318"/>
      <c r="AA209" s="261"/>
      <c r="AB209" s="260"/>
      <c r="AC209" s="320"/>
      <c r="AD209" s="261"/>
      <c r="AE209" s="261"/>
      <c r="AF209" s="261"/>
      <c r="AG209" s="261"/>
      <c r="AH209" s="318"/>
      <c r="AI209" s="264"/>
    </row>
    <row r="210" s="63" customFormat="1" ht="15" customHeight="1">
      <c r="D210" s="1300"/>
      <c r="E210" s="307"/>
      <c r="F210" s="307"/>
      <c r="G210" s="314"/>
      <c r="H210" s="322"/>
      <c r="I210" s="323"/>
      <c r="J210" s="269"/>
      <c r="K210" s="86"/>
      <c r="L210" s="126"/>
      <c r="M210" s="126"/>
      <c r="N210" s="60"/>
      <c r="O210" s="126"/>
      <c r="P210" s="269"/>
      <c r="Q210" s="269"/>
      <c r="R210" s="126"/>
      <c r="S210" s="126"/>
      <c r="T210" s="324"/>
      <c r="U210" s="126"/>
      <c r="V210" s="269"/>
      <c r="W210" s="126"/>
      <c r="X210" s="126"/>
      <c r="Y210" s="126"/>
      <c r="Z210" s="60"/>
      <c r="AA210" s="126"/>
      <c r="AB210" s="269"/>
      <c r="AC210" s="86"/>
      <c r="AD210" s="126"/>
      <c r="AE210" s="126"/>
      <c r="AF210" s="272"/>
      <c r="AG210" s="272"/>
      <c r="AH210" s="272"/>
      <c r="AI210" s="273"/>
    </row>
    <row r="211" s="63" customFormat="1" ht="15" customHeight="1">
      <c r="D211" s="1300"/>
      <c r="E211" s="307"/>
      <c r="F211" s="307"/>
      <c r="G211" s="314"/>
      <c r="H211" s="322"/>
      <c r="I211" s="323"/>
      <c r="J211" s="269"/>
      <c r="K211" s="86"/>
      <c r="L211" s="126"/>
      <c r="M211" s="126"/>
      <c r="N211" s="60"/>
      <c r="O211" s="126"/>
      <c r="P211" s="269"/>
      <c r="Q211" s="269"/>
      <c r="R211" s="126"/>
      <c r="S211" s="126"/>
      <c r="T211" s="324"/>
      <c r="U211" s="126"/>
      <c r="V211" s="269"/>
      <c r="W211" s="126"/>
      <c r="X211" s="126"/>
      <c r="Y211" s="126"/>
      <c r="Z211" s="126"/>
      <c r="AA211" s="272"/>
      <c r="AB211" s="272"/>
      <c r="AC211" s="272"/>
      <c r="AD211" s="272"/>
      <c r="AE211" s="272"/>
      <c r="AF211" s="272"/>
      <c r="AG211" s="272"/>
      <c r="AH211" s="272"/>
      <c r="AI211" s="273"/>
    </row>
    <row r="212" s="63" customFormat="1" ht="15" customHeight="1">
      <c r="D212" s="1300"/>
      <c r="E212" s="307"/>
      <c r="F212" s="307"/>
      <c r="G212" s="314"/>
      <c r="H212" s="322"/>
      <c r="I212" s="323"/>
      <c r="J212" s="269"/>
      <c r="K212" s="86"/>
      <c r="L212" s="126"/>
      <c r="M212" s="126"/>
      <c r="N212" s="60"/>
      <c r="O212" s="126"/>
      <c r="P212" s="269"/>
      <c r="Q212" s="269"/>
      <c r="R212" s="126"/>
      <c r="S212" s="126"/>
      <c r="T212" s="325"/>
      <c r="U212" s="326"/>
      <c r="V212" s="272"/>
      <c r="W212" s="272"/>
      <c r="X212" s="272"/>
      <c r="Y212" s="272"/>
      <c r="Z212" s="272"/>
      <c r="AA212" s="272"/>
      <c r="AB212" s="272"/>
      <c r="AC212" s="272"/>
      <c r="AD212" s="272"/>
      <c r="AE212" s="272"/>
      <c r="AF212" s="272"/>
      <c r="AG212" s="272"/>
      <c r="AH212" s="272"/>
      <c r="AI212" s="273"/>
    </row>
    <row r="213" s="63" customFormat="1" ht="11.25" customHeight="1">
      <c r="D213" s="1300"/>
      <c r="E213" s="307"/>
      <c r="F213" s="307"/>
      <c r="G213" s="314"/>
      <c r="H213" s="327"/>
      <c r="I213" s="323"/>
      <c r="J213" s="269"/>
      <c r="K213" s="86"/>
      <c r="L213" s="126"/>
      <c r="M213" s="126"/>
      <c r="N213" s="272"/>
      <c r="O213" s="272"/>
      <c r="P213" s="272"/>
      <c r="Q213" s="272"/>
      <c r="R213" s="272"/>
      <c r="S213" s="272"/>
      <c r="T213" s="272"/>
      <c r="U213" s="272"/>
      <c r="V213" s="272"/>
      <c r="W213" s="272"/>
      <c r="X213" s="272"/>
      <c r="Y213" s="272"/>
      <c r="Z213" s="272"/>
      <c r="AA213" s="272"/>
      <c r="AB213" s="272"/>
      <c r="AC213" s="272"/>
      <c r="AD213" s="272"/>
      <c r="AE213" s="272"/>
      <c r="AF213" s="272"/>
      <c r="AG213" s="272"/>
      <c r="AH213" s="272"/>
      <c r="AI213" s="273"/>
    </row>
    <row r="214" s="298" customFormat="1" ht="11.25" customHeight="1">
      <c r="D214" s="1300"/>
      <c r="E214" s="307"/>
      <c r="F214" s="307"/>
      <c r="G214" s="333"/>
      <c r="H214" s="331"/>
      <c r="I214" s="332"/>
      <c r="J214" s="279"/>
      <c r="K214" s="279"/>
      <c r="L214" s="279"/>
      <c r="M214" s="279"/>
      <c r="N214" s="279"/>
      <c r="O214" s="279"/>
      <c r="P214" s="279"/>
      <c r="Q214" s="279"/>
      <c r="R214" s="279"/>
      <c r="S214" s="279"/>
      <c r="T214" s="279"/>
      <c r="U214" s="279"/>
      <c r="V214" s="279"/>
      <c r="W214" s="279"/>
      <c r="X214" s="279"/>
      <c r="Y214" s="279"/>
      <c r="Z214" s="279"/>
      <c r="AA214" s="279"/>
      <c r="AB214" s="279"/>
      <c r="AC214" s="279"/>
      <c r="AD214" s="279"/>
      <c r="AE214" s="279"/>
      <c r="AF214" s="279"/>
      <c r="AG214" s="279"/>
      <c r="AH214" s="279"/>
      <c r="AI214" s="281"/>
      <c r="BK214" s="63"/>
    </row>
    <row r="215" ht="17.25" customHeight="1">
      <c r="A215" s="63"/>
    </row>
  </sheetData>
  <sheetProtection autoFilter="0" deleteColumns="1" deleteRows="1" formatCells="1" formatColumns="0" formatRows="0" insertColumns="1" insertHyperlinks="1" insertRows="1" objects="0" pivotTables="1" scenarios="0" selectLockedCells="0" selectUnlockedCells="0" sheet="1" sort="1"/>
  <mergeCells count="287">
    <mergeCell ref="A13:A15"/>
    <mergeCell ref="D23:D25"/>
    <mergeCell ref="E23:E25"/>
    <mergeCell ref="F23:F25"/>
    <mergeCell ref="G23:G24"/>
    <mergeCell ref="H23:H24"/>
    <mergeCell ref="I23:I24"/>
    <mergeCell ref="J23:J24"/>
    <mergeCell ref="G29:G30"/>
    <mergeCell ref="H29:H30"/>
    <mergeCell ref="I29:I30"/>
    <mergeCell ref="J29:J30"/>
    <mergeCell ref="A47:A51"/>
    <mergeCell ref="C47:C51"/>
    <mergeCell ref="F72:F73"/>
    <mergeCell ref="G72:G73"/>
    <mergeCell ref="H72:H73"/>
    <mergeCell ref="I72:I73"/>
    <mergeCell ref="J72:J73"/>
    <mergeCell ref="K72:K73"/>
    <mergeCell ref="L72:L73"/>
    <mergeCell ref="M72:M73"/>
    <mergeCell ref="N72:N73"/>
    <mergeCell ref="O72:O73"/>
    <mergeCell ref="P72:P73"/>
    <mergeCell ref="Q72:Q73"/>
    <mergeCell ref="R72:R73"/>
    <mergeCell ref="S72:S73"/>
    <mergeCell ref="T72:T73"/>
    <mergeCell ref="U72:U73"/>
    <mergeCell ref="V72:V73"/>
    <mergeCell ref="W72:W73"/>
    <mergeCell ref="X72:X73"/>
    <mergeCell ref="Y72:Y73"/>
    <mergeCell ref="F82:F87"/>
    <mergeCell ref="G82:G86"/>
    <mergeCell ref="H82:H86"/>
    <mergeCell ref="I82:I86"/>
    <mergeCell ref="J82:J86"/>
    <mergeCell ref="K82:K86"/>
    <mergeCell ref="L82:L86"/>
    <mergeCell ref="M82:M86"/>
    <mergeCell ref="AF82:AF86"/>
    <mergeCell ref="AG82:AG86"/>
    <mergeCell ref="AH82:AH86"/>
    <mergeCell ref="AI82:AI86"/>
    <mergeCell ref="AJ82:AJ86"/>
    <mergeCell ref="AK82:AK86"/>
    <mergeCell ref="N83:N85"/>
    <mergeCell ref="O83:O85"/>
    <mergeCell ref="P83:P85"/>
    <mergeCell ref="Q83:Q85"/>
    <mergeCell ref="R83:R85"/>
    <mergeCell ref="S83:S85"/>
    <mergeCell ref="T83:T85"/>
    <mergeCell ref="U83:U85"/>
    <mergeCell ref="V83:V85"/>
    <mergeCell ref="W83:W85"/>
    <mergeCell ref="X83:X85"/>
    <mergeCell ref="Y83:Y85"/>
    <mergeCell ref="I87:K87"/>
    <mergeCell ref="N91:N93"/>
    <mergeCell ref="O91:O93"/>
    <mergeCell ref="P91:P93"/>
    <mergeCell ref="Q91:Q93"/>
    <mergeCell ref="R91:R93"/>
    <mergeCell ref="S91:S93"/>
    <mergeCell ref="T91:T93"/>
    <mergeCell ref="U91:U93"/>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D115:D123"/>
    <mergeCell ref="E115:G115"/>
    <mergeCell ref="H115:R115"/>
    <mergeCell ref="AC115:AC120"/>
    <mergeCell ref="E116:G116"/>
    <mergeCell ref="H116:R116"/>
    <mergeCell ref="E117:G117"/>
    <mergeCell ref="H117:R117"/>
    <mergeCell ref="E118:P118"/>
    <mergeCell ref="U118:U120"/>
    <mergeCell ref="V118:V120"/>
    <mergeCell ref="E121:P121"/>
    <mergeCell ref="U121:U123"/>
    <mergeCell ref="V121:V123"/>
    <mergeCell ref="D127:D135"/>
    <mergeCell ref="E127:G127"/>
    <mergeCell ref="H127:R127"/>
    <mergeCell ref="AC127:AC132"/>
    <mergeCell ref="E128:G128"/>
    <mergeCell ref="H128:R128"/>
    <mergeCell ref="E129:G129"/>
    <mergeCell ref="H129:R129"/>
    <mergeCell ref="E130:P130"/>
    <mergeCell ref="U130:U132"/>
    <mergeCell ref="V130:V132"/>
    <mergeCell ref="U133:U135"/>
    <mergeCell ref="V133:V135"/>
    <mergeCell ref="E139:E142"/>
    <mergeCell ref="F139:F142"/>
    <mergeCell ref="G139:G142"/>
    <mergeCell ref="L139:M139"/>
    <mergeCell ref="S139:S142"/>
    <mergeCell ref="H140:H141"/>
    <mergeCell ref="I140:I141"/>
    <mergeCell ref="J140:J141"/>
    <mergeCell ref="K140:K141"/>
    <mergeCell ref="H147:H148"/>
    <mergeCell ref="I147:I148"/>
    <mergeCell ref="J147:J148"/>
    <mergeCell ref="K147:K148"/>
    <mergeCell ref="D154:D158"/>
    <mergeCell ref="E154:E158"/>
    <mergeCell ref="F154:F158"/>
    <mergeCell ref="G154:G158"/>
    <mergeCell ref="H154:H157"/>
    <mergeCell ref="I154:I157"/>
    <mergeCell ref="J154:J157"/>
    <mergeCell ref="K154:K157"/>
    <mergeCell ref="L154:L156"/>
    <mergeCell ref="M154:M156"/>
    <mergeCell ref="N154:N156"/>
    <mergeCell ref="O154:O156"/>
    <mergeCell ref="P154:P155"/>
    <mergeCell ref="Q154:Q155"/>
    <mergeCell ref="R154:R155"/>
    <mergeCell ref="S154:S155"/>
    <mergeCell ref="H160:H163"/>
    <mergeCell ref="I160:I163"/>
    <mergeCell ref="J160:J163"/>
    <mergeCell ref="K160:K163"/>
    <mergeCell ref="L160:L162"/>
    <mergeCell ref="M160:M162"/>
    <mergeCell ref="N160:N162"/>
    <mergeCell ref="O160:O162"/>
    <mergeCell ref="P160:P161"/>
    <mergeCell ref="Q160:Q161"/>
    <mergeCell ref="R160:R161"/>
    <mergeCell ref="S160:S161"/>
    <mergeCell ref="L165:L167"/>
    <mergeCell ref="M165:M167"/>
    <mergeCell ref="N165:N167"/>
    <mergeCell ref="O165:O167"/>
    <mergeCell ref="P165:P166"/>
    <mergeCell ref="Q165:Q166"/>
    <mergeCell ref="R165:R166"/>
    <mergeCell ref="S165:S166"/>
    <mergeCell ref="P169:P170"/>
    <mergeCell ref="Q169:Q170"/>
    <mergeCell ref="R169:R170"/>
    <mergeCell ref="S169:S170"/>
    <mergeCell ref="D176:D180"/>
    <mergeCell ref="E176:E180"/>
    <mergeCell ref="F176:F180"/>
    <mergeCell ref="G176:G180"/>
    <mergeCell ref="H176:H179"/>
    <mergeCell ref="I176:I179"/>
    <mergeCell ref="J176:J179"/>
    <mergeCell ref="K176:K179"/>
    <mergeCell ref="L176:L178"/>
    <mergeCell ref="M176:M178"/>
    <mergeCell ref="N176:N178"/>
    <mergeCell ref="O176:O178"/>
    <mergeCell ref="P176:P177"/>
    <mergeCell ref="Q176:Q177"/>
    <mergeCell ref="R176:R177"/>
    <mergeCell ref="S176:S177"/>
    <mergeCell ref="W176:W177"/>
    <mergeCell ref="H182:H185"/>
    <mergeCell ref="I182:I185"/>
    <mergeCell ref="J182:J185"/>
    <mergeCell ref="K182:K185"/>
    <mergeCell ref="L182:L184"/>
    <mergeCell ref="M182:M184"/>
    <mergeCell ref="N182:N184"/>
    <mergeCell ref="O182:O184"/>
    <mergeCell ref="P182:P183"/>
    <mergeCell ref="Q182:Q183"/>
    <mergeCell ref="R182:R183"/>
    <mergeCell ref="S182:S183"/>
    <mergeCell ref="W182:W183"/>
    <mergeCell ref="L187:L189"/>
    <mergeCell ref="M187:M189"/>
    <mergeCell ref="N187:N189"/>
    <mergeCell ref="O187:O189"/>
    <mergeCell ref="P187:P188"/>
    <mergeCell ref="Q187:Q188"/>
    <mergeCell ref="R187:R188"/>
    <mergeCell ref="S187:S188"/>
    <mergeCell ref="W187:W188"/>
    <mergeCell ref="P191:P192"/>
    <mergeCell ref="Q191:Q192"/>
    <mergeCell ref="R191:R192"/>
    <mergeCell ref="S191:S192"/>
    <mergeCell ref="W191:W192"/>
    <mergeCell ref="D194:D198"/>
    <mergeCell ref="E194:E198"/>
    <mergeCell ref="F194:F198"/>
    <mergeCell ref="G194:G198"/>
    <mergeCell ref="H194:H197"/>
    <mergeCell ref="I194:I197"/>
    <mergeCell ref="J194:J197"/>
    <mergeCell ref="K194:K197"/>
    <mergeCell ref="L194:L196"/>
    <mergeCell ref="M194:M196"/>
    <mergeCell ref="N194:N196"/>
    <mergeCell ref="O194:O196"/>
    <mergeCell ref="P194:P195"/>
    <mergeCell ref="Q194:Q195"/>
    <mergeCell ref="R194:R195"/>
    <mergeCell ref="S194:S195"/>
    <mergeCell ref="D202:D207"/>
    <mergeCell ref="E202:E207"/>
    <mergeCell ref="F202:F207"/>
    <mergeCell ref="G202:G207"/>
    <mergeCell ref="I202:I206"/>
    <mergeCell ref="J202:J206"/>
    <mergeCell ref="L202:L206"/>
    <mergeCell ref="M202:M206"/>
    <mergeCell ref="O202:O205"/>
    <mergeCell ref="P202:P205"/>
    <mergeCell ref="R202:R205"/>
    <mergeCell ref="S202:S205"/>
    <mergeCell ref="U202:U204"/>
    <mergeCell ref="V202:V204"/>
    <mergeCell ref="X202:X204"/>
    <mergeCell ref="Y202:Y204"/>
    <mergeCell ref="AA202:AA203"/>
    <mergeCell ref="AB202:AB203"/>
    <mergeCell ref="AD202:AD203"/>
    <mergeCell ref="AE202:AE203"/>
    <mergeCell ref="AH203:AI203"/>
    <mergeCell ref="AB204:AI204"/>
    <mergeCell ref="V205:AI205"/>
    <mergeCell ref="P206:AI206"/>
    <mergeCell ref="J207:AI207"/>
    <mergeCell ref="D209:D214"/>
    <mergeCell ref="E209:E214"/>
    <mergeCell ref="F209:F214"/>
    <mergeCell ref="G209:G214"/>
    <mergeCell ref="I209:I213"/>
    <mergeCell ref="J209:J213"/>
    <mergeCell ref="L209:L213"/>
    <mergeCell ref="M209:M213"/>
    <mergeCell ref="O209:O212"/>
    <mergeCell ref="P209:P212"/>
    <mergeCell ref="R209:R212"/>
    <mergeCell ref="S209:S212"/>
    <mergeCell ref="U209:U211"/>
    <mergeCell ref="V209:V211"/>
    <mergeCell ref="X209:X211"/>
    <mergeCell ref="Y209:Y211"/>
    <mergeCell ref="AA209:AA210"/>
    <mergeCell ref="AB209:AB210"/>
    <mergeCell ref="AD209:AD210"/>
    <mergeCell ref="AE209:AE210"/>
    <mergeCell ref="AH210:AI210"/>
    <mergeCell ref="AB211:AI211"/>
    <mergeCell ref="V212:AI212"/>
    <mergeCell ref="P213:AI213"/>
    <mergeCell ref="J214:AI214"/>
  </mergeCells>
  <dataValidations count="7" disablePrompts="0">
    <dataValidation sqref="K194:K195 O194:O195 S154:S155 S194:S195 O154 K154 F165:F167 S176:S177 O176 K176 F172 K160 S160:S161 O160 F154:F158 K165 S165:S166 O165 O191 K169 S169:S170 O169 F160:F163 K182 S182:S183 O182 F176:F180 F182:F185 S187:S188 O187 F187:F189 F191:F192 S191:S192 F169:F170"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G64 T72 I72:J72 X72 T77 I77:J77 X77 F49"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G165:G167 G172 G154:G158 G191:G192 G160:G163 G176:G180 G182:G185 G187:G189 G169:G170" type="none" allowBlank="1" errorStyle="stop" imeMode="noControl" operator="between" prompt="Выберите виды деятельности, выполнив двойной щелчок левой кнопки мыши по ячейке." showDropDown="0" showErrorMessage="1" showInputMessage="1"/>
    <dataValidation sqref="J56" type="none" allowBlank="1" errorStyle="stop" imeMode="noControl" operator="between" prompt="Изменение значения по двойному щелчоку левой кнопки мыши" showDropDown="0" showErrorMessage="1" showInputMessage="1"/>
    <dataValidation sqref="F60" type="none" allowBlank="1" errorStyle="stop" imeMode="noControl" operator="between" prompt="Выберите один или несколько одновременно видов деятельности, выполнив последовательно по одному щелчку на строке с видом деятельности" showDropDown="0" showErrorMessage="1" showInputMessage="1"/>
    <dataValidation sqref="G72 G77" type="none" allowBlank="1" errorStyle="stop" imeMode="noControl" operator="between" prompt="Для выбора ИП необходимо два раза нажать левую кнопку мыши!" promptTitle="Ввод" showDropDown="0" showErrorMessage="1" showInputMessage="1"/>
    <dataValidation sqref="N154:N156 N176:N178 N160:N162 N165:N167 N169:N170 N182:N184 N187:N189 N191:N192" type="none" allowBlank="1" errorStyle="stop" imeMode="noControl" operator="between"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DropDown="0" showErrorMessage="1" showInputMessage="1"/>
  </dataValidations>
  <printOptions headings="0" gridLines="0"/>
  <pageMargins left="0.75" right="0.75" top="1" bottom="1" header="0.5" footer="0.5"/>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13" disablePrompts="0">
        <x14:dataValidation xr:uid="{00960075-0028-4688-90CB-005B00F50088}" type="textLength" allowBlank="1" error="Допускается ввод не более 900 символов!" errorStyle="stop" errorTitle="Ошибка" imeMode="noControl" operator="lessThanOrEqual" showDropDown="0" showErrorMessage="1" showInputMessage="1">
          <x14:formula1>
            <xm:f>900</xm:f>
          </x14:formula1>
          <xm: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xm:sqref>
        </x14:dataValidation>
        <x14:dataValidation xr:uid="{000A0015-00F5-4173-AF50-0094003B001C}"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Q147 O147 O150 Q150 Q140 O140 AC84 AE84 AC92 AE92 AE97 AE103 AC103 AC97 T60 H60:I60 AB60 X60 K60 M60 O60 Q60</xm:sqref>
        </x14:dataValidation>
        <x14:dataValidation xr:uid="{009400D5-0094-4CE4-A794-005C007A00A8}" type="list" allowBlank="1" error="Выберите значение из списка" errorStyle="stop" errorTitle="Ошибка" imeMode="noControl" operator="between"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howDropDown="0" showErrorMessage="1" showInputMessage="1">
          <x14:formula1>
            <xm:f>DESCRIPTION_TERRITORY</xm:f>
          </x14:formula1>
          <xm:sqref>N194:N196</xm:sqref>
        </x14:dataValidation>
        <x14:dataValidation xr:uid="{009E0046-0096-4715-8E0C-007F00610021}" type="textLength" allowBlank="1" error="Допускается ввод не более 900 символов!" errorStyle="stop" errorTitle="Ошибка" imeMode="noControl" operator="lessThanOrEqual" prompt="Введите ссылку на обосновывающие материалы, загруженные с помощью &quot;ЕИАС Web&quot;." showDropDown="0" showErrorMessage="1" showInputMessage="1">
          <x14:formula1>
            <xm:f>900</xm:f>
          </x14:formula1>
          <xm:sqref>H64 K56 F68</xm:sqref>
        </x14:dataValidation>
        <x14:dataValidation xr:uid="{00E600AA-0035-4EC9-8D85-00BF00A1008B}"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F39 I82:J85 K72 K77 I97:J97 I101:J104</xm:sqref>
        </x14:dataValidation>
        <x14:dataValidation xr:uid="{00DB00ED-0028-4F33-ADFF-0013003E0070}" type="textLength" allowBlank="1" error="Допускается ввод не более 900 символов!" errorStyle="stop" imeMode="noControl" operator="lessThan" showDropDown="0" showErrorMessage="1" showInputMessage="1">
          <x14:formula1>
            <xm:f>900</xm:f>
          </x14:formula1>
          <xm:sqref>M29 M23</xm:sqref>
        </x14:dataValidation>
        <x14:dataValidation xr:uid="{00FF001B-0010-48DE-90E9-003A004A00A3}" type="list" allowBlank="1" errorStyle="stop" imeMode="noControl" operator="between" showDropDown="0" showErrorMessage="1" showInputMessage="1">
          <x14:formula1>
            <xm:f>DESCRIPTION_TERRITORY</xm:f>
          </x14:formula1>
          <xm:sqref>I34</xm:sqref>
        </x14:dataValidation>
        <x14:dataValidation xr:uid="{00BC0025-00BF-4730-9E6C-0079009A0071}"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kind_of_power_te_unit</xm:f>
          </x14:formula1>
          <xm:sqref>L60</xm:sqref>
        </x14:dataValidation>
        <x14:dataValidation xr:uid="{008A0010-007A-4F19-B2E3-00D000E40061}"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AF91:AF93 AI91:AI93 AF101:AF105 AI101:AI105 AF97 AI97 AF82:AF86 AI82:AI86 N60 P60 U60:V60 Y60:Z60 J60 R60:S60 AC60</xm:sqref>
        </x14:dataValidation>
        <x14:dataValidation xr:uid="{00EF00C8-005B-4F4C-94A7-006D002300B9}"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kind_of_purchase_method</xm:f>
          </x14:formula1>
          <xm:sqref>J140:J141 J147:J148 J150</xm:sqref>
        </x14:dataValidation>
        <x14:dataValidation xr:uid="{00840082-0092-4B12-8016-0076000200A5}" type="list" allowBlank="1" error="Выберите значение из списка" errorStyle="stop" errorTitle="Ошибка" imeMode="noControl" operator="between" prompt="Выберите значение из списка" showDropDown="0" showErrorMessage="1" showInputMessage="1">
          <x14:formula1>
            <xm:f>QRE_METHOD_LIST</xm:f>
          </x14:formula1>
          <xm:sqref>H110</xm:sqref>
        </x14:dataValidation>
        <x14:dataValidation xr:uid="{001C0019-0030-43BB-A3E0-000B00FB002C}" type="list" allowBlank="1" error="Выберите значение из списка" errorStyle="warning" errorTitle="Ошибка" imeMode="noControl" operator="between" prompt="Выберите значение из списка или укажите свой вид твердых коммунальных отходов" showDropDown="0" showErrorMessage="0" showInputMessage="1">
          <x14:formula1>
            <xm:f>list_typeTKO</xm:f>
          </x14:formula1>
          <xm:sqref>AC202 AC209</xm:sqref>
        </x14:dataValidation>
        <x14:dataValidation xr:uid="{001C00B8-0057-4563-8239-004600E90014}" type="decimal" allowBlank="1" error="Допускается ввод только действительных чисел!" errorStyle="stop" errorTitle="Ошибка" imeMode="noControl" operator="between" showDropDown="0" showErrorMessage="1" showInputMessage="0">
          <x14:formula1>
            <xm:f>-9.99999999999999E+23</xm:f>
          </x14:formula1>
          <x14:formula2>
            <xm:f>9.99999999999999E+23</xm:f>
          </x14:formula2>
          <xm:sqref>CY110:DJ110 BT110:CK110 O110:AB110</xm:sqref>
        </x14:dataValidation>
      </x14:dataValidations>
    </ext>
  </extLst>
</worksheet>
</file>

<file path=xl/worksheets/sheet6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43.140625" defaultRowHeight="9" customHeight="1"/>
  <cols>
    <col min="1" max="1" style="1319" width="43.140625"/>
    <col hidden="1" min="2" max="2" style="1319" width="43.140625"/>
    <col min="3" max="3" style="1319" width="43.140625"/>
    <col customWidth="1" min="4" max="5" style="1319" width="36.421875"/>
    <col customWidth="1" min="6" max="8" style="1320" width="36.421875"/>
  </cols>
  <sheetData>
    <row r="1" ht="9" customHeight="1">
      <c r="A1" s="1321" t="s">
        <v>1966</v>
      </c>
      <c r="B1" s="1321"/>
      <c r="C1" s="1322" t="s">
        <v>1967</v>
      </c>
      <c r="D1" s="1323" t="s">
        <v>802</v>
      </c>
      <c r="E1" s="1323" t="s">
        <v>848</v>
      </c>
      <c r="F1" s="1323" t="s">
        <v>901</v>
      </c>
      <c r="G1" s="1323" t="s">
        <v>888</v>
      </c>
      <c r="H1" s="1323" t="s">
        <v>1643</v>
      </c>
    </row>
    <row r="2" ht="9" customHeight="1">
      <c r="A2" s="1324" t="s">
        <v>1968</v>
      </c>
      <c r="B2" s="1324"/>
      <c r="C2" s="1325" t="str">
        <f>INDEX(TEMPLATE_NUMBER_FORM_LIST,MATCH(TEMPLATE_SPHERE,TEMPLATE_SPHERE_LIST,0))</f>
        <v>10</v>
      </c>
      <c r="D2" s="1324" t="s">
        <v>1493</v>
      </c>
      <c r="E2" s="1324" t="s">
        <v>145</v>
      </c>
      <c r="F2" s="1326" t="s">
        <v>145</v>
      </c>
      <c r="G2" s="1324" t="s">
        <v>145</v>
      </c>
      <c r="H2" s="1327"/>
    </row>
    <row r="3" ht="63" customHeight="1">
      <c r="A3" s="1321"/>
      <c r="B3" s="1321" t="s">
        <v>105</v>
      </c>
      <c r="C3" s="1325" t="str">
        <f t="shared" ref="C3:C5" si="62">IF(TEMPLATE_SPHERE="HEAT",D3,IF(TEMPLATE_SPHERE="TKO",H3,E3))</f>
        <v xml:space="preserve">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1325" t="s">
        <v>1969</v>
      </c>
      <c r="E3" s="132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 xml:space="preserve">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1326"/>
      <c r="G3" s="1327"/>
      <c r="H3" s="1321"/>
    </row>
    <row r="4" ht="243" customHeight="1">
      <c r="A4" s="1321" t="s">
        <v>1970</v>
      </c>
      <c r="B4" s="1321" t="s">
        <v>106</v>
      </c>
      <c r="C4" s="1325" t="str">
        <f t="shared" si="62"/>
        <v xml:space="preserve">Форма 1. Информация об организации, осуществляющей горячее водоснабжение (общая информация)</v>
      </c>
      <c r="D4" s="1324" t="s">
        <v>1971</v>
      </c>
      <c r="E4" s="1325" t="str">
        <f>"Форма 1. Информация об организации, осуществляющей "&amp;TEMPLATE_SPHERE_RUS_2&amp;" (общая информация)"</f>
        <v xml:space="preserve">Форма 1. Информация об организации, осуществляющей горячее водоснабжение (общая информация)</v>
      </c>
      <c r="F4" s="1324"/>
      <c r="G4" s="1324"/>
      <c r="H4" s="1321" t="s">
        <v>1972</v>
      </c>
    </row>
    <row r="5" ht="117" customHeight="1">
      <c r="A5" s="1321" t="s">
        <v>1973</v>
      </c>
      <c r="B5" s="1321" t="s">
        <v>89</v>
      </c>
      <c r="C5" s="1325" t="str">
        <f t="shared" si="62"/>
        <v xml:space="preserve">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1321" t="s">
        <v>1974</v>
      </c>
      <c r="E5" s="1328"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 xml:space="preserve">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1327"/>
      <c r="G5" s="1327"/>
      <c r="H5" s="1321" t="s">
        <v>1975</v>
      </c>
    </row>
    <row r="6" ht="90" customHeight="1">
      <c r="A6" s="1321" t="s">
        <v>1976</v>
      </c>
      <c r="B6" s="1321" t="s">
        <v>90</v>
      </c>
      <c r="C6" s="1325" t="str">
        <f t="shared" ref="C6:C8" si="63">IF(TEMPLATE_SPHERE="HEAT",D6,E6)</f>
        <v xml:space="preserve">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1328"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 xml:space="preserve">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1328"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 xml:space="preserve">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1321"/>
      <c r="G6" s="1321"/>
      <c r="H6" s="1327"/>
    </row>
    <row r="7" ht="45" customHeight="1">
      <c r="A7" s="1321" t="s">
        <v>1977</v>
      </c>
      <c r="B7" s="1321" t="s">
        <v>107</v>
      </c>
      <c r="C7" s="1325" t="str">
        <f t="shared" si="63"/>
        <v xml:space="preserve">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1321" t="s">
        <v>1978</v>
      </c>
      <c r="E7" s="1321" t="s">
        <v>1979</v>
      </c>
      <c r="F7" s="1327"/>
      <c r="G7" s="1327"/>
      <c r="H7" s="1327"/>
    </row>
    <row r="8" ht="108" customHeight="1">
      <c r="A8" s="1321" t="s">
        <v>1980</v>
      </c>
      <c r="B8" s="1321" t="s">
        <v>91</v>
      </c>
      <c r="C8" s="1325" t="str">
        <f t="shared" si="63"/>
        <v xml:space="preserve">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1321" t="s">
        <v>1187</v>
      </c>
      <c r="E8" s="1321" t="s">
        <v>1981</v>
      </c>
      <c r="F8" s="1327"/>
      <c r="G8" s="1327"/>
      <c r="H8" s="1327"/>
    </row>
    <row r="9" ht="99" customHeight="1">
      <c r="A9" s="1321" t="s">
        <v>1982</v>
      </c>
      <c r="B9" s="1321"/>
      <c r="C9" s="1321" t="s">
        <v>1983</v>
      </c>
      <c r="D9" s="1321"/>
      <c r="E9" s="1321"/>
      <c r="F9" s="1327"/>
      <c r="G9" s="1327"/>
      <c r="H9" s="1327"/>
    </row>
    <row r="10" ht="126" customHeight="1">
      <c r="A10" s="1321" t="s">
        <v>1984</v>
      </c>
      <c r="B10" s="1321"/>
      <c r="C10" s="1321" t="s">
        <v>1985</v>
      </c>
      <c r="D10" s="1321"/>
      <c r="E10" s="1321"/>
      <c r="F10" s="1327"/>
      <c r="G10" s="1327"/>
      <c r="H10" s="1327"/>
    </row>
    <row r="11" ht="108" customHeight="1">
      <c r="A11" s="1321" t="s">
        <v>1986</v>
      </c>
      <c r="B11" s="1321"/>
      <c r="C11" s="1321" t="s">
        <v>1987</v>
      </c>
      <c r="D11" s="1321"/>
      <c r="E11" s="1321"/>
      <c r="F11" s="1327"/>
      <c r="G11" s="1327"/>
      <c r="H11" s="1327"/>
    </row>
    <row r="12" ht="54" customHeight="1">
      <c r="A12" s="1321" t="s">
        <v>1988</v>
      </c>
      <c r="B12" s="1321"/>
      <c r="C12" s="1321" t="s">
        <v>1989</v>
      </c>
      <c r="D12" s="1321"/>
      <c r="E12" s="1321"/>
      <c r="F12" s="1327"/>
      <c r="G12" s="1327"/>
      <c r="H12" s="1327"/>
    </row>
    <row r="13" ht="45" customHeight="1">
      <c r="A13" s="1321" t="s">
        <v>1990</v>
      </c>
      <c r="B13" s="1321"/>
      <c r="C13" s="1321" t="s">
        <v>1991</v>
      </c>
      <c r="D13" s="1321"/>
      <c r="E13" s="1321"/>
      <c r="F13" s="1327"/>
      <c r="G13" s="1327"/>
      <c r="H13" s="1327"/>
    </row>
    <row r="14" ht="117" customHeight="1">
      <c r="A14" s="1321" t="s">
        <v>1992</v>
      </c>
      <c r="B14" s="1321"/>
      <c r="C14" s="1321" t="s">
        <v>1993</v>
      </c>
      <c r="D14" s="1321"/>
      <c r="E14" s="1321"/>
      <c r="F14" s="1327"/>
      <c r="G14" s="1327"/>
      <c r="H14" s="1327"/>
    </row>
    <row r="15" ht="117" customHeight="1">
      <c r="A15" s="1321" t="s">
        <v>1994</v>
      </c>
      <c r="B15" s="1321"/>
      <c r="C15" s="1321" t="s">
        <v>1995</v>
      </c>
      <c r="D15" s="1321"/>
      <c r="E15" s="1321"/>
      <c r="F15" s="1327"/>
      <c r="G15" s="1327"/>
      <c r="H15" s="1327"/>
    </row>
    <row r="16" ht="63" customHeight="1">
      <c r="A16" s="1321" t="s">
        <v>1996</v>
      </c>
      <c r="B16" s="1321"/>
      <c r="C16" s="1321" t="s">
        <v>1997</v>
      </c>
      <c r="D16" s="1321"/>
      <c r="E16" s="1321"/>
      <c r="F16" s="1327"/>
      <c r="G16" s="1327"/>
      <c r="H16" s="1327"/>
    </row>
    <row r="17" ht="54" customHeight="1">
      <c r="A17" s="1321" t="s">
        <v>1998</v>
      </c>
      <c r="B17" s="1321"/>
      <c r="C17" s="1325" t="s">
        <v>1999</v>
      </c>
      <c r="D17" s="1321"/>
      <c r="E17" s="1321"/>
      <c r="F17" s="1327"/>
      <c r="G17" s="1327"/>
      <c r="H17" s="1327"/>
    </row>
    <row r="18" ht="27" customHeight="1">
      <c r="A18" s="1321" t="s">
        <v>2000</v>
      </c>
      <c r="B18" s="1321"/>
      <c r="C18" s="1325" t="s">
        <v>2001</v>
      </c>
      <c r="D18" s="1321"/>
      <c r="E18" s="1321"/>
      <c r="F18" s="1327"/>
      <c r="G18" s="1327"/>
      <c r="H18" s="1327"/>
    </row>
    <row r="19" ht="54" customHeight="1">
      <c r="A19" s="1321" t="s">
        <v>2002</v>
      </c>
      <c r="B19" s="1321"/>
      <c r="C19" s="1325" t="s">
        <v>2003</v>
      </c>
      <c r="D19" s="1321"/>
      <c r="E19" s="1321"/>
      <c r="F19" s="1327"/>
      <c r="G19" s="1327"/>
      <c r="H19" s="1327"/>
    </row>
    <row r="20" ht="36" customHeight="1">
      <c r="A20" s="1321" t="s">
        <v>2004</v>
      </c>
      <c r="B20" s="1321"/>
      <c r="C20" s="1325" t="s">
        <v>2005</v>
      </c>
      <c r="D20" s="1321"/>
      <c r="E20" s="1321"/>
      <c r="F20" s="1327"/>
      <c r="G20" s="1327"/>
      <c r="H20" s="1327"/>
    </row>
    <row r="21" ht="36" customHeight="1">
      <c r="A21" s="1321" t="s">
        <v>2006</v>
      </c>
      <c r="B21" s="1321"/>
      <c r="C21" s="1325" t="s">
        <v>2007</v>
      </c>
      <c r="D21" s="1321"/>
      <c r="E21" s="1321"/>
      <c r="F21" s="1327"/>
      <c r="G21" s="1327"/>
      <c r="H21" s="1327"/>
    </row>
    <row r="22" ht="27" customHeight="1">
      <c r="A22" s="1321" t="s">
        <v>2008</v>
      </c>
      <c r="B22" s="1321"/>
      <c r="C22" s="1325" t="s">
        <v>2009</v>
      </c>
      <c r="D22" s="1321"/>
      <c r="E22" s="1321"/>
      <c r="F22" s="1327"/>
      <c r="G22" s="1327"/>
      <c r="H22" s="1327"/>
    </row>
    <row r="23" ht="36" customHeight="1">
      <c r="A23" s="1321" t="s">
        <v>2010</v>
      </c>
      <c r="B23" s="1321"/>
      <c r="C23" s="1325" t="s">
        <v>2011</v>
      </c>
      <c r="D23" s="1321"/>
      <c r="E23" s="1321"/>
      <c r="F23" s="1327"/>
      <c r="G23" s="1327"/>
      <c r="H23" s="1327"/>
    </row>
    <row r="24" ht="28.5" customHeight="1">
      <c r="A24" s="1321" t="s">
        <v>2012</v>
      </c>
      <c r="B24" s="1321"/>
      <c r="C24" s="1325" t="s">
        <v>2013</v>
      </c>
      <c r="D24" s="1321"/>
      <c r="E24" s="1321"/>
      <c r="F24" s="1327"/>
      <c r="G24" s="1327"/>
      <c r="H24" s="1327"/>
    </row>
    <row r="25" ht="36" customHeight="1">
      <c r="A25" s="1321" t="s">
        <v>2014</v>
      </c>
      <c r="B25" s="1321"/>
      <c r="C25" s="1325" t="s">
        <v>2015</v>
      </c>
      <c r="D25" s="1321"/>
      <c r="E25" s="1321"/>
      <c r="F25" s="1327"/>
      <c r="G25" s="1327"/>
      <c r="H25" s="1327"/>
    </row>
    <row r="26" ht="27" customHeight="1">
      <c r="A26" s="1321" t="s">
        <v>2016</v>
      </c>
      <c r="B26" s="1321"/>
      <c r="C26" s="1325" t="s">
        <v>2017</v>
      </c>
      <c r="D26" s="1321"/>
      <c r="E26" s="1321"/>
      <c r="F26" s="1327"/>
      <c r="G26" s="1327"/>
      <c r="H26" s="1327"/>
    </row>
    <row r="27" ht="36" customHeight="1">
      <c r="A27" s="1321" t="s">
        <v>2018</v>
      </c>
      <c r="B27" s="1321"/>
      <c r="C27" s="1325" t="s">
        <v>2019</v>
      </c>
      <c r="D27" s="1321"/>
      <c r="E27" s="1321"/>
      <c r="F27" s="1327"/>
      <c r="G27" s="1327"/>
      <c r="H27" s="1327"/>
    </row>
    <row r="28" ht="28.5" customHeight="1">
      <c r="A28" s="1321" t="s">
        <v>2020</v>
      </c>
      <c r="B28" s="1321"/>
      <c r="C28" s="1325" t="s">
        <v>2021</v>
      </c>
      <c r="D28" s="1321"/>
      <c r="E28" s="1321"/>
      <c r="F28" s="1327"/>
      <c r="G28" s="1327"/>
      <c r="H28" s="1327"/>
    </row>
    <row r="29" ht="126" customHeight="1">
      <c r="A29" s="1321" t="s">
        <v>2022</v>
      </c>
      <c r="B29" s="1321" t="s">
        <v>1594</v>
      </c>
      <c r="C29" s="1325" t="str">
        <f t="shared" ref="C29:C32" si="64">IF(TEMPLATE_SPHERE="HEAT",D29,IF(TEMPLATE_SPHERE="TKO",H29,E29))</f>
        <v xml:space="preserve">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1321" t="s">
        <v>2023</v>
      </c>
      <c r="E29" s="1328"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 xml:space="preserve">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1327"/>
      <c r="G29" s="1327"/>
      <c r="H29" s="1321" t="s">
        <v>2024</v>
      </c>
    </row>
    <row r="30" ht="36" customHeight="1">
      <c r="A30" s="1321" t="s">
        <v>2025</v>
      </c>
      <c r="B30" s="1321"/>
      <c r="C30" s="1325" t="str">
        <f t="shared" si="64"/>
        <v xml:space="preserve">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1321" t="s">
        <v>2026</v>
      </c>
      <c r="E30" s="1328"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 xml:space="preserve">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1327"/>
      <c r="G30" s="1327"/>
      <c r="H30" s="1327"/>
    </row>
    <row r="31" ht="54" customHeight="1">
      <c r="A31" s="1321" t="s">
        <v>2027</v>
      </c>
      <c r="B31" s="1321"/>
      <c r="C31" s="1325" t="str">
        <f t="shared" si="64"/>
        <v xml:space="preserve">Форма 1. Информация об организации, осуществляющей горячее водоснабжение (общая информация)</v>
      </c>
      <c r="D31" s="1321" t="s">
        <v>2028</v>
      </c>
      <c r="E31" s="1328" t="str">
        <f>"Форма 1. Информация об организации, осуществляющей "&amp;TEMPLATE_SPHERE_RUS_2&amp;" (общая информация)"</f>
        <v xml:space="preserve">Форма 1. Информация об организации, осуществляющей горячее водоснабжение (общая информация)</v>
      </c>
      <c r="F31" s="1327"/>
      <c r="G31" s="1327"/>
      <c r="H31" s="1327"/>
    </row>
    <row r="32" ht="198" customHeight="1">
      <c r="A32" s="1321" t="s">
        <v>2029</v>
      </c>
      <c r="B32" s="1321"/>
      <c r="C32" s="1325" t="str">
        <f t="shared" si="64"/>
        <v xml:space="preserve">Форма 7. Информация об инвестиционных программах организации горячего водоснабжения и отчетах об их исполнении</v>
      </c>
      <c r="D32" s="1321" t="s">
        <v>2030</v>
      </c>
      <c r="E32" s="1328" t="str">
        <f>"Форма 7. Информация об инвестиционных программах организации "&amp;TEMPLATE_SPHERE_RUS&amp;" и отчетах об их исполнении"</f>
        <v xml:space="preserve">Форма 7. Информация об инвестиционных программах организации горячего водоснабжения и отчетах об их исполнении</v>
      </c>
      <c r="F32" s="1327"/>
      <c r="G32" s="1327"/>
      <c r="H32" s="1321" t="s">
        <v>2031</v>
      </c>
    </row>
    <row r="33" ht="9" customHeight="1">
      <c r="A33" s="1321"/>
      <c r="B33" s="1321"/>
      <c r="C33" s="1325"/>
      <c r="D33" s="1321"/>
      <c r="E33" s="1321"/>
      <c r="F33" s="1327"/>
      <c r="G33" s="1327"/>
      <c r="H33" s="1327"/>
    </row>
    <row r="34" ht="9" customHeight="1">
      <c r="A34" s="1321"/>
      <c r="B34" s="1321" t="s">
        <v>1530</v>
      </c>
      <c r="C34" s="1325">
        <f>INDEX(TEMPLATE_NAME_FORM_LIST,B34,MATCH(TEMPLATE_SPHERE,TEMPLATE_SPHERE_LIST,0))</f>
        <v>0</v>
      </c>
      <c r="D34" s="1321"/>
      <c r="E34" s="1321"/>
      <c r="F34" s="1327"/>
      <c r="G34" s="1327"/>
      <c r="H34" s="1327"/>
    </row>
  </sheetData>
  <sheetProtection autoFilter="0" deleteColumns="1" deleteRows="1" formatCells="1" formatColumns="1" formatRows="1" insertColumns="1" insertHyperlinks="1" insertRows="1" objects="0" pivotTables="1" scenarios="0" selectLockedCells="0" selectUnlockedCells="0" sheet="1" sort="1"/>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9" customHeight="1"/>
  <cols>
    <col min="1" max="2" style="1319" width="9.140625"/>
    <col customWidth="1" min="3" max="7" style="1329" width="8.00390625"/>
    <col customWidth="1" min="8" max="12" style="1329" width="8.57421875"/>
    <col customWidth="1" min="13" max="14" style="1329" width="27.7109375"/>
    <col customWidth="1" min="15" max="19" style="1329" width="5.140625"/>
    <col customWidth="1" min="20" max="24" style="1329" width="27.7109375"/>
    <col customWidth="1" min="25" max="25" style="1330" width="1.8515625"/>
    <col customWidth="1" min="26" max="26" style="1319" width="27.7109375"/>
    <col customWidth="1" min="27" max="27" style="1331" width="27.7109375"/>
    <col customWidth="1" min="28" max="29" style="1319" width="27.7109375"/>
    <col customWidth="1" min="30" max="30" style="1319" width="3.8515625"/>
    <col min="31" max="34" style="1319" width="9.140625"/>
  </cols>
  <sheetData>
    <row r="1" s="1332" customFormat="1" ht="18" customHeight="1">
      <c r="A1" s="1333"/>
      <c r="B1" s="1333"/>
      <c r="C1" s="1333" t="s">
        <v>2032</v>
      </c>
      <c r="D1" s="1333"/>
      <c r="E1" s="1333"/>
      <c r="F1" s="1333"/>
      <c r="G1" s="1333"/>
      <c r="H1" s="1333" t="s">
        <v>2033</v>
      </c>
      <c r="I1" s="1333"/>
      <c r="J1" s="1333"/>
      <c r="K1" s="1333"/>
      <c r="L1" s="1333"/>
      <c r="M1" s="1333" t="s">
        <v>2034</v>
      </c>
      <c r="N1" s="1333" t="s">
        <v>2035</v>
      </c>
      <c r="O1" s="1333" t="s">
        <v>2036</v>
      </c>
      <c r="P1" s="1333"/>
      <c r="Q1" s="1333"/>
      <c r="R1" s="1333"/>
      <c r="S1" s="1333"/>
      <c r="T1" s="1333" t="s">
        <v>2034</v>
      </c>
      <c r="U1" s="1333"/>
      <c r="V1" s="1333"/>
      <c r="W1" s="1333"/>
      <c r="X1" s="1333"/>
      <c r="Y1" s="1334"/>
      <c r="Z1" s="1333" t="s">
        <v>2037</v>
      </c>
      <c r="AA1" s="1333"/>
      <c r="AB1" s="1333"/>
      <c r="AC1" s="1333"/>
      <c r="AD1" s="1333"/>
    </row>
    <row r="2" ht="18" customHeight="1">
      <c r="A2" s="1321"/>
      <c r="B2" s="1321"/>
      <c r="C2" s="1335" t="s">
        <v>802</v>
      </c>
      <c r="D2" s="1335" t="s">
        <v>848</v>
      </c>
      <c r="E2" s="1335" t="s">
        <v>901</v>
      </c>
      <c r="F2" s="1335" t="s">
        <v>888</v>
      </c>
      <c r="G2" s="1335" t="s">
        <v>1643</v>
      </c>
      <c r="H2" s="1336"/>
      <c r="I2" s="1336"/>
      <c r="J2" s="1336"/>
      <c r="K2" s="1336"/>
      <c r="L2" s="1336"/>
      <c r="M2" s="1336"/>
      <c r="N2" s="1336"/>
      <c r="O2" s="1335" t="s">
        <v>802</v>
      </c>
      <c r="P2" s="1335" t="s">
        <v>848</v>
      </c>
      <c r="Q2" s="1335" t="s">
        <v>888</v>
      </c>
      <c r="R2" s="1335" t="s">
        <v>901</v>
      </c>
      <c r="S2" s="1335" t="s">
        <v>1643</v>
      </c>
      <c r="T2" s="1335" t="s">
        <v>802</v>
      </c>
      <c r="U2" s="1335" t="s">
        <v>848</v>
      </c>
      <c r="V2" s="1335" t="s">
        <v>888</v>
      </c>
      <c r="W2" s="1335" t="s">
        <v>901</v>
      </c>
      <c r="X2" s="1335" t="s">
        <v>1643</v>
      </c>
      <c r="Y2" s="1335"/>
      <c r="Z2" s="1335" t="s">
        <v>802</v>
      </c>
      <c r="AA2" s="1337" t="s">
        <v>848</v>
      </c>
      <c r="AB2" s="1335" t="s">
        <v>888</v>
      </c>
      <c r="AC2" s="1335" t="s">
        <v>901</v>
      </c>
      <c r="AD2" s="1335" t="s">
        <v>1643</v>
      </c>
    </row>
    <row r="3" ht="162" customHeight="1">
      <c r="A3" s="1338" t="s">
        <v>27</v>
      </c>
      <c r="B3" s="1338"/>
      <c r="C3" s="1339" t="s">
        <v>2038</v>
      </c>
      <c r="D3" s="1340"/>
      <c r="E3" s="1340"/>
      <c r="F3" s="1341"/>
      <c r="G3" s="1336"/>
      <c r="H3" s="1336"/>
      <c r="I3" s="1336"/>
      <c r="J3" s="1336"/>
      <c r="K3" s="1336"/>
      <c r="L3" s="1336"/>
      <c r="M3" s="1336"/>
      <c r="N3" s="1342" t="str">
        <f>INDEX(TEMPLATE_ORG_DATA_POINT,1,MATCH(TEMPLATE_SPHERE,TEMPLATE_SPHERE_LIST_FOR_NOTE,0))</f>
        <v xml:space="preserve">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1336"/>
      <c r="P3" s="1336"/>
      <c r="Q3" s="1336"/>
      <c r="R3" s="1336"/>
      <c r="S3" s="1336"/>
      <c r="T3" s="1336"/>
      <c r="U3" s="1336"/>
      <c r="V3" s="1336"/>
      <c r="W3" s="1336"/>
      <c r="X3" s="1336"/>
      <c r="Y3" s="1343"/>
      <c r="Z3" s="1321" t="s">
        <v>2039</v>
      </c>
      <c r="AA3" s="1336" t="s">
        <v>2040</v>
      </c>
      <c r="AB3" s="1321" t="s">
        <v>2041</v>
      </c>
      <c r="AC3" s="1321" t="s">
        <v>2042</v>
      </c>
      <c r="AD3" s="1321"/>
      <c r="AG3" s="1321"/>
      <c r="AH3" s="1321"/>
    </row>
    <row r="4" ht="9" customHeight="1">
      <c r="A4" s="1338"/>
      <c r="B4" s="1338"/>
      <c r="C4" s="1336"/>
      <c r="D4" s="1336"/>
      <c r="E4" s="1336"/>
      <c r="F4" s="1336"/>
      <c r="G4" s="1336"/>
      <c r="H4" s="1336"/>
      <c r="I4" s="1336"/>
      <c r="J4" s="1336"/>
      <c r="K4" s="1336"/>
      <c r="L4" s="1336"/>
      <c r="M4" s="1336"/>
      <c r="N4" s="1336"/>
      <c r="O4" s="1336"/>
      <c r="P4" s="1336"/>
      <c r="Q4" s="1336"/>
      <c r="R4" s="1336"/>
      <c r="S4" s="1336"/>
      <c r="T4" s="1336"/>
      <c r="U4" s="1336"/>
      <c r="V4" s="1336"/>
      <c r="W4" s="1336"/>
      <c r="X4" s="1336"/>
      <c r="Y4" s="1343"/>
      <c r="Z4" s="1321"/>
      <c r="AA4" s="1328"/>
      <c r="AB4" s="1321"/>
      <c r="AC4" s="1321"/>
      <c r="AD4" s="1321"/>
    </row>
    <row r="5" ht="9" customHeight="1">
      <c r="A5" s="1338"/>
      <c r="B5" s="1338"/>
      <c r="C5" s="1336"/>
      <c r="D5" s="1336"/>
      <c r="E5" s="1336"/>
      <c r="F5" s="1336"/>
      <c r="G5" s="1336"/>
      <c r="H5" s="1336"/>
      <c r="I5" s="1336"/>
      <c r="J5" s="1336"/>
      <c r="K5" s="1336"/>
      <c r="L5" s="1336"/>
      <c r="M5" s="1336"/>
      <c r="N5" s="1336"/>
      <c r="O5" s="1336"/>
      <c r="P5" s="1336"/>
      <c r="Q5" s="1336"/>
      <c r="R5" s="1336"/>
      <c r="S5" s="1336"/>
      <c r="T5" s="1336"/>
      <c r="U5" s="1336"/>
      <c r="V5" s="1336"/>
      <c r="W5" s="1336"/>
      <c r="X5" s="1336"/>
      <c r="Y5" s="1343"/>
      <c r="Z5" s="1321"/>
      <c r="AA5" s="1328"/>
      <c r="AB5" s="1321"/>
      <c r="AC5" s="1321"/>
      <c r="AD5" s="1321"/>
    </row>
    <row r="6" ht="9" customHeight="1">
      <c r="A6" s="1338"/>
      <c r="B6" s="1338"/>
      <c r="C6" s="1336"/>
      <c r="D6" s="1336"/>
      <c r="E6" s="1336"/>
      <c r="F6" s="1336"/>
      <c r="G6" s="1336"/>
      <c r="H6" s="1336"/>
      <c r="I6" s="1336"/>
      <c r="J6" s="1336"/>
      <c r="K6" s="1336"/>
      <c r="L6" s="1336"/>
      <c r="M6" s="1336"/>
      <c r="N6" s="1336"/>
      <c r="O6" s="1336"/>
      <c r="P6" s="1336"/>
      <c r="Q6" s="1336"/>
      <c r="R6" s="1336"/>
      <c r="S6" s="1336"/>
      <c r="T6" s="1336"/>
      <c r="U6" s="1336"/>
      <c r="V6" s="1336"/>
      <c r="W6" s="1336"/>
      <c r="X6" s="1336"/>
      <c r="Y6" s="1343"/>
      <c r="Z6" s="1321"/>
      <c r="AA6" s="1328"/>
      <c r="AB6" s="1321"/>
      <c r="AC6" s="1321"/>
      <c r="AD6" s="1321"/>
    </row>
    <row r="7" ht="9" customHeight="1">
      <c r="A7" s="1338"/>
      <c r="B7" s="1338"/>
      <c r="C7" s="1336"/>
      <c r="D7" s="1336"/>
      <c r="E7" s="1336"/>
      <c r="F7" s="1336"/>
      <c r="G7" s="1336"/>
      <c r="H7" s="1336"/>
      <c r="I7" s="1336"/>
      <c r="J7" s="1336"/>
      <c r="K7" s="1336"/>
      <c r="L7" s="1336"/>
      <c r="M7" s="1336"/>
      <c r="N7" s="1336"/>
      <c r="O7" s="1336"/>
      <c r="P7" s="1336"/>
      <c r="Q7" s="1336"/>
      <c r="R7" s="1336"/>
      <c r="S7" s="1336"/>
      <c r="T7" s="1336"/>
      <c r="U7" s="1336"/>
      <c r="V7" s="1336"/>
      <c r="W7" s="1336"/>
      <c r="X7" s="1336"/>
      <c r="Y7" s="1343"/>
      <c r="Z7" s="1321"/>
      <c r="AA7" s="1328"/>
      <c r="AB7" s="1321"/>
      <c r="AC7" s="1321"/>
      <c r="AD7" s="1321"/>
    </row>
    <row r="8" ht="9" customHeight="1">
      <c r="A8" s="1338"/>
      <c r="B8" s="1338"/>
      <c r="C8" s="1336"/>
      <c r="D8" s="1336"/>
      <c r="E8" s="1336"/>
      <c r="F8" s="1336"/>
      <c r="G8" s="1336"/>
      <c r="H8" s="1336"/>
      <c r="I8" s="1336"/>
      <c r="J8" s="1336"/>
      <c r="K8" s="1336"/>
      <c r="L8" s="1336"/>
      <c r="M8" s="1336"/>
      <c r="N8" s="1336"/>
      <c r="O8" s="1336"/>
      <c r="P8" s="1336"/>
      <c r="Q8" s="1336"/>
      <c r="R8" s="1336"/>
      <c r="S8" s="1336"/>
      <c r="T8" s="1336"/>
      <c r="U8" s="1336"/>
      <c r="V8" s="1336"/>
      <c r="W8" s="1336"/>
      <c r="X8" s="1336"/>
      <c r="Y8" s="1343"/>
      <c r="Z8" s="1321"/>
      <c r="AA8" s="1328"/>
      <c r="AB8" s="1321"/>
      <c r="AC8" s="1321"/>
      <c r="AD8" s="1321"/>
    </row>
    <row r="9" ht="9" customHeight="1">
      <c r="A9" s="1338"/>
      <c r="B9" s="1338"/>
      <c r="C9" s="1336"/>
      <c r="D9" s="1336"/>
      <c r="E9" s="1336"/>
      <c r="F9" s="1336"/>
      <c r="G9" s="1336"/>
      <c r="H9" s="1336"/>
      <c r="I9" s="1336"/>
      <c r="J9" s="1336"/>
      <c r="K9" s="1336"/>
      <c r="L9" s="1336"/>
      <c r="M9" s="1336"/>
      <c r="N9" s="1336"/>
      <c r="O9" s="1336"/>
      <c r="P9" s="1336"/>
      <c r="Q9" s="1336"/>
      <c r="R9" s="1336"/>
      <c r="S9" s="1336"/>
      <c r="T9" s="1336"/>
      <c r="U9" s="1336"/>
      <c r="V9" s="1336"/>
      <c r="W9" s="1336"/>
      <c r="X9" s="1336"/>
      <c r="Y9" s="1343"/>
      <c r="Z9" s="1321"/>
      <c r="AA9" s="1328"/>
      <c r="AB9" s="1321"/>
      <c r="AC9" s="1321"/>
      <c r="AD9" s="1321"/>
    </row>
    <row r="10" ht="9" customHeight="1">
      <c r="A10" s="1344"/>
      <c r="B10" s="1344"/>
      <c r="C10" s="1344"/>
      <c r="D10" s="1344"/>
      <c r="E10" s="1344"/>
      <c r="F10" s="1344"/>
      <c r="G10" s="1344"/>
      <c r="H10" s="1344"/>
      <c r="I10" s="1344"/>
      <c r="J10" s="1344"/>
      <c r="K10" s="1344"/>
      <c r="L10" s="1344"/>
      <c r="M10" s="1344"/>
      <c r="N10" s="1344"/>
      <c r="O10" s="1344"/>
      <c r="P10" s="1344"/>
      <c r="Q10" s="1344"/>
      <c r="R10" s="1344"/>
      <c r="S10" s="1344"/>
      <c r="T10" s="1344"/>
      <c r="U10" s="1344"/>
      <c r="V10" s="1344"/>
      <c r="W10" s="1344"/>
      <c r="X10" s="1344"/>
      <c r="Y10" s="1344"/>
      <c r="Z10" s="1344"/>
      <c r="AA10" s="1344"/>
      <c r="AB10" s="1344"/>
      <c r="AC10" s="1344"/>
      <c r="AD10" s="1344"/>
    </row>
    <row r="11" ht="45" customHeight="1">
      <c r="A11" s="1344" t="s">
        <v>33</v>
      </c>
      <c r="B11" s="1344">
        <v>1</v>
      </c>
      <c r="C11" s="1345" t="s">
        <v>1581</v>
      </c>
      <c r="D11" s="1345" t="s">
        <v>1577</v>
      </c>
      <c r="E11" s="1345" t="s">
        <v>1675</v>
      </c>
      <c r="F11" s="1345" t="s">
        <v>2043</v>
      </c>
      <c r="G11" s="1345"/>
      <c r="H11" s="1333" t="s">
        <v>2044</v>
      </c>
      <c r="I11" s="1333"/>
      <c r="J11" s="1333"/>
      <c r="K11" s="1333"/>
      <c r="L11" s="1333"/>
      <c r="M11" s="1342" t="str">
        <f t="shared" ref="M11:M15" si="65">IF(TEMPLATE_SPHERE="HEAT",T11,U11)</f>
        <v xml:space="preserve">Количество поданных заявлений </v>
      </c>
      <c r="N11" s="1342" t="str">
        <f t="shared" ref="N11:N16" si="66">IF(TEMPLATE_SPHERE="HEAT",Z11,AA11)</f>
        <v xml:space="preserve">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1336"/>
      <c r="P11" s="1336"/>
      <c r="Q11" s="1336"/>
      <c r="R11" s="1336"/>
      <c r="S11" s="1336"/>
      <c r="T11" s="1336" t="s">
        <v>2045</v>
      </c>
      <c r="U11" s="1336" t="s">
        <v>2046</v>
      </c>
      <c r="V11" s="1336"/>
      <c r="W11" s="1336"/>
      <c r="X11" s="1336"/>
      <c r="Y11" s="1343"/>
      <c r="Z11" s="1321" t="s">
        <v>2047</v>
      </c>
      <c r="AA11" s="1328"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 xml:space="preserve">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1321"/>
      <c r="AC11" s="1321"/>
      <c r="AD11" s="1321"/>
    </row>
    <row r="12" ht="45" customHeight="1">
      <c r="A12" s="1344"/>
      <c r="B12" s="1344">
        <v>2</v>
      </c>
      <c r="C12" s="1346"/>
      <c r="D12" s="1346"/>
      <c r="E12" s="1346"/>
      <c r="F12" s="1346"/>
      <c r="G12" s="1346"/>
      <c r="H12" s="1333" t="s">
        <v>2048</v>
      </c>
      <c r="I12" s="1333"/>
      <c r="J12" s="1333"/>
      <c r="K12" s="1333"/>
      <c r="L12" s="1333"/>
      <c r="M12" s="1342" t="str">
        <f t="shared" si="65"/>
        <v xml:space="preserve">Количество исполненных заявлений </v>
      </c>
      <c r="N12" s="1342" t="str">
        <f t="shared" si="66"/>
        <v xml:space="preserve">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1336"/>
      <c r="P12" s="1336"/>
      <c r="Q12" s="1336"/>
      <c r="R12" s="1336"/>
      <c r="S12" s="1336"/>
      <c r="T12" s="1336" t="s">
        <v>2049</v>
      </c>
      <c r="U12" s="1336" t="s">
        <v>2050</v>
      </c>
      <c r="V12" s="1336"/>
      <c r="W12" s="1336"/>
      <c r="X12" s="1336"/>
      <c r="Y12" s="1343"/>
      <c r="Z12" s="1321" t="s">
        <v>2051</v>
      </c>
      <c r="AA12" s="1328"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 xml:space="preserve">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1321"/>
      <c r="AC12" s="1321"/>
      <c r="AD12" s="1321"/>
    </row>
    <row r="13" ht="72" customHeight="1">
      <c r="A13" s="1344"/>
      <c r="B13" s="1344">
        <v>3</v>
      </c>
      <c r="C13" s="1346"/>
      <c r="D13" s="1346"/>
      <c r="E13" s="1346"/>
      <c r="F13" s="1346"/>
      <c r="G13" s="1346"/>
      <c r="H13" s="1333" t="s">
        <v>2052</v>
      </c>
      <c r="I13" s="1333"/>
      <c r="J13" s="1333"/>
      <c r="K13" s="1333"/>
      <c r="L13" s="1333"/>
      <c r="M13" s="1342" t="str">
        <f t="shared" si="65"/>
        <v xml:space="preserve">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1342" t="str">
        <f t="shared" si="66"/>
        <v xml:space="preserve">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1336"/>
      <c r="P13" s="1342"/>
      <c r="Q13" s="1342"/>
      <c r="R13" s="1342"/>
      <c r="S13" s="1336"/>
      <c r="T13" s="1336" t="s">
        <v>2053</v>
      </c>
      <c r="U13" s="1342" t="s">
        <v>2054</v>
      </c>
      <c r="V13" s="1342"/>
      <c r="W13" s="1342"/>
      <c r="X13" s="1336"/>
      <c r="Y13" s="1343"/>
      <c r="Z13" s="1321" t="s">
        <v>2055</v>
      </c>
      <c r="AA13" s="1328"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 xml:space="preserve">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1321"/>
      <c r="AC13" s="1321"/>
      <c r="AD13" s="1321"/>
    </row>
    <row r="14" ht="45" customHeight="1">
      <c r="A14" s="1344"/>
      <c r="B14" s="1344">
        <v>4</v>
      </c>
      <c r="C14" s="1346"/>
      <c r="D14" s="1346"/>
      <c r="E14" s="1346"/>
      <c r="F14" s="1346"/>
      <c r="G14" s="1346"/>
      <c r="H14" s="1333"/>
      <c r="I14" s="1345"/>
      <c r="J14" s="1345"/>
      <c r="K14" s="1345"/>
      <c r="L14" s="1345"/>
      <c r="M14" s="1347" t="str">
        <f t="shared" si="65"/>
        <v xml:space="preserve">Причины отказа в заключении договора о подключении (технологическом присоединении) к централизованной системе горячего водоснабжения</v>
      </c>
      <c r="N14" s="1342" t="str">
        <f t="shared" si="66"/>
        <v xml:space="preserve">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1336"/>
      <c r="P14" s="1342"/>
      <c r="Q14" s="1342"/>
      <c r="R14" s="1342"/>
      <c r="S14" s="1336"/>
      <c r="T14" s="1336" t="s">
        <v>2056</v>
      </c>
      <c r="U14" s="1342" t="str">
        <f>"Причины отказа в заключении договора о подключении (технологическом присоединении) к централизованной системе "&amp;TEMPLATE_SPHERE_RUS</f>
        <v xml:space="preserve">Причины отказа в заключении договора о подключении (технологическом присоединении) к централизованной системе горячего водоснабжения</v>
      </c>
      <c r="V14" s="1342"/>
      <c r="W14" s="1342"/>
      <c r="X14" s="1336"/>
      <c r="Y14" s="1343"/>
      <c r="Z14" s="1321" t="s">
        <v>2057</v>
      </c>
      <c r="AA14" s="1328" t="s">
        <v>2057</v>
      </c>
      <c r="AB14" s="1321"/>
      <c r="AC14" s="1321"/>
      <c r="AD14" s="1321"/>
    </row>
    <row r="15" ht="108" customHeight="1">
      <c r="A15" s="1344"/>
      <c r="B15" s="1344">
        <v>5</v>
      </c>
      <c r="C15" s="1346"/>
      <c r="D15" s="1346"/>
      <c r="E15" s="1346"/>
      <c r="F15" s="1346"/>
      <c r="G15" s="1346"/>
      <c r="H15" s="1348" t="s">
        <v>2058</v>
      </c>
      <c r="I15" s="1348"/>
      <c r="J15" s="1348"/>
      <c r="K15" s="1348"/>
      <c r="L15" s="1348"/>
      <c r="M15" s="1328" t="str">
        <f t="shared" si="65"/>
        <v xml:space="preserve">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1349" t="str">
        <f t="shared" si="66"/>
        <v xml:space="preserve">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1336"/>
      <c r="P15" s="1342"/>
      <c r="Q15" s="1342"/>
      <c r="R15" s="1342"/>
      <c r="S15" s="1336"/>
      <c r="T15" s="1336" t="s">
        <v>2059</v>
      </c>
      <c r="U15" s="1342"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 xml:space="preserve">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1342"/>
      <c r="W15" s="1342"/>
      <c r="X15" s="1336"/>
      <c r="Y15" s="1343"/>
      <c r="Z15" s="1321" t="s">
        <v>2060</v>
      </c>
      <c r="AA15" s="1328"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 xml:space="preserve">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1321"/>
      <c r="AC15" s="1321"/>
      <c r="AD15" s="1321"/>
    </row>
    <row r="16" ht="108" customHeight="1">
      <c r="A16" s="1344"/>
      <c r="B16" s="1344">
        <v>6</v>
      </c>
      <c r="C16" s="1350"/>
      <c r="D16" s="1350"/>
      <c r="E16" s="1350"/>
      <c r="F16" s="1350"/>
      <c r="G16" s="1350"/>
      <c r="H16" s="1351"/>
      <c r="I16" s="1352"/>
      <c r="J16" s="1352"/>
      <c r="K16" s="1352"/>
      <c r="L16" s="1352"/>
      <c r="M16" s="1353"/>
      <c r="N16" s="1349" t="str">
        <f t="shared" si="66"/>
        <v xml:space="preserve">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1336"/>
      <c r="P16" s="1342"/>
      <c r="Q16" s="1342"/>
      <c r="R16" s="1342"/>
      <c r="S16" s="1336"/>
      <c r="T16" s="1336"/>
      <c r="U16" s="1342"/>
      <c r="V16" s="1342"/>
      <c r="W16" s="1342"/>
      <c r="X16" s="1336"/>
      <c r="Y16" s="1343"/>
      <c r="Z16" s="1321" t="s">
        <v>2060</v>
      </c>
      <c r="AA16" s="1328"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 xml:space="preserve">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1321"/>
      <c r="AC16" s="1321"/>
      <c r="AD16" s="1321"/>
    </row>
    <row r="17" ht="9" customHeight="1">
      <c r="A17" s="1344"/>
      <c r="B17" s="1344"/>
      <c r="C17" s="1344">
        <v>22</v>
      </c>
      <c r="D17" s="1344">
        <v>21</v>
      </c>
      <c r="E17" s="1344">
        <v>42</v>
      </c>
      <c r="F17" s="1344">
        <v>63</v>
      </c>
      <c r="G17" s="1344"/>
      <c r="H17" s="1344"/>
      <c r="I17" s="1344"/>
      <c r="J17" s="1344"/>
      <c r="K17" s="1344"/>
      <c r="L17" s="1344"/>
      <c r="M17" s="1344"/>
      <c r="N17" s="1344"/>
      <c r="O17" s="1344"/>
      <c r="P17" s="1344"/>
      <c r="Q17" s="1344"/>
      <c r="R17" s="1344"/>
      <c r="S17" s="1344"/>
      <c r="T17" s="1344"/>
      <c r="U17" s="1344"/>
      <c r="V17" s="1344"/>
      <c r="W17" s="1344"/>
      <c r="X17" s="1344"/>
      <c r="Y17" s="1344"/>
      <c r="Z17" s="1344"/>
      <c r="AA17" s="1344"/>
      <c r="AB17" s="1344"/>
      <c r="AC17" s="1344"/>
      <c r="AD17" s="1344"/>
    </row>
    <row r="18" ht="27" customHeight="1">
      <c r="A18" s="1338" t="s">
        <v>1678</v>
      </c>
      <c r="B18" s="1344">
        <v>1</v>
      </c>
      <c r="C18" s="1336" t="s">
        <v>2044</v>
      </c>
      <c r="D18" s="1354" t="s">
        <v>2044</v>
      </c>
      <c r="E18" s="1336" t="s">
        <v>2044</v>
      </c>
      <c r="F18" s="1336" t="s">
        <v>2044</v>
      </c>
      <c r="G18" s="1336"/>
      <c r="H18" s="1355"/>
      <c r="I18" s="1356">
        <f t="shared" ref="I18:I81" si="67">INDEX(TEMPLATE_NUMBER_POINT_FHD,B18,MATCH(TEMPLATE_SPHERE,TEMPLATE_SPHERE_LIST_FOR_NOTE,0))</f>
        <v>1</v>
      </c>
      <c r="J18" s="1356" t="str">
        <f t="shared" ref="J18:J81" si="68">INDEX(TEMPLATE_DATA_POINT_FHD,B18,MATCH(TEMPLATE_SPHERE,TEMPLATE_SPHERE_LIST_FOR_NOTE,0))</f>
        <v xml:space="preserve">Выручка от регулируемых видов деятельности в сфере горячего водоснабжения</v>
      </c>
      <c r="K18" s="1356" t="str">
        <f t="shared" ref="K18:K81" si="69">INDEX(TEMPLATE_NOTE_POINT_FHD,B18,MATCH(TEMPLATE_SPHERE,TEMPLATE_SPHERE_LIST_FOR_NOTE,0))</f>
        <v xml:space="preserve">Указывается выручка с распределением по видам деятельности.</v>
      </c>
      <c r="L18" s="1342">
        <f t="shared" ref="L18:L81" si="70">IF(I18=0,"",I18)</f>
        <v>1</v>
      </c>
      <c r="M18" s="1342" t="str">
        <f t="shared" ref="M18:M81" si="71">IF(J18=0,"",J18)</f>
        <v xml:space="preserve">Выручка от регулируемых видов деятельности в сфере горячего водоснабжения</v>
      </c>
      <c r="N18" s="1342" t="str">
        <f t="shared" ref="N18:N81" si="72">IF(K18=0,"",K18)</f>
        <v xml:space="preserve">Указывается выручка с распределением по видам деятельности.</v>
      </c>
      <c r="O18" s="1357">
        <v>1</v>
      </c>
      <c r="P18" s="1357">
        <v>1</v>
      </c>
      <c r="Q18" s="1357">
        <v>1</v>
      </c>
      <c r="R18" s="1357">
        <v>1</v>
      </c>
      <c r="S18" s="1357"/>
      <c r="T18" s="1358" t="s">
        <v>2061</v>
      </c>
      <c r="U18" s="1321" t="s">
        <v>2062</v>
      </c>
      <c r="V18" s="1321" t="s">
        <v>2063</v>
      </c>
      <c r="W18" s="1321" t="s">
        <v>2064</v>
      </c>
      <c r="X18" s="1336"/>
      <c r="Y18" s="1343"/>
      <c r="Z18" s="1321" t="s">
        <v>2065</v>
      </c>
      <c r="AA18" s="1328" t="s">
        <v>2066</v>
      </c>
      <c r="AB18" s="1328" t="s">
        <v>2066</v>
      </c>
      <c r="AC18" s="1328" t="s">
        <v>2066</v>
      </c>
      <c r="AD18" s="1321"/>
    </row>
    <row r="19" ht="36" customHeight="1">
      <c r="A19" s="1338"/>
      <c r="B19" s="1344">
        <v>2</v>
      </c>
      <c r="C19" s="1336" t="s">
        <v>2048</v>
      </c>
      <c r="D19" s="1354" t="s">
        <v>2048</v>
      </c>
      <c r="E19" s="1336" t="s">
        <v>2048</v>
      </c>
      <c r="F19" s="1336" t="s">
        <v>2048</v>
      </c>
      <c r="G19" s="1336"/>
      <c r="H19" s="1355"/>
      <c r="I19" s="1356">
        <f t="shared" si="67"/>
        <v>2</v>
      </c>
      <c r="J19" s="1356" t="str">
        <f t="shared" si="68"/>
        <v xml:space="preserve">Себестоимость производимых товаров (оказываемых услуг) по регулируемым видам деятельности в сфере горячего водоснабжения, включая:</v>
      </c>
      <c r="K19" s="1356" t="str">
        <f t="shared" si="69"/>
        <v xml:space="preserve">Указывается суммарная себестоимость производимых товаров.</v>
      </c>
      <c r="L19" s="1342">
        <f t="shared" si="70"/>
        <v>2</v>
      </c>
      <c r="M19" s="1342" t="str">
        <f t="shared" si="71"/>
        <v xml:space="preserve">Себестоимость производимых товаров (оказываемых услуг) по регулируемым видам деятельности в сфере горячего водоснабжения, включая:</v>
      </c>
      <c r="N19" s="1342" t="str">
        <f t="shared" si="72"/>
        <v xml:space="preserve">Указывается суммарная себестоимость производимых товаров.</v>
      </c>
      <c r="O19" s="1357">
        <v>2</v>
      </c>
      <c r="P19" s="1357">
        <v>2</v>
      </c>
      <c r="Q19" s="1357">
        <v>2</v>
      </c>
      <c r="R19" s="1357">
        <v>2</v>
      </c>
      <c r="S19" s="1357"/>
      <c r="T19" s="1358" t="s">
        <v>2067</v>
      </c>
      <c r="U19" s="1321" t="s">
        <v>2068</v>
      </c>
      <c r="V19" s="1321" t="s">
        <v>2069</v>
      </c>
      <c r="W19" s="1321" t="s">
        <v>2070</v>
      </c>
      <c r="X19" s="1336"/>
      <c r="Y19" s="1343"/>
      <c r="Z19" s="1321" t="s">
        <v>2071</v>
      </c>
      <c r="AA19" s="1328" t="s">
        <v>2071</v>
      </c>
      <c r="AB19" s="1328" t="s">
        <v>2071</v>
      </c>
      <c r="AC19" s="1328" t="s">
        <v>2071</v>
      </c>
      <c r="AD19" s="1321"/>
    </row>
    <row r="20" ht="27" customHeight="1">
      <c r="A20" s="1338"/>
      <c r="B20" s="1344">
        <v>3</v>
      </c>
      <c r="C20" s="1336">
        <v>1</v>
      </c>
      <c r="D20" s="1354"/>
      <c r="E20" s="1336"/>
      <c r="F20" s="1336"/>
      <c r="G20" s="1336"/>
      <c r="H20" s="1355"/>
      <c r="I20" s="1356" t="str">
        <f t="shared" si="67"/>
        <v>2.1</v>
      </c>
      <c r="J20" s="1356" t="str">
        <f t="shared" si="68"/>
        <v xml:space="preserve">Расходы на приобретаемую тепловую энергию (мощность), используемую для горячего водоснабжения</v>
      </c>
      <c r="K20" s="1356">
        <f t="shared" si="69"/>
        <v>0</v>
      </c>
      <c r="L20" s="1342" t="str">
        <f t="shared" si="70"/>
        <v>2.1</v>
      </c>
      <c r="M20" s="1342" t="str">
        <f t="shared" si="71"/>
        <v xml:space="preserve">Расходы на приобретаемую тепловую энергию (мощность), используемую для горячего водоснабжения</v>
      </c>
      <c r="N20" s="1342" t="str">
        <f t="shared" si="72"/>
        <v/>
      </c>
      <c r="O20" s="1357" t="s">
        <v>703</v>
      </c>
      <c r="P20" s="1357" t="s">
        <v>703</v>
      </c>
      <c r="Q20" s="1357" t="s">
        <v>703</v>
      </c>
      <c r="R20" s="1357" t="s">
        <v>703</v>
      </c>
      <c r="S20" s="1357"/>
      <c r="T20" s="1358" t="s">
        <v>2072</v>
      </c>
      <c r="U20" s="1321" t="s">
        <v>2073</v>
      </c>
      <c r="V20" s="1321" t="s">
        <v>2074</v>
      </c>
      <c r="W20" s="1321" t="s">
        <v>2075</v>
      </c>
      <c r="X20" s="1336"/>
      <c r="Y20" s="1343"/>
      <c r="Z20" s="1321"/>
      <c r="AA20" s="1328"/>
      <c r="AB20" s="1321"/>
      <c r="AC20" s="1321"/>
      <c r="AD20" s="1321"/>
    </row>
    <row r="21" ht="36" customHeight="1">
      <c r="A21" s="1338"/>
      <c r="B21" s="1344">
        <v>4</v>
      </c>
      <c r="C21" s="1336">
        <v>2</v>
      </c>
      <c r="D21" s="1354"/>
      <c r="E21" s="1336"/>
      <c r="F21" s="1336"/>
      <c r="G21" s="1336"/>
      <c r="H21" s="1355"/>
      <c r="I21" s="1356">
        <f t="shared" si="67"/>
        <v>0</v>
      </c>
      <c r="J21" s="1356">
        <f t="shared" si="68"/>
        <v>0</v>
      </c>
      <c r="K21" s="1356">
        <f t="shared" si="69"/>
        <v>0</v>
      </c>
      <c r="L21" s="1342" t="str">
        <f t="shared" si="70"/>
        <v/>
      </c>
      <c r="M21" s="1342" t="str">
        <f t="shared" si="71"/>
        <v/>
      </c>
      <c r="N21" s="1342" t="str">
        <f t="shared" si="72"/>
        <v/>
      </c>
      <c r="O21" s="1357" t="s">
        <v>301</v>
      </c>
      <c r="P21" s="1357"/>
      <c r="Q21" s="1357"/>
      <c r="R21" s="1357"/>
      <c r="S21" s="1357"/>
      <c r="T21" s="1358" t="s">
        <v>2076</v>
      </c>
      <c r="U21" s="1321"/>
      <c r="V21" s="1321"/>
      <c r="W21" s="1321"/>
      <c r="X21" s="1336"/>
      <c r="Y21" s="1343"/>
      <c r="Z21" s="1321" t="s">
        <v>2077</v>
      </c>
      <c r="AA21" s="1328"/>
      <c r="AB21" s="1321"/>
      <c r="AC21" s="1321"/>
      <c r="AD21" s="1321"/>
    </row>
    <row r="22" ht="36" customHeight="1">
      <c r="A22" s="1338"/>
      <c r="B22" s="1344">
        <v>5</v>
      </c>
      <c r="C22" s="1336">
        <v>3</v>
      </c>
      <c r="D22" s="1354"/>
      <c r="E22" s="1336"/>
      <c r="F22" s="1336"/>
      <c r="G22" s="1359"/>
      <c r="H22" s="1360"/>
      <c r="I22" s="1356" t="str">
        <f t="shared" si="67"/>
        <v>2.2</v>
      </c>
      <c r="J22" s="1356" t="str">
        <f t="shared" si="68"/>
        <v xml:space="preserve">Расходы на тепловую энергию, производимую с применением собственных источников и используемую для горячего водоснабжения</v>
      </c>
      <c r="K22" s="1356">
        <f t="shared" si="69"/>
        <v>0</v>
      </c>
      <c r="L22" s="1342" t="str">
        <f t="shared" si="70"/>
        <v>2.2</v>
      </c>
      <c r="M22" s="1342" t="str">
        <f t="shared" si="71"/>
        <v xml:space="preserve">Расходы на тепловую энергию, производимую с применением собственных источников и используемую для горячего водоснабжения</v>
      </c>
      <c r="N22" s="1342" t="str">
        <f t="shared" si="72"/>
        <v/>
      </c>
      <c r="O22" s="1357"/>
      <c r="P22" s="1357"/>
      <c r="Q22" s="1357" t="s">
        <v>301</v>
      </c>
      <c r="R22" s="1357"/>
      <c r="S22" s="1357"/>
      <c r="T22" s="1358"/>
      <c r="U22" s="1321"/>
      <c r="V22" s="1321" t="s">
        <v>2078</v>
      </c>
      <c r="W22" s="1321"/>
      <c r="X22" s="1336"/>
      <c r="Y22" s="1343"/>
      <c r="Z22" s="1321"/>
      <c r="AA22" s="1328"/>
      <c r="AB22" s="1321"/>
      <c r="AC22" s="1321"/>
      <c r="AD22" s="1321"/>
    </row>
    <row r="23" ht="27" customHeight="1">
      <c r="A23" s="1338"/>
      <c r="B23" s="1344">
        <v>6</v>
      </c>
      <c r="C23" s="1336">
        <v>4</v>
      </c>
      <c r="D23" s="1354"/>
      <c r="E23" s="1336"/>
      <c r="F23" s="1336"/>
      <c r="G23" s="1359"/>
      <c r="H23" s="1360"/>
      <c r="I23" s="1356" t="str">
        <f t="shared" si="67"/>
        <v>2.3</v>
      </c>
      <c r="J23" s="1356" t="str">
        <f t="shared" si="68"/>
        <v xml:space="preserve">Расходы на приобретаемую холодную воду, используемую для горячего водоснабжения</v>
      </c>
      <c r="K23" s="1356">
        <f t="shared" si="69"/>
        <v>0</v>
      </c>
      <c r="L23" s="1342" t="str">
        <f t="shared" si="70"/>
        <v>2.3</v>
      </c>
      <c r="M23" s="1342" t="str">
        <f t="shared" si="71"/>
        <v xml:space="preserve">Расходы на приобретаемую холодную воду, используемую для горячего водоснабжения</v>
      </c>
      <c r="N23" s="1342" t="str">
        <f t="shared" si="72"/>
        <v/>
      </c>
      <c r="O23" s="1357"/>
      <c r="P23" s="1357"/>
      <c r="Q23" s="1357" t="s">
        <v>304</v>
      </c>
      <c r="R23" s="1357"/>
      <c r="S23" s="1357"/>
      <c r="T23" s="1358"/>
      <c r="U23" s="1321"/>
      <c r="V23" s="1321" t="s">
        <v>2079</v>
      </c>
      <c r="W23" s="1321"/>
      <c r="X23" s="1336"/>
      <c r="Y23" s="1343"/>
      <c r="Z23" s="1321"/>
      <c r="AA23" s="1328"/>
      <c r="AB23" s="1321"/>
      <c r="AC23" s="1321"/>
      <c r="AD23" s="1321"/>
    </row>
    <row r="24" ht="36" customHeight="1">
      <c r="A24" s="1338"/>
      <c r="B24" s="1344">
        <v>7</v>
      </c>
      <c r="C24" s="1336">
        <v>5</v>
      </c>
      <c r="D24" s="1354"/>
      <c r="E24" s="1336"/>
      <c r="F24" s="1336"/>
      <c r="G24" s="1359"/>
      <c r="H24" s="1360"/>
      <c r="I24" s="1356" t="str">
        <f t="shared" si="67"/>
        <v>2.4</v>
      </c>
      <c r="J24" s="1356" t="str">
        <f t="shared" si="68"/>
        <v xml:space="preserve">Расходы на холодную воду, получаемую с применением собственных источников водозабора (скважин) и используемую для горячего водоснабжения</v>
      </c>
      <c r="K24" s="1356">
        <f t="shared" si="69"/>
        <v>0</v>
      </c>
      <c r="L24" s="1342" t="str">
        <f t="shared" si="70"/>
        <v>2.4</v>
      </c>
      <c r="M24" s="1342" t="str">
        <f t="shared" si="71"/>
        <v xml:space="preserve">Расходы на холодную воду, получаемую с применением собственных источников водозабора (скважин) и используемую для горячего водоснабжения</v>
      </c>
      <c r="N24" s="1342" t="str">
        <f t="shared" si="72"/>
        <v/>
      </c>
      <c r="O24" s="1357"/>
      <c r="P24" s="1357"/>
      <c r="Q24" s="1357" t="s">
        <v>723</v>
      </c>
      <c r="R24" s="1357"/>
      <c r="S24" s="1357"/>
      <c r="T24" s="1358"/>
      <c r="U24" s="1321"/>
      <c r="V24" s="1321" t="s">
        <v>2080</v>
      </c>
      <c r="W24" s="1321"/>
      <c r="X24" s="1336"/>
      <c r="Y24" s="1343"/>
      <c r="Z24" s="1321"/>
      <c r="AA24" s="1328"/>
      <c r="AB24" s="1321"/>
      <c r="AC24" s="1321"/>
      <c r="AD24" s="1321"/>
    </row>
    <row r="25" ht="36" customHeight="1">
      <c r="A25" s="1338"/>
      <c r="B25" s="1344">
        <v>8</v>
      </c>
      <c r="C25" s="1336">
        <v>6</v>
      </c>
      <c r="D25" s="1354"/>
      <c r="E25" s="1336"/>
      <c r="F25" s="1336"/>
      <c r="G25" s="1359"/>
      <c r="H25" s="1360"/>
      <c r="I25" s="1356" t="str">
        <f t="shared" si="67"/>
        <v>2.5</v>
      </c>
      <c r="J25" s="1356" t="str">
        <f t="shared" si="68"/>
        <v xml:space="preserve">Расходы на приобретаемую электрическую энергию (мощность), используемую в технологическом процессе</v>
      </c>
      <c r="K25" s="1356">
        <f t="shared" si="69"/>
        <v>0</v>
      </c>
      <c r="L25" s="1342" t="str">
        <f t="shared" si="70"/>
        <v>2.5</v>
      </c>
      <c r="M25" s="1342" t="str">
        <f t="shared" si="71"/>
        <v xml:space="preserve">Расходы на приобретаемую электрическую энергию (мощность), используемую в технологическом процессе</v>
      </c>
      <c r="N25" s="1342" t="str">
        <f t="shared" si="72"/>
        <v/>
      </c>
      <c r="O25" s="1357" t="s">
        <v>304</v>
      </c>
      <c r="P25" s="1357" t="s">
        <v>301</v>
      </c>
      <c r="Q25" s="1357" t="s">
        <v>730</v>
      </c>
      <c r="R25" s="1357" t="s">
        <v>301</v>
      </c>
      <c r="S25" s="1357"/>
      <c r="T25" s="1358" t="s">
        <v>2081</v>
      </c>
      <c r="U25" s="1321" t="s">
        <v>2081</v>
      </c>
      <c r="V25" s="1321" t="s">
        <v>2081</v>
      </c>
      <c r="W25" s="1321" t="s">
        <v>2081</v>
      </c>
      <c r="X25" s="1336"/>
      <c r="Y25" s="1343"/>
      <c r="Z25" s="1321"/>
      <c r="AA25" s="1328"/>
      <c r="AB25" s="1321"/>
      <c r="AC25" s="1321"/>
      <c r="AD25" s="1321"/>
    </row>
    <row r="26" ht="18" customHeight="1">
      <c r="A26" s="1338"/>
      <c r="B26" s="1344">
        <v>9</v>
      </c>
      <c r="C26" s="1336" t="s">
        <v>646</v>
      </c>
      <c r="D26" s="1354"/>
      <c r="E26" s="1336"/>
      <c r="F26" s="1336"/>
      <c r="G26" s="1359"/>
      <c r="H26" s="1360"/>
      <c r="I26" s="1356" t="str">
        <f t="shared" si="67"/>
        <v>2.5.1</v>
      </c>
      <c r="J26" s="1356" t="str">
        <f t="shared" si="68"/>
        <v xml:space="preserve">Средневзвешенная стоимость 1 кВт.ч (с учетом мощности)</v>
      </c>
      <c r="K26" s="1356">
        <f t="shared" si="69"/>
        <v>0</v>
      </c>
      <c r="L26" s="1342" t="str">
        <f t="shared" si="70"/>
        <v>2.5.1</v>
      </c>
      <c r="M26" s="1342" t="str">
        <f t="shared" si="71"/>
        <v xml:space="preserve">Средневзвешенная стоимость 1 кВт.ч (с учетом мощности)</v>
      </c>
      <c r="N26" s="1342" t="str">
        <f t="shared" si="72"/>
        <v/>
      </c>
      <c r="O26" s="1357" t="s">
        <v>719</v>
      </c>
      <c r="P26" s="1357" t="s">
        <v>713</v>
      </c>
      <c r="Q26" s="1357" t="s">
        <v>2082</v>
      </c>
      <c r="R26" s="1357" t="s">
        <v>713</v>
      </c>
      <c r="S26" s="1357"/>
      <c r="T26" s="1358" t="str">
        <f>"Средневзвешенная стоимость 1 кВт.ч"&amp;IF(TITLE_TYPE_ORG="Регулируемая организация"," (с учетом мощности)","")</f>
        <v xml:space="preserve">Средневзвешенная стоимость 1 кВт.ч</v>
      </c>
      <c r="U26" s="1358" t="s">
        <v>2083</v>
      </c>
      <c r="V26" s="1358" t="s">
        <v>2083</v>
      </c>
      <c r="W26" s="1358" t="s">
        <v>2083</v>
      </c>
      <c r="X26" s="1336"/>
      <c r="Y26" s="1343"/>
      <c r="Z26" s="1321"/>
      <c r="AA26" s="1328"/>
      <c r="AB26" s="1321"/>
      <c r="AC26" s="1321"/>
      <c r="AD26" s="1321"/>
    </row>
    <row r="27" ht="18" customHeight="1">
      <c r="A27" s="1338"/>
      <c r="B27" s="1344">
        <v>10</v>
      </c>
      <c r="C27" s="1336" t="s">
        <v>650</v>
      </c>
      <c r="D27" s="1354"/>
      <c r="E27" s="1336"/>
      <c r="F27" s="1336"/>
      <c r="G27" s="1359"/>
      <c r="H27" s="1360"/>
      <c r="I27" s="1356" t="str">
        <f t="shared" si="67"/>
        <v>2.5.2</v>
      </c>
      <c r="J27" s="1356" t="str">
        <f t="shared" si="68"/>
        <v xml:space="preserve">Объём приобретения электрической энергии</v>
      </c>
      <c r="K27" s="1356">
        <f t="shared" si="69"/>
        <v>0</v>
      </c>
      <c r="L27" s="1342" t="str">
        <f t="shared" si="70"/>
        <v>2.5.2</v>
      </c>
      <c r="M27" s="1342" t="str">
        <f t="shared" si="71"/>
        <v xml:space="preserve">Объём приобретения электрической энергии</v>
      </c>
      <c r="N27" s="1342" t="str">
        <f t="shared" si="72"/>
        <v/>
      </c>
      <c r="O27" s="1357" t="s">
        <v>721</v>
      </c>
      <c r="P27" s="1357" t="s">
        <v>715</v>
      </c>
      <c r="Q27" s="1357" t="s">
        <v>2084</v>
      </c>
      <c r="R27" s="1357" t="s">
        <v>715</v>
      </c>
      <c r="S27" s="1357"/>
      <c r="T27" s="1358" t="s">
        <v>2085</v>
      </c>
      <c r="U27" s="1358" t="s">
        <v>2085</v>
      </c>
      <c r="V27" s="1358" t="s">
        <v>2085</v>
      </c>
      <c r="W27" s="1358" t="s">
        <v>2085</v>
      </c>
      <c r="X27" s="1336"/>
      <c r="Y27" s="1343"/>
      <c r="Z27" s="1321"/>
      <c r="AA27" s="1328"/>
      <c r="AB27" s="1321"/>
      <c r="AC27" s="1321"/>
      <c r="AD27" s="1321"/>
    </row>
    <row r="28" ht="27" customHeight="1">
      <c r="A28" s="1338"/>
      <c r="B28" s="1344">
        <v>11</v>
      </c>
      <c r="C28" s="1336">
        <v>7</v>
      </c>
      <c r="D28" s="1354"/>
      <c r="E28" s="1336"/>
      <c r="F28" s="1336"/>
      <c r="G28" s="1359"/>
      <c r="H28" s="1360"/>
      <c r="I28" s="1356">
        <f t="shared" si="67"/>
        <v>0</v>
      </c>
      <c r="J28" s="1356">
        <f t="shared" si="68"/>
        <v>0</v>
      </c>
      <c r="K28" s="1356">
        <f t="shared" si="69"/>
        <v>0</v>
      </c>
      <c r="L28" s="1342" t="str">
        <f t="shared" si="70"/>
        <v/>
      </c>
      <c r="M28" s="1342" t="str">
        <f t="shared" si="71"/>
        <v/>
      </c>
      <c r="N28" s="1342" t="str">
        <f t="shared" si="72"/>
        <v/>
      </c>
      <c r="O28" s="1357" t="s">
        <v>723</v>
      </c>
      <c r="P28" s="1357"/>
      <c r="Q28" s="1357"/>
      <c r="R28" s="1357"/>
      <c r="S28" s="1357"/>
      <c r="T28" s="1358" t="s">
        <v>2086</v>
      </c>
      <c r="U28" s="1321"/>
      <c r="V28" s="1321"/>
      <c r="W28" s="1321"/>
      <c r="X28" s="1336"/>
      <c r="Y28" s="1343"/>
      <c r="Z28" s="1321"/>
      <c r="AA28" s="1328"/>
      <c r="AB28" s="1321"/>
      <c r="AC28" s="1321"/>
      <c r="AD28" s="1321"/>
    </row>
    <row r="29" ht="27" customHeight="1">
      <c r="A29" s="1338"/>
      <c r="B29" s="1344">
        <v>12</v>
      </c>
      <c r="C29" s="1336">
        <v>8</v>
      </c>
      <c r="D29" s="1354"/>
      <c r="E29" s="1336"/>
      <c r="F29" s="1336"/>
      <c r="G29" s="1359"/>
      <c r="H29" s="1360"/>
      <c r="I29" s="1356">
        <f t="shared" si="67"/>
        <v>0</v>
      </c>
      <c r="J29" s="1356">
        <f t="shared" si="68"/>
        <v>0</v>
      </c>
      <c r="K29" s="1356">
        <f t="shared" si="69"/>
        <v>0</v>
      </c>
      <c r="L29" s="1342" t="str">
        <f t="shared" si="70"/>
        <v/>
      </c>
      <c r="M29" s="1342" t="str">
        <f t="shared" si="71"/>
        <v/>
      </c>
      <c r="N29" s="1342" t="str">
        <f t="shared" si="72"/>
        <v/>
      </c>
      <c r="O29" s="1357" t="s">
        <v>730</v>
      </c>
      <c r="P29" s="1357" t="s">
        <v>304</v>
      </c>
      <c r="Q29" s="1357"/>
      <c r="R29" s="1357" t="s">
        <v>304</v>
      </c>
      <c r="S29" s="1357"/>
      <c r="T29" s="1358" t="str">
        <f>"Расходы на  хим"&amp;IF(TITLE_TYPE_ORG="Регулируемая организация","ические",".")&amp;" реагенты, используемые в технологическом процессе"</f>
        <v xml:space="preserve">Расходы на  хим. реагенты, используемые в технологическом процессе</v>
      </c>
      <c r="U29" s="1321" t="s">
        <v>2087</v>
      </c>
      <c r="V29" s="1321"/>
      <c r="W29" s="1321" t="s">
        <v>2087</v>
      </c>
      <c r="X29" s="1336"/>
      <c r="Y29" s="1343"/>
      <c r="Z29" s="1321"/>
      <c r="AA29" s="1328"/>
      <c r="AB29" s="1321"/>
      <c r="AC29" s="1321"/>
      <c r="AD29" s="1321"/>
    </row>
    <row r="30" ht="54" customHeight="1">
      <c r="A30" s="1338"/>
      <c r="B30" s="1344">
        <v>13</v>
      </c>
      <c r="C30" s="1336">
        <v>9</v>
      </c>
      <c r="D30" s="1354"/>
      <c r="E30" s="1336"/>
      <c r="F30" s="1336"/>
      <c r="G30" s="1359"/>
      <c r="H30" s="1360"/>
      <c r="I30" s="1356" t="str">
        <f t="shared" si="67"/>
        <v>2.6</v>
      </c>
      <c r="J30" s="1356" t="str">
        <f t="shared" si="68"/>
        <v xml:space="preserve">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356" t="str">
        <f t="shared" si="69"/>
        <v xml:space="preserve">Указывается общая сумма расходов на оплату труда и отчислений на социальные нужды основного производственного персонала.</v>
      </c>
      <c r="L30" s="1342" t="str">
        <f t="shared" si="70"/>
        <v>2.6</v>
      </c>
      <c r="M30" s="1342" t="str">
        <f t="shared" si="71"/>
        <v xml:space="preserve">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1342" t="str">
        <f t="shared" si="72"/>
        <v xml:space="preserve">Указывается общая сумма расходов на оплату труда и отчислений на социальные нужды основного производственного персонала.</v>
      </c>
      <c r="O30" s="1357" t="s">
        <v>732</v>
      </c>
      <c r="P30" s="1357" t="s">
        <v>723</v>
      </c>
      <c r="Q30" s="1357" t="s">
        <v>732</v>
      </c>
      <c r="R30" s="1357" t="s">
        <v>723</v>
      </c>
      <c r="S30" s="1357"/>
      <c r="T30" s="1358" t="s">
        <v>2088</v>
      </c>
      <c r="U30" s="1321" t="s">
        <v>2088</v>
      </c>
      <c r="V30" s="1321" t="s">
        <v>2088</v>
      </c>
      <c r="W30" s="1321" t="s">
        <v>2088</v>
      </c>
      <c r="X30" s="1336"/>
      <c r="Y30" s="1343"/>
      <c r="Z30" s="1321"/>
      <c r="AA30" s="1328" t="s">
        <v>2089</v>
      </c>
      <c r="AB30" s="1328" t="s">
        <v>2089</v>
      </c>
      <c r="AC30" s="1328" t="s">
        <v>2089</v>
      </c>
      <c r="AD30" s="1321"/>
    </row>
    <row r="31" ht="18" customHeight="1">
      <c r="A31" s="1338"/>
      <c r="B31" s="1344">
        <v>14</v>
      </c>
      <c r="C31" s="1336" t="s">
        <v>2090</v>
      </c>
      <c r="D31" s="1354"/>
      <c r="E31" s="1336"/>
      <c r="F31" s="1336"/>
      <c r="G31" s="1359"/>
      <c r="H31" s="1360"/>
      <c r="I31" s="1356" t="str">
        <f t="shared" si="67"/>
        <v>2.6.1</v>
      </c>
      <c r="J31" s="1356" t="str">
        <f t="shared" si="68"/>
        <v xml:space="preserve">Расходы на оплату труда основного производственного персонала</v>
      </c>
      <c r="K31" s="1356">
        <f t="shared" si="69"/>
        <v>0</v>
      </c>
      <c r="L31" s="1342" t="str">
        <f t="shared" si="70"/>
        <v>2.6.1</v>
      </c>
      <c r="M31" s="1342" t="str">
        <f t="shared" si="71"/>
        <v xml:space="preserve">Расходы на оплату труда основного производственного персонала</v>
      </c>
      <c r="N31" s="1342" t="str">
        <f t="shared" si="72"/>
        <v/>
      </c>
      <c r="O31" s="1357" t="s">
        <v>2091</v>
      </c>
      <c r="P31" s="1357" t="s">
        <v>726</v>
      </c>
      <c r="Q31" s="1357" t="s">
        <v>2091</v>
      </c>
      <c r="R31" s="1357" t="s">
        <v>726</v>
      </c>
      <c r="S31" s="1357"/>
      <c r="T31" s="1361" t="s">
        <v>2092</v>
      </c>
      <c r="U31" s="1321" t="s">
        <v>2092</v>
      </c>
      <c r="V31" s="1321" t="s">
        <v>2092</v>
      </c>
      <c r="W31" s="1321" t="s">
        <v>2092</v>
      </c>
      <c r="X31" s="1336"/>
      <c r="Y31" s="1343"/>
      <c r="Z31" s="1321"/>
      <c r="AA31" s="1328"/>
      <c r="AB31" s="1328"/>
      <c r="AC31" s="1328"/>
      <c r="AD31" s="1321"/>
    </row>
    <row r="32" ht="36" customHeight="1">
      <c r="A32" s="1338"/>
      <c r="B32" s="1344">
        <v>15</v>
      </c>
      <c r="C32" s="1336" t="s">
        <v>2093</v>
      </c>
      <c r="D32" s="1354"/>
      <c r="E32" s="1336"/>
      <c r="F32" s="1336"/>
      <c r="G32" s="1359"/>
      <c r="H32" s="1360"/>
      <c r="I32" s="1356" t="str">
        <f t="shared" si="67"/>
        <v>2.6.2</v>
      </c>
      <c r="J32" s="1356" t="str">
        <f t="shared" si="68"/>
        <v xml:space="preserve">Страховые взносы на обязательное социальное страхование, выплачиваемые из фонда оплаты труда основного производственного персонала</v>
      </c>
      <c r="K32" s="1356">
        <f t="shared" si="69"/>
        <v>0</v>
      </c>
      <c r="L32" s="1342" t="str">
        <f t="shared" si="70"/>
        <v>2.6.2</v>
      </c>
      <c r="M32" s="1342" t="str">
        <f t="shared" si="71"/>
        <v xml:space="preserve">Страховые взносы на обязательное социальное страхование, выплачиваемые из фонда оплаты труда основного производственного персонала</v>
      </c>
      <c r="N32" s="1342" t="str">
        <f t="shared" si="72"/>
        <v/>
      </c>
      <c r="O32" s="1357" t="s">
        <v>2094</v>
      </c>
      <c r="P32" s="1357" t="s">
        <v>728</v>
      </c>
      <c r="Q32" s="1357" t="s">
        <v>2094</v>
      </c>
      <c r="R32" s="1357" t="s">
        <v>728</v>
      </c>
      <c r="S32" s="1357"/>
      <c r="T32" s="1362"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 xml:space="preserve">Расходы на страховые взносы на обязательное социальное страхование, выплачиваемые из фонда оплаты труда основного производственного персонала</v>
      </c>
      <c r="U32" s="1321" t="s">
        <v>2095</v>
      </c>
      <c r="V32" s="1321" t="s">
        <v>2095</v>
      </c>
      <c r="W32" s="1321" t="s">
        <v>2095</v>
      </c>
      <c r="X32" s="1336"/>
      <c r="Y32" s="1343"/>
      <c r="Z32" s="1321"/>
      <c r="AA32" s="1328"/>
      <c r="AB32" s="1328"/>
      <c r="AC32" s="1328"/>
      <c r="AD32" s="1321"/>
    </row>
    <row r="33" ht="45" customHeight="1">
      <c r="A33" s="1338"/>
      <c r="B33" s="1344">
        <v>16</v>
      </c>
      <c r="C33" s="1336">
        <v>10</v>
      </c>
      <c r="D33" s="1354"/>
      <c r="E33" s="1336"/>
      <c r="F33" s="1336"/>
      <c r="G33" s="1359"/>
      <c r="H33" s="1360"/>
      <c r="I33" s="1356" t="str">
        <f t="shared" si="67"/>
        <v>2.7</v>
      </c>
      <c r="J33" s="1356" t="str">
        <f t="shared" si="68"/>
        <v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356" t="str">
        <f t="shared" si="69"/>
        <v xml:space="preserve">Указывается общая сумма расходов на оплату труда и отчислений на социальные нужды административно-управленческого персонала.</v>
      </c>
      <c r="L33" s="1342" t="str">
        <f t="shared" si="70"/>
        <v>2.7</v>
      </c>
      <c r="M33" s="1342" t="str">
        <f t="shared" si="71"/>
        <v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1342" t="str">
        <f t="shared" si="72"/>
        <v xml:space="preserve">Указывается общая сумма расходов на оплату труда и отчислений на социальные нужды административно-управленческого персонала.</v>
      </c>
      <c r="O33" s="1357" t="s">
        <v>734</v>
      </c>
      <c r="P33" s="1357" t="s">
        <v>730</v>
      </c>
      <c r="Q33" s="1357" t="s">
        <v>734</v>
      </c>
      <c r="R33" s="1357" t="s">
        <v>730</v>
      </c>
      <c r="S33" s="1357"/>
      <c r="T33" s="1361"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 xml:space="preserve">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1321" t="s">
        <v>2096</v>
      </c>
      <c r="V33" s="1321" t="s">
        <v>2096</v>
      </c>
      <c r="W33" s="1321" t="s">
        <v>2097</v>
      </c>
      <c r="X33" s="1336"/>
      <c r="Y33" s="1343"/>
      <c r="Z33" s="1321"/>
      <c r="AA33" s="1328" t="s">
        <v>2098</v>
      </c>
      <c r="AB33" s="1328" t="s">
        <v>2098</v>
      </c>
      <c r="AC33" s="1328" t="s">
        <v>2098</v>
      </c>
      <c r="AD33" s="1321"/>
    </row>
    <row r="34" ht="27" customHeight="1">
      <c r="A34" s="1338"/>
      <c r="B34" s="1344">
        <v>17</v>
      </c>
      <c r="C34" s="1336" t="s">
        <v>2099</v>
      </c>
      <c r="D34" s="1354"/>
      <c r="E34" s="1336"/>
      <c r="F34" s="1336"/>
      <c r="G34" s="1359"/>
      <c r="H34" s="1360"/>
      <c r="I34" s="1356" t="str">
        <f t="shared" si="67"/>
        <v>2.7.1</v>
      </c>
      <c r="J34" s="1356" t="str">
        <f t="shared" si="68"/>
        <v xml:space="preserve">Расходы на оплату труда административно-управленческого персонала</v>
      </c>
      <c r="K34" s="1356">
        <f t="shared" si="69"/>
        <v>0</v>
      </c>
      <c r="L34" s="1342" t="str">
        <f t="shared" si="70"/>
        <v>2.7.1</v>
      </c>
      <c r="M34" s="1342" t="str">
        <f t="shared" si="71"/>
        <v xml:space="preserve">Расходы на оплату труда административно-управленческого персонала</v>
      </c>
      <c r="N34" s="1342" t="str">
        <f t="shared" si="72"/>
        <v/>
      </c>
      <c r="O34" s="1357" t="s">
        <v>2100</v>
      </c>
      <c r="P34" s="1357" t="s">
        <v>2082</v>
      </c>
      <c r="Q34" s="1357" t="s">
        <v>2100</v>
      </c>
      <c r="R34" s="1357" t="s">
        <v>2082</v>
      </c>
      <c r="S34" s="1357"/>
      <c r="T34" s="1362" t="s">
        <v>2101</v>
      </c>
      <c r="U34" s="1321" t="s">
        <v>2101</v>
      </c>
      <c r="V34" s="1321" t="s">
        <v>2101</v>
      </c>
      <c r="W34" s="1321" t="s">
        <v>2102</v>
      </c>
      <c r="X34" s="1336"/>
      <c r="Y34" s="1343"/>
      <c r="Z34" s="1321"/>
      <c r="AA34" s="1328"/>
      <c r="AB34" s="1321"/>
      <c r="AC34" s="1321"/>
      <c r="AD34" s="1321"/>
    </row>
    <row r="35" ht="45" customHeight="1">
      <c r="A35" s="1338"/>
      <c r="B35" s="1344">
        <v>18</v>
      </c>
      <c r="C35" s="1336" t="s">
        <v>2103</v>
      </c>
      <c r="D35" s="1354"/>
      <c r="E35" s="1336"/>
      <c r="F35" s="1336"/>
      <c r="G35" s="1359"/>
      <c r="H35" s="1360"/>
      <c r="I35" s="1356" t="str">
        <f t="shared" si="67"/>
        <v>2.7.2</v>
      </c>
      <c r="J35" s="1356" t="str">
        <f t="shared" si="68"/>
        <v xml:space="preserve">Страховые взносы на обязательное социальное страхование, выплачиваемые из фонда оплаты труда административно-управленческого персонала</v>
      </c>
      <c r="K35" s="1356">
        <f t="shared" si="69"/>
        <v>0</v>
      </c>
      <c r="L35" s="1342" t="str">
        <f t="shared" si="70"/>
        <v>2.7.2</v>
      </c>
      <c r="M35" s="1342" t="str">
        <f t="shared" si="71"/>
        <v xml:space="preserve">Страховые взносы на обязательное социальное страхование, выплачиваемые из фонда оплаты труда административно-управленческого персонала</v>
      </c>
      <c r="N35" s="1342" t="str">
        <f t="shared" si="72"/>
        <v/>
      </c>
      <c r="O35" s="1357" t="s">
        <v>2104</v>
      </c>
      <c r="P35" s="1357" t="s">
        <v>2084</v>
      </c>
      <c r="Q35" s="1357" t="s">
        <v>2104</v>
      </c>
      <c r="R35" s="1357" t="s">
        <v>2084</v>
      </c>
      <c r="S35" s="1357"/>
      <c r="T35" s="1358"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 xml:space="preserve">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1321" t="s">
        <v>2105</v>
      </c>
      <c r="V35" s="1321" t="s">
        <v>2105</v>
      </c>
      <c r="W35" s="1321" t="s">
        <v>2105</v>
      </c>
      <c r="X35" s="1336"/>
      <c r="Y35" s="1343"/>
      <c r="Z35" s="1321"/>
      <c r="AA35" s="1328"/>
      <c r="AB35" s="1321"/>
      <c r="AC35" s="1321"/>
      <c r="AD35" s="1321"/>
    </row>
    <row r="36" ht="18" customHeight="1">
      <c r="A36" s="1338"/>
      <c r="B36" s="1344">
        <v>19</v>
      </c>
      <c r="C36" s="1336">
        <v>11</v>
      </c>
      <c r="D36" s="1354"/>
      <c r="E36" s="1336"/>
      <c r="F36" s="1336"/>
      <c r="G36" s="1359"/>
      <c r="H36" s="1360"/>
      <c r="I36" s="1356" t="str">
        <f t="shared" si="67"/>
        <v>2.8</v>
      </c>
      <c r="J36" s="1356" t="str">
        <f t="shared" si="68"/>
        <v xml:space="preserve">Расходы на амортизацию основных средств и нематериальных активов</v>
      </c>
      <c r="K36" s="1356">
        <f t="shared" si="69"/>
        <v>0</v>
      </c>
      <c r="L36" s="1342" t="str">
        <f t="shared" si="70"/>
        <v>2.8</v>
      </c>
      <c r="M36" s="1342" t="str">
        <f t="shared" si="71"/>
        <v xml:space="preserve">Расходы на амортизацию основных средств и нематериальных активов</v>
      </c>
      <c r="N36" s="1342" t="str">
        <f t="shared" si="72"/>
        <v/>
      </c>
      <c r="O36" s="1357" t="s">
        <v>736</v>
      </c>
      <c r="P36" s="1357" t="s">
        <v>732</v>
      </c>
      <c r="Q36" s="1357" t="s">
        <v>736</v>
      </c>
      <c r="R36" s="1357" t="s">
        <v>732</v>
      </c>
      <c r="S36" s="1357"/>
      <c r="T36" s="1358" t="s">
        <v>2106</v>
      </c>
      <c r="U36" s="1321" t="s">
        <v>2106</v>
      </c>
      <c r="V36" s="1321" t="s">
        <v>2106</v>
      </c>
      <c r="W36" s="1321" t="s">
        <v>2106</v>
      </c>
      <c r="X36" s="1336"/>
      <c r="Y36" s="1343"/>
      <c r="Z36" s="1321"/>
      <c r="AA36" s="1328"/>
      <c r="AB36" s="1321"/>
      <c r="AC36" s="1321"/>
      <c r="AD36" s="1321"/>
    </row>
    <row r="37" ht="18" customHeight="1">
      <c r="A37" s="1338"/>
      <c r="B37" s="1344">
        <v>20</v>
      </c>
      <c r="C37" s="1336" t="s">
        <v>2107</v>
      </c>
      <c r="D37" s="1354"/>
      <c r="E37" s="1336"/>
      <c r="F37" s="1336"/>
      <c r="G37" s="1359"/>
      <c r="H37" s="1360"/>
      <c r="I37" s="1356" t="str">
        <f t="shared" si="67"/>
        <v>2.8.1</v>
      </c>
      <c r="J37" s="1356" t="str">
        <f t="shared" si="68"/>
        <v xml:space="preserve">Расходы на амортизацию основных средств</v>
      </c>
      <c r="K37" s="1356">
        <f t="shared" si="69"/>
        <v>0</v>
      </c>
      <c r="L37" s="1342" t="str">
        <f t="shared" si="70"/>
        <v>2.8.1</v>
      </c>
      <c r="M37" s="1342" t="str">
        <f t="shared" si="71"/>
        <v xml:space="preserve">Расходы на амортизацию основных средств</v>
      </c>
      <c r="N37" s="1342" t="str">
        <f t="shared" si="72"/>
        <v/>
      </c>
      <c r="O37" s="1357" t="s">
        <v>2108</v>
      </c>
      <c r="P37" s="1357" t="s">
        <v>2091</v>
      </c>
      <c r="Q37" s="1357" t="s">
        <v>2108</v>
      </c>
      <c r="R37" s="1357" t="s">
        <v>2091</v>
      </c>
      <c r="S37" s="1357"/>
      <c r="T37" s="1358" t="s">
        <v>2109</v>
      </c>
      <c r="U37" s="1321" t="s">
        <v>2109</v>
      </c>
      <c r="V37" s="1321" t="s">
        <v>2109</v>
      </c>
      <c r="W37" s="1321" t="s">
        <v>2109</v>
      </c>
      <c r="X37" s="1336"/>
      <c r="Y37" s="1343"/>
      <c r="Z37" s="1321"/>
      <c r="AA37" s="1328"/>
      <c r="AB37" s="1321"/>
      <c r="AC37" s="1321"/>
      <c r="AD37" s="1321"/>
    </row>
    <row r="38" ht="18" customHeight="1">
      <c r="A38" s="1338"/>
      <c r="B38" s="1344">
        <v>21</v>
      </c>
      <c r="C38" s="1336" t="s">
        <v>2110</v>
      </c>
      <c r="D38" s="1354"/>
      <c r="E38" s="1336"/>
      <c r="F38" s="1336"/>
      <c r="G38" s="1359"/>
      <c r="H38" s="1360"/>
      <c r="I38" s="1356" t="str">
        <f t="shared" si="67"/>
        <v>2.8.2</v>
      </c>
      <c r="J38" s="1356" t="str">
        <f t="shared" si="68"/>
        <v xml:space="preserve">Расходы на амортизацию нематериальных активов</v>
      </c>
      <c r="K38" s="1356">
        <f t="shared" si="69"/>
        <v>0</v>
      </c>
      <c r="L38" s="1342" t="str">
        <f t="shared" si="70"/>
        <v>2.8.2</v>
      </c>
      <c r="M38" s="1342" t="str">
        <f t="shared" si="71"/>
        <v xml:space="preserve">Расходы на амортизацию нематериальных активов</v>
      </c>
      <c r="N38" s="1342" t="str">
        <f t="shared" si="72"/>
        <v/>
      </c>
      <c r="O38" s="1357" t="s">
        <v>2111</v>
      </c>
      <c r="P38" s="1357" t="s">
        <v>2094</v>
      </c>
      <c r="Q38" s="1357" t="s">
        <v>2111</v>
      </c>
      <c r="R38" s="1357" t="s">
        <v>2094</v>
      </c>
      <c r="S38" s="1357"/>
      <c r="T38" s="1358" t="s">
        <v>2112</v>
      </c>
      <c r="U38" s="1321" t="s">
        <v>2112</v>
      </c>
      <c r="V38" s="1321" t="s">
        <v>2112</v>
      </c>
      <c r="W38" s="1321" t="s">
        <v>2112</v>
      </c>
      <c r="X38" s="1336"/>
      <c r="Y38" s="1343"/>
      <c r="Z38" s="1321"/>
      <c r="AA38" s="1328"/>
      <c r="AB38" s="1321"/>
      <c r="AC38" s="1321"/>
      <c r="AD38" s="1321"/>
    </row>
    <row r="39" ht="36" customHeight="1">
      <c r="A39" s="1338"/>
      <c r="B39" s="1344">
        <v>22</v>
      </c>
      <c r="C39" s="1336">
        <v>12</v>
      </c>
      <c r="D39" s="1354"/>
      <c r="E39" s="1336"/>
      <c r="F39" s="1336"/>
      <c r="G39" s="1359"/>
      <c r="H39" s="1360"/>
      <c r="I39" s="1356" t="str">
        <f t="shared" si="67"/>
        <v>2.9</v>
      </c>
      <c r="J39" s="1356" t="str">
        <f t="shared" si="68"/>
        <v xml:space="preserve">Расходы на аренду имущества, используемого для осуществления регулируемых видов деятельности в сфере горячего водоснабжения</v>
      </c>
      <c r="K39" s="1356">
        <f t="shared" si="69"/>
        <v>0</v>
      </c>
      <c r="L39" s="1342" t="str">
        <f t="shared" si="70"/>
        <v>2.9</v>
      </c>
      <c r="M39" s="1342" t="str">
        <f t="shared" si="71"/>
        <v xml:space="preserve">Расходы на аренду имущества, используемого для осуществления регулируемых видов деятельности в сфере горячего водоснабжения</v>
      </c>
      <c r="N39" s="1342" t="str">
        <f t="shared" si="72"/>
        <v/>
      </c>
      <c r="O39" s="1357" t="s">
        <v>740</v>
      </c>
      <c r="P39" s="1357" t="s">
        <v>734</v>
      </c>
      <c r="Q39" s="1357" t="s">
        <v>740</v>
      </c>
      <c r="R39" s="1357" t="s">
        <v>734</v>
      </c>
      <c r="S39" s="1357"/>
      <c r="T39" s="1358" t="s">
        <v>2113</v>
      </c>
      <c r="U39" s="1321" t="s">
        <v>2114</v>
      </c>
      <c r="V39" s="1321" t="s">
        <v>2115</v>
      </c>
      <c r="W39" s="1321" t="s">
        <v>2116</v>
      </c>
      <c r="X39" s="1336"/>
      <c r="Y39" s="1343"/>
      <c r="Z39" s="1321"/>
      <c r="AA39" s="1328"/>
      <c r="AB39" s="1321"/>
      <c r="AC39" s="1321"/>
      <c r="AD39" s="1321"/>
    </row>
    <row r="40" ht="18" customHeight="1">
      <c r="A40" s="1338"/>
      <c r="B40" s="1344">
        <v>23</v>
      </c>
      <c r="C40" s="1336">
        <v>13</v>
      </c>
      <c r="D40" s="1354"/>
      <c r="E40" s="1336"/>
      <c r="F40" s="1336"/>
      <c r="G40" s="1336"/>
      <c r="H40" s="1363"/>
      <c r="I40" s="1356" t="str">
        <f t="shared" si="67"/>
        <v>2.10</v>
      </c>
      <c r="J40" s="1356" t="str">
        <f t="shared" si="68"/>
        <v xml:space="preserve">Общепроизводственные расходы, в том числе:</v>
      </c>
      <c r="K40" s="1356" t="str">
        <f t="shared" si="69"/>
        <v xml:space="preserve">Указывается общая сумма общепроизводственных расходов.</v>
      </c>
      <c r="L40" s="1342" t="str">
        <f t="shared" si="70"/>
        <v>2.10</v>
      </c>
      <c r="M40" s="1342" t="str">
        <f t="shared" si="71"/>
        <v xml:space="preserve">Общепроизводственные расходы, в том числе:</v>
      </c>
      <c r="N40" s="1342" t="str">
        <f t="shared" si="72"/>
        <v xml:space="preserve">Указывается общая сумма общепроизводственных расходов.</v>
      </c>
      <c r="O40" s="1357" t="s">
        <v>2117</v>
      </c>
      <c r="P40" s="1357" t="s">
        <v>736</v>
      </c>
      <c r="Q40" s="1357" t="s">
        <v>2117</v>
      </c>
      <c r="R40" s="1357" t="s">
        <v>736</v>
      </c>
      <c r="S40" s="1357"/>
      <c r="T40" s="1336" t="s">
        <v>2118</v>
      </c>
      <c r="U40" s="1336" t="s">
        <v>2118</v>
      </c>
      <c r="V40" s="1336" t="s">
        <v>2118</v>
      </c>
      <c r="W40" s="1336" t="s">
        <v>2118</v>
      </c>
      <c r="X40" s="1336"/>
      <c r="Y40" s="1343"/>
      <c r="Z40" s="1321" t="s">
        <v>2119</v>
      </c>
      <c r="AA40" s="1328" t="s">
        <v>2119</v>
      </c>
      <c r="AB40" s="1328" t="s">
        <v>2119</v>
      </c>
      <c r="AC40" s="1328" t="s">
        <v>2119</v>
      </c>
      <c r="AD40" s="1321"/>
    </row>
    <row r="41" ht="27" customHeight="1">
      <c r="A41" s="1338"/>
      <c r="B41" s="1344">
        <v>24</v>
      </c>
      <c r="C41" s="1336" t="s">
        <v>2120</v>
      </c>
      <c r="D41" s="1354"/>
      <c r="E41" s="1336"/>
      <c r="F41" s="1336"/>
      <c r="G41" s="1336"/>
      <c r="H41" s="1359"/>
      <c r="I41" s="1356" t="str">
        <f t="shared" si="67"/>
        <v>2.10.1</v>
      </c>
      <c r="J41" s="1356" t="str">
        <f t="shared" si="68"/>
        <v xml:space="preserve">Расходы на текущий ремонт</v>
      </c>
      <c r="K41" s="1356" t="str">
        <f t="shared" si="69"/>
        <v xml:space="preserve">Указываются расходы на текущий ремонт, отнесенные к общепроизводственным расходам.</v>
      </c>
      <c r="L41" s="1342" t="str">
        <f t="shared" si="70"/>
        <v>2.10.1</v>
      </c>
      <c r="M41" s="1342" t="str">
        <f t="shared" si="71"/>
        <v xml:space="preserve">Расходы на текущий ремонт</v>
      </c>
      <c r="N41" s="1342" t="str">
        <f t="shared" si="72"/>
        <v xml:space="preserve">Указываются расходы на текущий ремонт, отнесенные к общепроизводственным расходам.</v>
      </c>
      <c r="O41" s="1357" t="s">
        <v>2121</v>
      </c>
      <c r="P41" s="1357" t="s">
        <v>2108</v>
      </c>
      <c r="Q41" s="1357" t="s">
        <v>2121</v>
      </c>
      <c r="R41" s="1357" t="s">
        <v>2108</v>
      </c>
      <c r="S41" s="1357"/>
      <c r="T41" s="1336" t="s">
        <v>2122</v>
      </c>
      <c r="U41" s="1336" t="s">
        <v>2122</v>
      </c>
      <c r="V41" s="1336" t="s">
        <v>2122</v>
      </c>
      <c r="W41" s="1336" t="s">
        <v>2122</v>
      </c>
      <c r="X41" s="1336"/>
      <c r="Y41" s="1343"/>
      <c r="Z41" s="1321" t="s">
        <v>2123</v>
      </c>
      <c r="AA41" s="1321" t="s">
        <v>2123</v>
      </c>
      <c r="AB41" s="1321" t="s">
        <v>2123</v>
      </c>
      <c r="AC41" s="1321" t="s">
        <v>2123</v>
      </c>
      <c r="AD41" s="1321"/>
    </row>
    <row r="42" ht="27" customHeight="1">
      <c r="A42" s="1338"/>
      <c r="B42" s="1344">
        <v>25</v>
      </c>
      <c r="C42" s="1336" t="s">
        <v>2124</v>
      </c>
      <c r="D42" s="1354"/>
      <c r="E42" s="1336"/>
      <c r="F42" s="1336"/>
      <c r="G42" s="1336"/>
      <c r="H42" s="1359"/>
      <c r="I42" s="1356" t="str">
        <f t="shared" si="67"/>
        <v>2.10.2</v>
      </c>
      <c r="J42" s="1356" t="str">
        <f t="shared" si="68"/>
        <v xml:space="preserve">Расходы на капитальный ремонт</v>
      </c>
      <c r="K42" s="1356" t="str">
        <f t="shared" si="69"/>
        <v xml:space="preserve">Указываются расходы на капитальный ремонт, отнесенные к общепроизводственным расходам.</v>
      </c>
      <c r="L42" s="1342" t="str">
        <f t="shared" si="70"/>
        <v>2.10.2</v>
      </c>
      <c r="M42" s="1342" t="str">
        <f t="shared" si="71"/>
        <v xml:space="preserve">Расходы на капитальный ремонт</v>
      </c>
      <c r="N42" s="1342" t="str">
        <f t="shared" si="72"/>
        <v xml:space="preserve">Указываются расходы на капитальный ремонт, отнесенные к общепроизводственным расходам.</v>
      </c>
      <c r="O42" s="1357" t="s">
        <v>2125</v>
      </c>
      <c r="P42" s="1357" t="s">
        <v>2111</v>
      </c>
      <c r="Q42" s="1357" t="s">
        <v>2125</v>
      </c>
      <c r="R42" s="1357" t="s">
        <v>2111</v>
      </c>
      <c r="S42" s="1357"/>
      <c r="T42" s="1336" t="s">
        <v>2126</v>
      </c>
      <c r="U42" s="1336" t="s">
        <v>2126</v>
      </c>
      <c r="V42" s="1336" t="s">
        <v>2126</v>
      </c>
      <c r="W42" s="1336" t="s">
        <v>2126</v>
      </c>
      <c r="X42" s="1336"/>
      <c r="Y42" s="1343"/>
      <c r="Z42" s="1321" t="s">
        <v>2127</v>
      </c>
      <c r="AA42" s="1321" t="s">
        <v>2127</v>
      </c>
      <c r="AB42" s="1321" t="s">
        <v>2127</v>
      </c>
      <c r="AC42" s="1321" t="s">
        <v>2127</v>
      </c>
      <c r="AD42" s="1321"/>
    </row>
    <row r="43" ht="18" customHeight="1">
      <c r="A43" s="1338"/>
      <c r="B43" s="1344">
        <v>26</v>
      </c>
      <c r="C43" s="1336">
        <v>14</v>
      </c>
      <c r="D43" s="1354"/>
      <c r="E43" s="1336"/>
      <c r="F43" s="1336"/>
      <c r="G43" s="1336"/>
      <c r="H43" s="1359"/>
      <c r="I43" s="1356" t="str">
        <f t="shared" si="67"/>
        <v>2.11</v>
      </c>
      <c r="J43" s="1356" t="str">
        <f t="shared" si="68"/>
        <v xml:space="preserve">Общехозяйственные расходы, в том числе:</v>
      </c>
      <c r="K43" s="1356" t="str">
        <f t="shared" si="69"/>
        <v xml:space="preserve">Указывается общая сумма общехозяйственных расходов.</v>
      </c>
      <c r="L43" s="1342" t="str">
        <f t="shared" si="70"/>
        <v>2.11</v>
      </c>
      <c r="M43" s="1342" t="str">
        <f t="shared" si="71"/>
        <v xml:space="preserve">Общехозяйственные расходы, в том числе:</v>
      </c>
      <c r="N43" s="1342" t="str">
        <f t="shared" si="72"/>
        <v xml:space="preserve">Указывается общая сумма общехозяйственных расходов.</v>
      </c>
      <c r="O43" s="1357" t="s">
        <v>2128</v>
      </c>
      <c r="P43" s="1357" t="s">
        <v>740</v>
      </c>
      <c r="Q43" s="1357" t="s">
        <v>2128</v>
      </c>
      <c r="R43" s="1357" t="s">
        <v>740</v>
      </c>
      <c r="S43" s="1357"/>
      <c r="T43" s="1336" t="s">
        <v>2129</v>
      </c>
      <c r="U43" s="1336" t="s">
        <v>2129</v>
      </c>
      <c r="V43" s="1336" t="s">
        <v>2129</v>
      </c>
      <c r="W43" s="1336" t="s">
        <v>2129</v>
      </c>
      <c r="X43" s="1336"/>
      <c r="Y43" s="1343"/>
      <c r="Z43" s="1321" t="s">
        <v>2130</v>
      </c>
      <c r="AA43" s="1321" t="s">
        <v>2130</v>
      </c>
      <c r="AB43" s="1321" t="s">
        <v>2130</v>
      </c>
      <c r="AC43" s="1321" t="s">
        <v>2130</v>
      </c>
      <c r="AD43" s="1321"/>
    </row>
    <row r="44" ht="27" customHeight="1">
      <c r="A44" s="1338"/>
      <c r="B44" s="1344">
        <v>27</v>
      </c>
      <c r="C44" s="1336" t="s">
        <v>2131</v>
      </c>
      <c r="D44" s="1354"/>
      <c r="E44" s="1336"/>
      <c r="F44" s="1336"/>
      <c r="G44" s="1336"/>
      <c r="H44" s="1359"/>
      <c r="I44" s="1356" t="str">
        <f t="shared" si="67"/>
        <v>2.11.1</v>
      </c>
      <c r="J44" s="1356" t="str">
        <f t="shared" si="68"/>
        <v xml:space="preserve">Расходы на текущий ремонт</v>
      </c>
      <c r="K44" s="1356" t="str">
        <f t="shared" si="69"/>
        <v xml:space="preserve">Указываются расходы на текущий ремонт, отнесенные к общехозяйственным расходам.</v>
      </c>
      <c r="L44" s="1342" t="str">
        <f t="shared" si="70"/>
        <v>2.11.1</v>
      </c>
      <c r="M44" s="1342" t="str">
        <f t="shared" si="71"/>
        <v xml:space="preserve">Расходы на текущий ремонт</v>
      </c>
      <c r="N44" s="1342" t="str">
        <f t="shared" si="72"/>
        <v xml:space="preserve">Указываются расходы на текущий ремонт, отнесенные к общехозяйственным расходам.</v>
      </c>
      <c r="O44" s="1357" t="s">
        <v>2132</v>
      </c>
      <c r="P44" s="1357" t="s">
        <v>2133</v>
      </c>
      <c r="Q44" s="1357" t="s">
        <v>2132</v>
      </c>
      <c r="R44" s="1357" t="s">
        <v>2133</v>
      </c>
      <c r="S44" s="1357"/>
      <c r="T44" s="1336" t="s">
        <v>2122</v>
      </c>
      <c r="U44" s="1336" t="s">
        <v>2122</v>
      </c>
      <c r="V44" s="1336" t="s">
        <v>2122</v>
      </c>
      <c r="W44" s="1336" t="s">
        <v>2122</v>
      </c>
      <c r="X44" s="1336"/>
      <c r="Y44" s="1343"/>
      <c r="Z44" s="1321" t="s">
        <v>2134</v>
      </c>
      <c r="AA44" s="1321" t="s">
        <v>2134</v>
      </c>
      <c r="AB44" s="1321" t="s">
        <v>2134</v>
      </c>
      <c r="AC44" s="1321" t="s">
        <v>2134</v>
      </c>
      <c r="AD44" s="1321"/>
    </row>
    <row r="45" ht="27" customHeight="1">
      <c r="A45" s="1338"/>
      <c r="B45" s="1344">
        <v>28</v>
      </c>
      <c r="C45" s="1336" t="s">
        <v>2135</v>
      </c>
      <c r="D45" s="1354"/>
      <c r="E45" s="1336"/>
      <c r="F45" s="1336"/>
      <c r="G45" s="1336"/>
      <c r="H45" s="1359"/>
      <c r="I45" s="1356" t="str">
        <f t="shared" si="67"/>
        <v>2.11.2</v>
      </c>
      <c r="J45" s="1356" t="str">
        <f t="shared" si="68"/>
        <v xml:space="preserve">Расходы на капитальный ремонт</v>
      </c>
      <c r="K45" s="1356" t="str">
        <f t="shared" si="69"/>
        <v xml:space="preserve">Указываются расходы на капитальный ремонт, отнесенные к общехозяйственным расходам.</v>
      </c>
      <c r="L45" s="1342" t="str">
        <f t="shared" si="70"/>
        <v>2.11.2</v>
      </c>
      <c r="M45" s="1342" t="str">
        <f t="shared" si="71"/>
        <v xml:space="preserve">Расходы на капитальный ремонт</v>
      </c>
      <c r="N45" s="1342" t="str">
        <f t="shared" si="72"/>
        <v xml:space="preserve">Указываются расходы на капитальный ремонт, отнесенные к общехозяйственным расходам.</v>
      </c>
      <c r="O45" s="1357" t="s">
        <v>2136</v>
      </c>
      <c r="P45" s="1357" t="s">
        <v>2137</v>
      </c>
      <c r="Q45" s="1357" t="s">
        <v>2136</v>
      </c>
      <c r="R45" s="1357" t="s">
        <v>2137</v>
      </c>
      <c r="S45" s="1357"/>
      <c r="T45" s="1336" t="s">
        <v>2126</v>
      </c>
      <c r="U45" s="1336" t="s">
        <v>2126</v>
      </c>
      <c r="V45" s="1336" t="s">
        <v>2126</v>
      </c>
      <c r="W45" s="1336" t="s">
        <v>2126</v>
      </c>
      <c r="X45" s="1336"/>
      <c r="Y45" s="1343"/>
      <c r="Z45" s="1321" t="s">
        <v>2138</v>
      </c>
      <c r="AA45" s="1321" t="s">
        <v>2138</v>
      </c>
      <c r="AB45" s="1321" t="s">
        <v>2138</v>
      </c>
      <c r="AC45" s="1321" t="s">
        <v>2138</v>
      </c>
      <c r="AD45" s="1321"/>
    </row>
    <row r="46" ht="54" customHeight="1">
      <c r="A46" s="1338"/>
      <c r="B46" s="1344">
        <v>29</v>
      </c>
      <c r="C46" s="1336">
        <v>15</v>
      </c>
      <c r="D46" s="1354"/>
      <c r="E46" s="1336"/>
      <c r="F46" s="1336"/>
      <c r="G46" s="1336"/>
      <c r="H46" s="1359"/>
      <c r="I46" s="1356" t="str">
        <f t="shared" si="67"/>
        <v>2.12</v>
      </c>
      <c r="J46" s="1356" t="str">
        <f t="shared" si="68"/>
        <v xml:space="preserve">Расходы на капитальный и текущий ремонт основных средств</v>
      </c>
      <c r="K46" s="1356" t="str">
        <f t="shared" si="69"/>
        <v xml:space="preserve">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1342" t="str">
        <f t="shared" si="70"/>
        <v>2.12</v>
      </c>
      <c r="M46" s="1342" t="str">
        <f t="shared" si="71"/>
        <v xml:space="preserve">Расходы на капитальный и текущий ремонт основных средств</v>
      </c>
      <c r="N46" s="1342" t="str">
        <f t="shared" si="72"/>
        <v xml:space="preserve">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357" t="s">
        <v>2139</v>
      </c>
      <c r="P46" s="1357" t="s">
        <v>2117</v>
      </c>
      <c r="Q46" s="1357" t="s">
        <v>2139</v>
      </c>
      <c r="R46" s="1357" t="s">
        <v>2117</v>
      </c>
      <c r="S46" s="1357"/>
      <c r="T46" s="1342" t="str">
        <f>"Расходы на капитальный и текущий ремонт основных"&amp;IF(TITLE_TYPE_ORG="Регулируемая организация",""," производственных")&amp;" средств"</f>
        <v xml:space="preserve">Расходы на капитальный и текущий ремонт основных производственных средств</v>
      </c>
      <c r="U46" s="1336" t="s">
        <v>2140</v>
      </c>
      <c r="V46" s="1336" t="s">
        <v>2140</v>
      </c>
      <c r="W46" s="1336" t="s">
        <v>2140</v>
      </c>
      <c r="X46" s="1336"/>
      <c r="Y46" s="1343"/>
      <c r="Z46" s="1321" t="s">
        <v>2141</v>
      </c>
      <c r="AA46" s="1321" t="s">
        <v>2142</v>
      </c>
      <c r="AB46" s="1321" t="s">
        <v>2142</v>
      </c>
      <c r="AC46" s="1321" t="s">
        <v>2142</v>
      </c>
      <c r="AD46" s="1321"/>
    </row>
    <row r="47" ht="54" customHeight="1">
      <c r="A47" s="1338"/>
      <c r="B47" s="1344">
        <v>30</v>
      </c>
      <c r="C47" s="1336" t="s">
        <v>2143</v>
      </c>
      <c r="D47" s="1354"/>
      <c r="E47" s="1336"/>
      <c r="F47" s="1336"/>
      <c r="G47" s="1336"/>
      <c r="H47" s="1359"/>
      <c r="I47" s="1356" t="str">
        <f t="shared" si="67"/>
        <v>2.12.1</v>
      </c>
      <c r="J47" s="1356" t="str">
        <f t="shared" si="68"/>
        <v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356">
        <f t="shared" si="69"/>
        <v>0</v>
      </c>
      <c r="L47" s="1342" t="str">
        <f t="shared" si="70"/>
        <v>2.12.1</v>
      </c>
      <c r="M47" s="1342" t="str">
        <f t="shared" si="71"/>
        <v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1342" t="str">
        <f t="shared" si="72"/>
        <v/>
      </c>
      <c r="O47" s="1357" t="s">
        <v>2144</v>
      </c>
      <c r="P47" s="1357" t="s">
        <v>2121</v>
      </c>
      <c r="Q47" s="1357" t="s">
        <v>2144</v>
      </c>
      <c r="R47" s="1357" t="s">
        <v>2121</v>
      </c>
      <c r="S47" s="1357"/>
      <c r="T47" s="1336" t="s">
        <v>2145</v>
      </c>
      <c r="U47" s="1336" t="s">
        <v>2145</v>
      </c>
      <c r="V47" s="1336" t="s">
        <v>2145</v>
      </c>
      <c r="W47" s="1336" t="s">
        <v>2145</v>
      </c>
      <c r="X47" s="1336"/>
      <c r="Y47" s="1343"/>
      <c r="Z47" s="1321"/>
      <c r="AA47" s="1328"/>
      <c r="AB47" s="1328"/>
      <c r="AC47" s="1328"/>
      <c r="AD47" s="1321"/>
    </row>
    <row r="48" ht="54" customHeight="1">
      <c r="A48" s="1338"/>
      <c r="B48" s="1344">
        <v>31</v>
      </c>
      <c r="C48" s="1336">
        <v>16</v>
      </c>
      <c r="D48" s="1354"/>
      <c r="E48" s="1336"/>
      <c r="F48" s="1336"/>
      <c r="G48" s="1336"/>
      <c r="H48" s="1359"/>
      <c r="I48" s="1356" t="str">
        <f t="shared" si="67"/>
        <v>2.13</v>
      </c>
      <c r="J48" s="1356" t="str">
        <f t="shared" si="68"/>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356" t="str">
        <f t="shared" si="69"/>
        <v xml:space="preserve">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1342" t="str">
        <f t="shared" si="70"/>
        <v>2.13</v>
      </c>
      <c r="M48" s="1342" t="str">
        <f t="shared" si="71"/>
        <v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1342" t="str">
        <f t="shared" si="72"/>
        <v xml:space="preserve">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1357"/>
      <c r="P48" s="1357" t="s">
        <v>2128</v>
      </c>
      <c r="Q48" s="1357" t="s">
        <v>2146</v>
      </c>
      <c r="R48" s="1357" t="s">
        <v>2128</v>
      </c>
      <c r="S48" s="1357"/>
      <c r="T48" s="1336"/>
      <c r="U48" s="1336" t="s">
        <v>2147</v>
      </c>
      <c r="V48" s="1336" t="s">
        <v>2148</v>
      </c>
      <c r="W48" s="1336" t="s">
        <v>2148</v>
      </c>
      <c r="X48" s="1336"/>
      <c r="Y48" s="1343"/>
      <c r="Z48" s="1321"/>
      <c r="AA48" s="1328" t="s">
        <v>2142</v>
      </c>
      <c r="AB48" s="1328" t="s">
        <v>2142</v>
      </c>
      <c r="AC48" s="1328" t="s">
        <v>2142</v>
      </c>
      <c r="AD48" s="1321"/>
    </row>
    <row r="49" ht="54" customHeight="1">
      <c r="A49" s="1338"/>
      <c r="B49" s="1344">
        <v>32</v>
      </c>
      <c r="C49" s="1336" t="s">
        <v>2149</v>
      </c>
      <c r="D49" s="1354"/>
      <c r="E49" s="1336"/>
      <c r="F49" s="1336"/>
      <c r="G49" s="1336"/>
      <c r="H49" s="1359"/>
      <c r="I49" s="1356" t="str">
        <f t="shared" si="67"/>
        <v>2.13.1</v>
      </c>
      <c r="J49" s="1356" t="str">
        <f t="shared" si="68"/>
        <v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356">
        <f t="shared" si="69"/>
        <v>0</v>
      </c>
      <c r="L49" s="1342" t="str">
        <f t="shared" si="70"/>
        <v>2.13.1</v>
      </c>
      <c r="M49" s="1342" t="str">
        <f t="shared" si="71"/>
        <v xml:space="preserve">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1342" t="str">
        <f t="shared" si="72"/>
        <v/>
      </c>
      <c r="O49" s="1357"/>
      <c r="P49" s="1357" t="s">
        <v>2132</v>
      </c>
      <c r="Q49" s="1357" t="s">
        <v>2150</v>
      </c>
      <c r="R49" s="1357" t="s">
        <v>2132</v>
      </c>
      <c r="S49" s="1357"/>
      <c r="T49" s="1336"/>
      <c r="U49" s="1336" t="s">
        <v>2145</v>
      </c>
      <c r="V49" s="1336" t="s">
        <v>2145</v>
      </c>
      <c r="W49" s="1336" t="s">
        <v>2145</v>
      </c>
      <c r="X49" s="1336"/>
      <c r="Y49" s="1343"/>
      <c r="Z49" s="1321"/>
      <c r="AA49" s="1328"/>
      <c r="AB49" s="1328"/>
      <c r="AC49" s="1328"/>
      <c r="AD49" s="1321"/>
    </row>
    <row r="50" ht="126" customHeight="1">
      <c r="A50" s="1338"/>
      <c r="B50" s="1344">
        <v>33</v>
      </c>
      <c r="C50" s="1336">
        <v>17</v>
      </c>
      <c r="D50" s="1354"/>
      <c r="E50" s="1336"/>
      <c r="F50" s="1336"/>
      <c r="G50" s="1336"/>
      <c r="H50" s="1359"/>
      <c r="I50" s="1356" t="str">
        <f t="shared" si="67"/>
        <v>2.14</v>
      </c>
      <c r="J50" s="1356" t="str">
        <f t="shared" si="68"/>
        <v xml:space="preserve">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356" t="str">
        <f t="shared" si="69"/>
        <v xml:space="preserve">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1342" t="str">
        <f t="shared" si="70"/>
        <v>2.14</v>
      </c>
      <c r="M50" s="1342" t="str">
        <f t="shared" si="71"/>
        <v xml:space="preserve">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1342" t="str">
        <f t="shared" si="72"/>
        <v xml:space="preserve">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1357" t="s">
        <v>2146</v>
      </c>
      <c r="P50" s="1357" t="s">
        <v>2139</v>
      </c>
      <c r="Q50" s="1357" t="s">
        <v>2151</v>
      </c>
      <c r="R50" s="1357" t="s">
        <v>2139</v>
      </c>
      <c r="S50" s="1357"/>
      <c r="T50" s="1336" t="s">
        <v>2152</v>
      </c>
      <c r="U50" s="1336" t="s">
        <v>2153</v>
      </c>
      <c r="V50" s="1336" t="s">
        <v>2154</v>
      </c>
      <c r="W50" s="1336" t="s">
        <v>2155</v>
      </c>
      <c r="X50" s="1336"/>
      <c r="Y50" s="1343"/>
      <c r="Z50" s="1321" t="s">
        <v>2156</v>
      </c>
      <c r="AA50" s="1328" t="s">
        <v>2157</v>
      </c>
      <c r="AB50" s="1328" t="s">
        <v>2157</v>
      </c>
      <c r="AC50" s="1328" t="s">
        <v>2157</v>
      </c>
      <c r="AD50" s="1321"/>
    </row>
    <row r="51" ht="27" customHeight="1">
      <c r="A51" s="1338"/>
      <c r="B51" s="1344">
        <v>34</v>
      </c>
      <c r="C51" s="1336" t="s">
        <v>2158</v>
      </c>
      <c r="D51" s="1354"/>
      <c r="E51" s="1336"/>
      <c r="F51" s="1336"/>
      <c r="G51" s="1336"/>
      <c r="H51" s="1359"/>
      <c r="I51" s="1356">
        <f t="shared" si="67"/>
        <v>0</v>
      </c>
      <c r="J51" s="1356">
        <f t="shared" si="68"/>
        <v>0</v>
      </c>
      <c r="K51" s="1356">
        <f t="shared" si="69"/>
        <v>0</v>
      </c>
      <c r="L51" s="1342" t="str">
        <f t="shared" si="70"/>
        <v/>
      </c>
      <c r="M51" s="1342" t="str">
        <f t="shared" si="71"/>
        <v/>
      </c>
      <c r="N51" s="1342" t="str">
        <f t="shared" si="72"/>
        <v/>
      </c>
      <c r="O51" s="1357" t="s">
        <v>89</v>
      </c>
      <c r="P51" s="1357"/>
      <c r="Q51" s="1357"/>
      <c r="R51" s="1357"/>
      <c r="S51" s="1357"/>
      <c r="T51" s="1336" t="s">
        <v>2159</v>
      </c>
      <c r="U51" s="1336"/>
      <c r="V51" s="1336"/>
      <c r="W51" s="1336"/>
      <c r="X51" s="1336"/>
      <c r="Y51" s="1343"/>
      <c r="Z51" s="1321"/>
      <c r="AA51" s="1328"/>
      <c r="AB51" s="1328"/>
      <c r="AC51" s="1328"/>
      <c r="AD51" s="1321"/>
    </row>
    <row r="52" ht="36" customHeight="1">
      <c r="A52" s="1338"/>
      <c r="B52" s="1344">
        <v>35</v>
      </c>
      <c r="C52" s="1336" t="s">
        <v>2052</v>
      </c>
      <c r="D52" s="1354" t="s">
        <v>2052</v>
      </c>
      <c r="E52" s="1336" t="s">
        <v>2052</v>
      </c>
      <c r="F52" s="1336" t="s">
        <v>2052</v>
      </c>
      <c r="G52" s="1336"/>
      <c r="H52" s="1359"/>
      <c r="I52" s="1356" t="str">
        <f t="shared" si="67"/>
        <v>3</v>
      </c>
      <c r="J52" s="1356" t="str">
        <f t="shared" si="68"/>
        <v xml:space="preserve">Чистая прибыль, полученная от регулируемого вида деятельности в сфере горячего водоснабжения, в том числе:</v>
      </c>
      <c r="K52" s="1356" t="str">
        <f t="shared" si="69"/>
        <v xml:space="preserve">Указывается общая сумма чистой прибыли, полученной от регулируемого вида деятельности.</v>
      </c>
      <c r="L52" s="1342" t="str">
        <f t="shared" si="70"/>
        <v>3</v>
      </c>
      <c r="M52" s="1342" t="str">
        <f t="shared" si="71"/>
        <v xml:space="preserve">Чистая прибыль, полученная от регулируемого вида деятельности в сфере горячего водоснабжения, в том числе:</v>
      </c>
      <c r="N52" s="1342" t="str">
        <f t="shared" si="72"/>
        <v xml:space="preserve">Указывается общая сумма чистой прибыли, полученной от регулируемого вида деятельности.</v>
      </c>
      <c r="O52" s="1357" t="s">
        <v>90</v>
      </c>
      <c r="P52" s="1357" t="s">
        <v>89</v>
      </c>
      <c r="Q52" s="1357" t="s">
        <v>89</v>
      </c>
      <c r="R52" s="1357" t="s">
        <v>89</v>
      </c>
      <c r="S52" s="1357"/>
      <c r="T52" s="1336" t="s">
        <v>2160</v>
      </c>
      <c r="U52" s="1336" t="s">
        <v>2161</v>
      </c>
      <c r="V52" s="1336" t="s">
        <v>2162</v>
      </c>
      <c r="W52" s="1336" t="s">
        <v>2163</v>
      </c>
      <c r="X52" s="1336"/>
      <c r="Y52" s="1343"/>
      <c r="Z52" s="1321" t="s">
        <v>744</v>
      </c>
      <c r="AA52" s="1328" t="s">
        <v>744</v>
      </c>
      <c r="AB52" s="1328" t="s">
        <v>744</v>
      </c>
      <c r="AC52" s="1328" t="s">
        <v>744</v>
      </c>
      <c r="AD52" s="1321"/>
    </row>
    <row r="53" ht="36" customHeight="1">
      <c r="A53" s="1338"/>
      <c r="B53" s="1344">
        <v>36</v>
      </c>
      <c r="C53" s="1336">
        <v>1</v>
      </c>
      <c r="D53" s="1354"/>
      <c r="E53" s="1336"/>
      <c r="F53" s="1336"/>
      <c r="G53" s="1336"/>
      <c r="H53" s="1359"/>
      <c r="I53" s="1356" t="str">
        <f t="shared" si="67"/>
        <v>3.1</v>
      </c>
      <c r="J53" s="1356" t="str">
        <f t="shared" si="68"/>
        <v xml:space="preserve">Размер расходования чистой прибыли на финансирование мероприятий, предусмотренных инвестиционной программой регулируемой организации</v>
      </c>
      <c r="K53" s="1356">
        <f t="shared" si="69"/>
        <v>0</v>
      </c>
      <c r="L53" s="1342" t="str">
        <f t="shared" si="70"/>
        <v>3.1</v>
      </c>
      <c r="M53" s="1342" t="str">
        <f t="shared" si="71"/>
        <v xml:space="preserve">Размер расходования чистой прибыли на финансирование мероприятий, предусмотренных инвестиционной программой регулируемой организации</v>
      </c>
      <c r="N53" s="1342" t="str">
        <f t="shared" si="72"/>
        <v/>
      </c>
      <c r="O53" s="1357" t="s">
        <v>748</v>
      </c>
      <c r="P53" s="1357" t="s">
        <v>318</v>
      </c>
      <c r="Q53" s="1357" t="s">
        <v>318</v>
      </c>
      <c r="R53" s="1357" t="s">
        <v>318</v>
      </c>
      <c r="S53" s="1357"/>
      <c r="T53" s="1336" t="s">
        <v>2164</v>
      </c>
      <c r="U53" s="1336" t="s">
        <v>2164</v>
      </c>
      <c r="V53" s="1336" t="s">
        <v>2164</v>
      </c>
      <c r="W53" s="1336" t="s">
        <v>2164</v>
      </c>
      <c r="X53" s="1336"/>
      <c r="Y53" s="1343"/>
      <c r="Z53" s="1321"/>
      <c r="AA53" s="1328"/>
      <c r="AB53" s="1321"/>
      <c r="AC53" s="1321"/>
      <c r="AD53" s="1321"/>
    </row>
    <row r="54" ht="18" customHeight="1">
      <c r="A54" s="1338"/>
      <c r="B54" s="1344">
        <v>37</v>
      </c>
      <c r="C54" s="1336" t="s">
        <v>2058</v>
      </c>
      <c r="D54" s="1354" t="s">
        <v>2058</v>
      </c>
      <c r="E54" s="1336" t="s">
        <v>2058</v>
      </c>
      <c r="F54" s="1336" t="s">
        <v>2058</v>
      </c>
      <c r="G54" s="1336"/>
      <c r="H54" s="1359"/>
      <c r="I54" s="1356" t="str">
        <f t="shared" si="67"/>
        <v>4</v>
      </c>
      <c r="J54" s="1356" t="str">
        <f t="shared" si="68"/>
        <v xml:space="preserve">Изменение стоимости основных фондов, в том числе:</v>
      </c>
      <c r="K54" s="1356" t="str">
        <f t="shared" si="69"/>
        <v xml:space="preserve">Указывается общее изменение стоимости основных фондов.</v>
      </c>
      <c r="L54" s="1342" t="str">
        <f t="shared" si="70"/>
        <v>4</v>
      </c>
      <c r="M54" s="1342" t="str">
        <f t="shared" si="71"/>
        <v xml:space="preserve">Изменение стоимости основных фондов, в том числе:</v>
      </c>
      <c r="N54" s="1342" t="str">
        <f t="shared" si="72"/>
        <v xml:space="preserve">Указывается общее изменение стоимости основных фондов.</v>
      </c>
      <c r="O54" s="1357" t="s">
        <v>107</v>
      </c>
      <c r="P54" s="1357" t="s">
        <v>90</v>
      </c>
      <c r="Q54" s="1357" t="s">
        <v>90</v>
      </c>
      <c r="R54" s="1357" t="s">
        <v>90</v>
      </c>
      <c r="S54" s="1357"/>
      <c r="T54" s="1336" t="s">
        <v>746</v>
      </c>
      <c r="U54" s="1336" t="s">
        <v>746</v>
      </c>
      <c r="V54" s="1336" t="s">
        <v>746</v>
      </c>
      <c r="W54" s="1336" t="s">
        <v>746</v>
      </c>
      <c r="X54" s="1336"/>
      <c r="Y54" s="1343"/>
      <c r="Z54" s="1321" t="s">
        <v>747</v>
      </c>
      <c r="AA54" s="1321" t="s">
        <v>747</v>
      </c>
      <c r="AB54" s="1321" t="s">
        <v>747</v>
      </c>
      <c r="AC54" s="1321" t="s">
        <v>747</v>
      </c>
      <c r="AD54" s="1321"/>
    </row>
    <row r="55" ht="36" customHeight="1">
      <c r="A55" s="1338"/>
      <c r="B55" s="1344">
        <v>38</v>
      </c>
      <c r="C55" s="1336">
        <v>1</v>
      </c>
      <c r="D55" s="1354"/>
      <c r="E55" s="1336"/>
      <c r="F55" s="1336"/>
      <c r="G55" s="1336"/>
      <c r="H55" s="1359"/>
      <c r="I55" s="1356" t="str">
        <f t="shared" si="67"/>
        <v>4.1</v>
      </c>
      <c r="J55" s="1356" t="str">
        <f t="shared" si="68"/>
        <v xml:space="preserve">Изменение стоимости основных фондов за счет их ввода в эксплуатацию (вывода из эксплуатации)</v>
      </c>
      <c r="K55" s="1356" t="str">
        <f t="shared" si="69"/>
        <v xml:space="preserve">Указываются общее изменение стоимости основных фондов за счет их ввода в эксплуатацию и вывода из эксплуатации.</v>
      </c>
      <c r="L55" s="1342" t="str">
        <f t="shared" si="70"/>
        <v>4.1</v>
      </c>
      <c r="M55" s="1342" t="str">
        <f t="shared" si="71"/>
        <v xml:space="preserve">Изменение стоимости основных фондов за счет их ввода в эксплуатацию (вывода из эксплуатации)</v>
      </c>
      <c r="N55" s="1342" t="str">
        <f t="shared" si="72"/>
        <v xml:space="preserve">Указываются общее изменение стоимости основных фондов за счет их ввода в эксплуатацию и вывода из эксплуатации.</v>
      </c>
      <c r="O55" s="1357" t="s">
        <v>307</v>
      </c>
      <c r="P55" s="1357" t="s">
        <v>748</v>
      </c>
      <c r="Q55" s="1357" t="s">
        <v>748</v>
      </c>
      <c r="R55" s="1357" t="s">
        <v>748</v>
      </c>
      <c r="S55" s="1357"/>
      <c r="T55" s="1342" t="str">
        <f>IF(TITLE_TYPE_ORG="Регулируемая организация","Изменение стоимости основных фондов за счет:","за счет их ввода в эксплуатацию (вывода из эксплуатации)")</f>
        <v xml:space="preserve">за счет их ввода в эксплуатацию (вывода из эксплуатации)</v>
      </c>
      <c r="U55" s="1336" t="s">
        <v>2165</v>
      </c>
      <c r="V55" s="1336" t="s">
        <v>2165</v>
      </c>
      <c r="W55" s="1336" t="s">
        <v>2165</v>
      </c>
      <c r="X55" s="1336"/>
      <c r="Y55" s="1343"/>
      <c r="Z55" s="1321" t="s">
        <v>2166</v>
      </c>
      <c r="AA55" s="1321" t="s">
        <v>2166</v>
      </c>
      <c r="AB55" s="1321" t="s">
        <v>2166</v>
      </c>
      <c r="AC55" s="1321" t="s">
        <v>2166</v>
      </c>
      <c r="AD55" s="1321"/>
    </row>
    <row r="56" ht="27" customHeight="1">
      <c r="A56" s="1338"/>
      <c r="B56" s="1344">
        <v>39</v>
      </c>
      <c r="C56" s="1336" t="s">
        <v>1052</v>
      </c>
      <c r="D56" s="1354"/>
      <c r="E56" s="1336"/>
      <c r="F56" s="1336"/>
      <c r="G56" s="1336"/>
      <c r="H56" s="1359"/>
      <c r="I56" s="1356" t="str">
        <f t="shared" si="67"/>
        <v>4.1.1</v>
      </c>
      <c r="J56" s="1356" t="str">
        <f t="shared" si="68"/>
        <v xml:space="preserve">Изменение стоимости основных фондов за счет их ввода в эксплуатацию</v>
      </c>
      <c r="K56" s="1356" t="str">
        <f t="shared" si="69"/>
        <v xml:space="preserve">Указываются изменение стоимости основных фондов за счет их ввода в эксплуатацию.</v>
      </c>
      <c r="L56" s="1342" t="str">
        <f t="shared" si="70"/>
        <v>4.1.1</v>
      </c>
      <c r="M56" s="1342" t="str">
        <f t="shared" si="71"/>
        <v xml:space="preserve">Изменение стоимости основных фондов за счет их ввода в эксплуатацию</v>
      </c>
      <c r="N56" s="1342" t="str">
        <f t="shared" si="72"/>
        <v xml:space="preserve">Указываются изменение стоимости основных фондов за счет их ввода в эксплуатацию.</v>
      </c>
      <c r="O56" s="1357" t="s">
        <v>1171</v>
      </c>
      <c r="P56" s="1357" t="s">
        <v>751</v>
      </c>
      <c r="Q56" s="1357" t="s">
        <v>751</v>
      </c>
      <c r="R56" s="1357" t="s">
        <v>751</v>
      </c>
      <c r="S56" s="1357"/>
      <c r="T56" s="1342" t="str">
        <f>IF(TITLE_TYPE_ORG="Регулируемая организация","Изменения стоимости основных фондов за счет их ввода в эксплуатацию","за счет их ввода в эксплуатацию")</f>
        <v xml:space="preserve">за счет их ввода в эксплуатацию</v>
      </c>
      <c r="U56" s="1336" t="s">
        <v>2167</v>
      </c>
      <c r="V56" s="1336" t="s">
        <v>2167</v>
      </c>
      <c r="W56" s="1336" t="s">
        <v>2167</v>
      </c>
      <c r="X56" s="1336"/>
      <c r="Y56" s="1343"/>
      <c r="Z56" s="1321" t="s">
        <v>753</v>
      </c>
      <c r="AA56" s="1321" t="s">
        <v>753</v>
      </c>
      <c r="AB56" s="1321" t="s">
        <v>753</v>
      </c>
      <c r="AC56" s="1321" t="s">
        <v>753</v>
      </c>
      <c r="AD56" s="1321"/>
    </row>
    <row r="57" ht="27" customHeight="1">
      <c r="A57" s="1338"/>
      <c r="B57" s="1344">
        <v>40</v>
      </c>
      <c r="C57" s="1336" t="s">
        <v>1054</v>
      </c>
      <c r="D57" s="1354"/>
      <c r="E57" s="1336"/>
      <c r="F57" s="1336"/>
      <c r="G57" s="1336"/>
      <c r="H57" s="1359"/>
      <c r="I57" s="1356" t="str">
        <f t="shared" si="67"/>
        <v>4.1.2</v>
      </c>
      <c r="J57" s="1356" t="str">
        <f t="shared" si="68"/>
        <v xml:space="preserve">Изменение стоимости основных фондов за счет их вывода в эксплуатацию</v>
      </c>
      <c r="K57" s="1356" t="str">
        <f t="shared" si="69"/>
        <v xml:space="preserve">Указываются изменение стоимости основных фондов за счет их вывода из эксплуатации.</v>
      </c>
      <c r="L57" s="1342" t="str">
        <f t="shared" si="70"/>
        <v>4.1.2</v>
      </c>
      <c r="M57" s="1342" t="str">
        <f t="shared" si="71"/>
        <v xml:space="preserve">Изменение стоимости основных фондов за счет их вывода в эксплуатацию</v>
      </c>
      <c r="N57" s="1342" t="str">
        <f t="shared" si="72"/>
        <v xml:space="preserve">Указываются изменение стоимости основных фондов за счет их вывода из эксплуатации.</v>
      </c>
      <c r="O57" s="1357" t="s">
        <v>2168</v>
      </c>
      <c r="P57" s="1357" t="s">
        <v>754</v>
      </c>
      <c r="Q57" s="1357" t="s">
        <v>754</v>
      </c>
      <c r="R57" s="1357" t="s">
        <v>754</v>
      </c>
      <c r="S57" s="1357"/>
      <c r="T57" s="1342" t="str">
        <f>IF(TITLE_TYPE_ORG="Регулируемая организация","Изменения стоимости основных фондов за счет их вывода в эксплуатацию","за счет их вывода в эксплуатацию")</f>
        <v xml:space="preserve">за счет их вывода в эксплуатацию</v>
      </c>
      <c r="U57" s="1336" t="s">
        <v>2169</v>
      </c>
      <c r="V57" s="1336" t="s">
        <v>2169</v>
      </c>
      <c r="W57" s="1336" t="s">
        <v>2169</v>
      </c>
      <c r="X57" s="1336"/>
      <c r="Y57" s="1343"/>
      <c r="Z57" s="1321" t="s">
        <v>756</v>
      </c>
      <c r="AA57" s="1321" t="s">
        <v>756</v>
      </c>
      <c r="AB57" s="1321" t="s">
        <v>756</v>
      </c>
      <c r="AC57" s="1321" t="s">
        <v>756</v>
      </c>
      <c r="AD57" s="1321"/>
    </row>
    <row r="58" ht="18" customHeight="1">
      <c r="A58" s="1338"/>
      <c r="B58" s="1344">
        <v>41</v>
      </c>
      <c r="C58" s="1336">
        <v>2</v>
      </c>
      <c r="D58" s="1354"/>
      <c r="E58" s="1336"/>
      <c r="F58" s="1336"/>
      <c r="G58" s="1336"/>
      <c r="H58" s="1359"/>
      <c r="I58" s="1356" t="str">
        <f t="shared" si="67"/>
        <v>4.2</v>
      </c>
      <c r="J58" s="1356" t="str">
        <f t="shared" si="68"/>
        <v xml:space="preserve">Изменение стоимости основных фондов за счет их переоценки</v>
      </c>
      <c r="K58" s="1356">
        <f t="shared" si="69"/>
        <v>0</v>
      </c>
      <c r="L58" s="1342" t="str">
        <f t="shared" si="70"/>
        <v>4.2</v>
      </c>
      <c r="M58" s="1342" t="str">
        <f t="shared" si="71"/>
        <v xml:space="preserve">Изменение стоимости основных фондов за счет их переоценки</v>
      </c>
      <c r="N58" s="1342" t="str">
        <f t="shared" si="72"/>
        <v/>
      </c>
      <c r="O58" s="1357" t="s">
        <v>876</v>
      </c>
      <c r="P58" s="1357" t="s">
        <v>790</v>
      </c>
      <c r="Q58" s="1357" t="s">
        <v>790</v>
      </c>
      <c r="R58" s="1357" t="s">
        <v>790</v>
      </c>
      <c r="S58" s="1357"/>
      <c r="T58" s="1342" t="str">
        <f>IF(TITLE_TYPE_ORG="Регулируемая организация","Изменение стоимости основных фондов за счет их переоценки","за счет их переоценки")</f>
        <v xml:space="preserve">за счет их переоценки</v>
      </c>
      <c r="U58" s="1336" t="s">
        <v>2170</v>
      </c>
      <c r="V58" s="1336" t="s">
        <v>2170</v>
      </c>
      <c r="W58" s="1336" t="s">
        <v>2170</v>
      </c>
      <c r="X58" s="1336"/>
      <c r="Y58" s="1343"/>
      <c r="Z58" s="1321"/>
      <c r="AA58" s="1328"/>
      <c r="AB58" s="1321"/>
      <c r="AC58" s="1321"/>
      <c r="AD58" s="1321"/>
    </row>
    <row r="59" ht="36" customHeight="1">
      <c r="A59" s="1338"/>
      <c r="B59" s="1344">
        <v>42</v>
      </c>
      <c r="C59" s="1336">
        <v>3</v>
      </c>
      <c r="D59" s="1354" t="s">
        <v>2158</v>
      </c>
      <c r="E59" s="1336" t="s">
        <v>2158</v>
      </c>
      <c r="F59" s="1336" t="s">
        <v>2158</v>
      </c>
      <c r="G59" s="1336"/>
      <c r="H59" s="1359"/>
      <c r="I59" s="1356" t="str">
        <f t="shared" si="67"/>
        <v>5</v>
      </c>
      <c r="J59" s="1356" t="str">
        <f t="shared" si="68"/>
        <v xml:space="preserve">Валовая прибыль (убытки) от продажи товаров и услуг по регулируемым видам деятельности в сфере горячего водоснабжения</v>
      </c>
      <c r="K59" s="1356">
        <f t="shared" si="69"/>
        <v>0</v>
      </c>
      <c r="L59" s="1342" t="str">
        <f t="shared" si="70"/>
        <v>5</v>
      </c>
      <c r="M59" s="1342" t="str">
        <f t="shared" si="71"/>
        <v xml:space="preserve">Валовая прибыль (убытки) от продажи товаров и услуг по регулируемым видам деятельности в сфере горячего водоснабжения</v>
      </c>
      <c r="N59" s="1342" t="str">
        <f t="shared" si="72"/>
        <v/>
      </c>
      <c r="O59" s="1357"/>
      <c r="P59" s="1357" t="s">
        <v>107</v>
      </c>
      <c r="Q59" s="1357" t="s">
        <v>107</v>
      </c>
      <c r="R59" s="1357" t="s">
        <v>107</v>
      </c>
      <c r="S59" s="1357"/>
      <c r="T59" s="1336"/>
      <c r="U59" s="1336" t="s">
        <v>2171</v>
      </c>
      <c r="V59" s="1336" t="s">
        <v>2172</v>
      </c>
      <c r="W59" s="1336" t="s">
        <v>2173</v>
      </c>
      <c r="X59" s="1336"/>
      <c r="Y59" s="1343"/>
      <c r="Z59" s="1321"/>
      <c r="AA59" s="1328"/>
      <c r="AB59" s="1321"/>
      <c r="AC59" s="1321"/>
      <c r="AD59" s="1321"/>
    </row>
    <row r="60" ht="81" customHeight="1">
      <c r="A60" s="1338"/>
      <c r="B60" s="1344">
        <v>43</v>
      </c>
      <c r="C60" s="1336" t="s">
        <v>2174</v>
      </c>
      <c r="D60" s="1354" t="s">
        <v>2174</v>
      </c>
      <c r="E60" s="1336" t="s">
        <v>2174</v>
      </c>
      <c r="F60" s="1336" t="s">
        <v>2174</v>
      </c>
      <c r="G60" s="1336"/>
      <c r="H60" s="1359"/>
      <c r="I60" s="1356" t="str">
        <f t="shared" si="67"/>
        <v>6</v>
      </c>
      <c r="J60" s="1356" t="str">
        <f t="shared" si="68"/>
        <v xml:space="preserve">Годовая бухгалтерская (финансовая) отчетность, включая бухгалтерский баланс и приложения к нему</v>
      </c>
      <c r="K60" s="1356" t="str">
        <f t="shared" si="69"/>
        <v xml:space="preserve">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1342" t="str">
        <f t="shared" si="70"/>
        <v>6</v>
      </c>
      <c r="M60" s="1342" t="str">
        <f t="shared" si="71"/>
        <v xml:space="preserve">Годовая бухгалтерская (финансовая) отчетность, включая бухгалтерский баланс и приложения к нему</v>
      </c>
      <c r="N60" s="1342" t="str">
        <f t="shared" si="72"/>
        <v xml:space="preserve">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1357" t="s">
        <v>91</v>
      </c>
      <c r="P60" s="1357" t="s">
        <v>91</v>
      </c>
      <c r="Q60" s="1357" t="s">
        <v>91</v>
      </c>
      <c r="R60" s="1357" t="s">
        <v>91</v>
      </c>
      <c r="S60" s="1357"/>
      <c r="T60" s="1336" t="s">
        <v>623</v>
      </c>
      <c r="U60" s="1336" t="s">
        <v>623</v>
      </c>
      <c r="V60" s="1336" t="s">
        <v>623</v>
      </c>
      <c r="W60" s="1336" t="s">
        <v>623</v>
      </c>
      <c r="X60" s="1336"/>
      <c r="Y60" s="1343"/>
      <c r="Z60" s="1321" t="s">
        <v>2175</v>
      </c>
      <c r="AA60" s="1328" t="s">
        <v>2176</v>
      </c>
      <c r="AB60" s="1321" t="s">
        <v>2177</v>
      </c>
      <c r="AC60" s="1321" t="s">
        <v>2176</v>
      </c>
      <c r="AD60" s="1321"/>
    </row>
    <row r="61" ht="9" customHeight="1">
      <c r="A61" s="1338"/>
      <c r="B61" s="1344">
        <v>44</v>
      </c>
      <c r="C61" s="1336"/>
      <c r="D61" s="1354" t="s">
        <v>2178</v>
      </c>
      <c r="E61" s="1336"/>
      <c r="F61" s="1336"/>
      <c r="G61" s="1336"/>
      <c r="H61" s="1359"/>
      <c r="I61" s="1356">
        <f t="shared" si="67"/>
        <v>0</v>
      </c>
      <c r="J61" s="1356">
        <f t="shared" si="68"/>
        <v>0</v>
      </c>
      <c r="K61" s="1356">
        <f t="shared" si="69"/>
        <v>0</v>
      </c>
      <c r="L61" s="1342" t="str">
        <f t="shared" si="70"/>
        <v/>
      </c>
      <c r="M61" s="1342" t="str">
        <f t="shared" si="71"/>
        <v/>
      </c>
      <c r="N61" s="1342" t="str">
        <f t="shared" si="72"/>
        <v/>
      </c>
      <c r="O61" s="1357"/>
      <c r="P61" s="1357" t="s">
        <v>92</v>
      </c>
      <c r="Q61" s="1357"/>
      <c r="R61" s="1357"/>
      <c r="S61" s="1357"/>
      <c r="T61" s="1336"/>
      <c r="U61" s="1336" t="s">
        <v>2179</v>
      </c>
      <c r="V61" s="1336"/>
      <c r="W61" s="1336"/>
      <c r="X61" s="1336"/>
      <c r="Y61" s="1343"/>
      <c r="Z61" s="1321"/>
      <c r="AA61" s="1328"/>
      <c r="AB61" s="1321"/>
      <c r="AC61" s="1321"/>
      <c r="AD61" s="1321"/>
    </row>
    <row r="62" ht="9" customHeight="1">
      <c r="A62" s="1338"/>
      <c r="B62" s="1344">
        <v>45</v>
      </c>
      <c r="C62" s="1336"/>
      <c r="D62" s="1354" t="s">
        <v>2180</v>
      </c>
      <c r="E62" s="1336"/>
      <c r="F62" s="1336"/>
      <c r="G62" s="1336"/>
      <c r="H62" s="1359"/>
      <c r="I62" s="1356">
        <f t="shared" si="67"/>
        <v>0</v>
      </c>
      <c r="J62" s="1356">
        <f t="shared" si="68"/>
        <v>0</v>
      </c>
      <c r="K62" s="1356">
        <f t="shared" si="69"/>
        <v>0</v>
      </c>
      <c r="L62" s="1342" t="str">
        <f t="shared" si="70"/>
        <v/>
      </c>
      <c r="M62" s="1342" t="str">
        <f t="shared" si="71"/>
        <v/>
      </c>
      <c r="N62" s="1342" t="str">
        <f t="shared" si="72"/>
        <v/>
      </c>
      <c r="O62" s="1357"/>
      <c r="P62" s="1357" t="s">
        <v>108</v>
      </c>
      <c r="Q62" s="1357"/>
      <c r="R62" s="1357"/>
      <c r="S62" s="1357"/>
      <c r="T62" s="1336"/>
      <c r="U62" s="1336" t="s">
        <v>2181</v>
      </c>
      <c r="V62" s="1336"/>
      <c r="W62" s="1336"/>
      <c r="X62" s="1336"/>
      <c r="Y62" s="1343"/>
      <c r="Z62" s="1321"/>
      <c r="AA62" s="1328"/>
      <c r="AB62" s="1321"/>
      <c r="AC62" s="1321"/>
      <c r="AD62" s="1321"/>
    </row>
    <row r="63" ht="18" customHeight="1">
      <c r="A63" s="1338"/>
      <c r="B63" s="1344">
        <v>46</v>
      </c>
      <c r="C63" s="1336"/>
      <c r="D63" s="1354" t="s">
        <v>2182</v>
      </c>
      <c r="E63" s="1336"/>
      <c r="F63" s="1336"/>
      <c r="G63" s="1336"/>
      <c r="H63" s="1359"/>
      <c r="I63" s="1356">
        <f t="shared" si="67"/>
        <v>0</v>
      </c>
      <c r="J63" s="1356">
        <f t="shared" si="68"/>
        <v>0</v>
      </c>
      <c r="K63" s="1356">
        <f t="shared" si="69"/>
        <v>0</v>
      </c>
      <c r="L63" s="1342" t="str">
        <f t="shared" si="70"/>
        <v/>
      </c>
      <c r="M63" s="1342" t="str">
        <f t="shared" si="71"/>
        <v/>
      </c>
      <c r="N63" s="1342" t="str">
        <f t="shared" si="72"/>
        <v/>
      </c>
      <c r="O63" s="1357"/>
      <c r="P63" s="1357" t="s">
        <v>144</v>
      </c>
      <c r="Q63" s="1357"/>
      <c r="R63" s="1357"/>
      <c r="S63" s="1357"/>
      <c r="T63" s="1336"/>
      <c r="U63" s="1336" t="s">
        <v>2183</v>
      </c>
      <c r="V63" s="1336"/>
      <c r="W63" s="1336"/>
      <c r="X63" s="1336"/>
      <c r="Y63" s="1343"/>
      <c r="Z63" s="1321"/>
      <c r="AA63" s="1328"/>
      <c r="AB63" s="1321"/>
      <c r="AC63" s="1321"/>
      <c r="AD63" s="1321"/>
    </row>
    <row r="64" ht="18" customHeight="1">
      <c r="A64" s="1338"/>
      <c r="B64" s="1344">
        <v>47</v>
      </c>
      <c r="C64" s="1336"/>
      <c r="D64" s="1354" t="s">
        <v>2184</v>
      </c>
      <c r="E64" s="1336"/>
      <c r="F64" s="1336"/>
      <c r="G64" s="1336"/>
      <c r="H64" s="1359"/>
      <c r="I64" s="1356">
        <f t="shared" si="67"/>
        <v>0</v>
      </c>
      <c r="J64" s="1356">
        <f t="shared" si="68"/>
        <v>0</v>
      </c>
      <c r="K64" s="1356">
        <f t="shared" si="69"/>
        <v>0</v>
      </c>
      <c r="L64" s="1342" t="str">
        <f t="shared" si="70"/>
        <v/>
      </c>
      <c r="M64" s="1342" t="str">
        <f t="shared" si="71"/>
        <v/>
      </c>
      <c r="N64" s="1342" t="str">
        <f t="shared" si="72"/>
        <v/>
      </c>
      <c r="O64" s="1357"/>
      <c r="P64" s="1357" t="s">
        <v>145</v>
      </c>
      <c r="Q64" s="1357"/>
      <c r="R64" s="1357"/>
      <c r="S64" s="1357"/>
      <c r="T64" s="1336"/>
      <c r="U64" s="1336" t="s">
        <v>2185</v>
      </c>
      <c r="V64" s="1336"/>
      <c r="W64" s="1336"/>
      <c r="X64" s="1336"/>
      <c r="Y64" s="1343"/>
      <c r="Z64" s="1321"/>
      <c r="AA64" s="1328" t="s">
        <v>2186</v>
      </c>
      <c r="AB64" s="1321"/>
      <c r="AC64" s="1321"/>
      <c r="AD64" s="1321"/>
    </row>
    <row r="65" ht="18" customHeight="1">
      <c r="A65" s="1338"/>
      <c r="B65" s="1344">
        <v>48</v>
      </c>
      <c r="C65" s="1336"/>
      <c r="D65" s="1354"/>
      <c r="E65" s="1336"/>
      <c r="F65" s="1336"/>
      <c r="G65" s="1336"/>
      <c r="H65" s="1359"/>
      <c r="I65" s="1356">
        <f t="shared" si="67"/>
        <v>0</v>
      </c>
      <c r="J65" s="1356">
        <f t="shared" si="68"/>
        <v>0</v>
      </c>
      <c r="K65" s="1356">
        <f t="shared" si="69"/>
        <v>0</v>
      </c>
      <c r="L65" s="1342" t="str">
        <f t="shared" si="70"/>
        <v/>
      </c>
      <c r="M65" s="1342" t="str">
        <f t="shared" si="71"/>
        <v/>
      </c>
      <c r="N65" s="1342" t="str">
        <f t="shared" si="72"/>
        <v/>
      </c>
      <c r="O65" s="1357"/>
      <c r="P65" s="1357" t="s">
        <v>2099</v>
      </c>
      <c r="Q65" s="1357"/>
      <c r="R65" s="1357"/>
      <c r="S65" s="1357"/>
      <c r="T65" s="1336"/>
      <c r="U65" s="1336" t="s">
        <v>2187</v>
      </c>
      <c r="V65" s="1336"/>
      <c r="W65" s="1336"/>
      <c r="X65" s="1336"/>
      <c r="Y65" s="1343"/>
      <c r="Z65" s="1321"/>
      <c r="AA65" s="1328"/>
      <c r="AB65" s="1321"/>
      <c r="AC65" s="1321"/>
      <c r="AD65" s="1321"/>
    </row>
    <row r="66" ht="18" customHeight="1">
      <c r="A66" s="1338"/>
      <c r="B66" s="1344">
        <v>49</v>
      </c>
      <c r="C66" s="1336"/>
      <c r="D66" s="1354"/>
      <c r="E66" s="1336"/>
      <c r="F66" s="1336"/>
      <c r="G66" s="1336"/>
      <c r="H66" s="1359"/>
      <c r="I66" s="1356">
        <f t="shared" si="67"/>
        <v>0</v>
      </c>
      <c r="J66" s="1356">
        <f t="shared" si="68"/>
        <v>0</v>
      </c>
      <c r="K66" s="1356">
        <f t="shared" si="69"/>
        <v>0</v>
      </c>
      <c r="L66" s="1342" t="str">
        <f t="shared" si="70"/>
        <v/>
      </c>
      <c r="M66" s="1342" t="str">
        <f t="shared" si="71"/>
        <v/>
      </c>
      <c r="N66" s="1342" t="str">
        <f t="shared" si="72"/>
        <v/>
      </c>
      <c r="O66" s="1357"/>
      <c r="P66" s="1357" t="s">
        <v>2103</v>
      </c>
      <c r="Q66" s="1357"/>
      <c r="R66" s="1357"/>
      <c r="S66" s="1357"/>
      <c r="T66" s="1336"/>
      <c r="U66" s="1336" t="s">
        <v>2188</v>
      </c>
      <c r="V66" s="1336"/>
      <c r="W66" s="1336"/>
      <c r="X66" s="1336"/>
      <c r="Y66" s="1343"/>
      <c r="Z66" s="1321"/>
      <c r="AA66" s="1328"/>
      <c r="AB66" s="1321"/>
      <c r="AC66" s="1321"/>
      <c r="AD66" s="1321"/>
    </row>
    <row r="67" ht="27" customHeight="1">
      <c r="A67" s="1338"/>
      <c r="B67" s="1344">
        <v>50</v>
      </c>
      <c r="C67" s="1336"/>
      <c r="D67" s="1354"/>
      <c r="E67" s="1336"/>
      <c r="F67" s="1336"/>
      <c r="G67" s="1336"/>
      <c r="H67" s="1359"/>
      <c r="I67" s="1356">
        <f t="shared" si="67"/>
        <v>0</v>
      </c>
      <c r="J67" s="1356">
        <f t="shared" si="68"/>
        <v>0</v>
      </c>
      <c r="K67" s="1356">
        <f t="shared" si="69"/>
        <v>0</v>
      </c>
      <c r="L67" s="1342" t="str">
        <f t="shared" si="70"/>
        <v/>
      </c>
      <c r="M67" s="1342" t="str">
        <f t="shared" si="71"/>
        <v/>
      </c>
      <c r="N67" s="1342" t="str">
        <f t="shared" si="72"/>
        <v/>
      </c>
      <c r="O67" s="1357"/>
      <c r="P67" s="1357" t="s">
        <v>2189</v>
      </c>
      <c r="Q67" s="1357"/>
      <c r="R67" s="1357"/>
      <c r="S67" s="1357"/>
      <c r="T67" s="1336"/>
      <c r="U67" s="1336" t="s">
        <v>2190</v>
      </c>
      <c r="V67" s="1336"/>
      <c r="W67" s="1336"/>
      <c r="X67" s="1336"/>
      <c r="Y67" s="1343"/>
      <c r="Z67" s="1321"/>
      <c r="AA67" s="1328"/>
      <c r="AB67" s="1321"/>
      <c r="AC67" s="1321"/>
      <c r="AD67" s="1321"/>
    </row>
    <row r="68" ht="27" customHeight="1">
      <c r="A68" s="1338"/>
      <c r="B68" s="1344">
        <v>51</v>
      </c>
      <c r="C68" s="1336"/>
      <c r="D68" s="1354"/>
      <c r="E68" s="1336"/>
      <c r="F68" s="1336"/>
      <c r="G68" s="1336"/>
      <c r="H68" s="1359"/>
      <c r="I68" s="1356">
        <f t="shared" si="67"/>
        <v>0</v>
      </c>
      <c r="J68" s="1356">
        <f t="shared" si="68"/>
        <v>0</v>
      </c>
      <c r="K68" s="1356">
        <f t="shared" si="69"/>
        <v>0</v>
      </c>
      <c r="L68" s="1342" t="str">
        <f t="shared" si="70"/>
        <v/>
      </c>
      <c r="M68" s="1342" t="str">
        <f t="shared" si="71"/>
        <v/>
      </c>
      <c r="N68" s="1342" t="str">
        <f t="shared" si="72"/>
        <v/>
      </c>
      <c r="O68" s="1357"/>
      <c r="P68" s="1357" t="s">
        <v>2191</v>
      </c>
      <c r="Q68" s="1357"/>
      <c r="R68" s="1357"/>
      <c r="S68" s="1357"/>
      <c r="T68" s="1336"/>
      <c r="U68" s="1336" t="s">
        <v>2192</v>
      </c>
      <c r="V68" s="1336"/>
      <c r="W68" s="1336"/>
      <c r="X68" s="1336"/>
      <c r="Y68" s="1343"/>
      <c r="Z68" s="1321"/>
      <c r="AA68" s="1328"/>
      <c r="AB68" s="1321"/>
      <c r="AC68" s="1321"/>
      <c r="AD68" s="1321"/>
    </row>
    <row r="69" ht="9" customHeight="1">
      <c r="A69" s="1338"/>
      <c r="B69" s="1344">
        <v>52</v>
      </c>
      <c r="C69" s="1336"/>
      <c r="D69" s="1354" t="s">
        <v>2193</v>
      </c>
      <c r="E69" s="1336"/>
      <c r="F69" s="1336"/>
      <c r="G69" s="1336"/>
      <c r="H69" s="1359"/>
      <c r="I69" s="1356">
        <f t="shared" si="67"/>
        <v>0</v>
      </c>
      <c r="J69" s="1356">
        <f t="shared" si="68"/>
        <v>0</v>
      </c>
      <c r="K69" s="1356">
        <f t="shared" si="69"/>
        <v>0</v>
      </c>
      <c r="L69" s="1342" t="str">
        <f t="shared" si="70"/>
        <v/>
      </c>
      <c r="M69" s="1342" t="str">
        <f t="shared" si="71"/>
        <v/>
      </c>
      <c r="N69" s="1342" t="str">
        <f t="shared" si="72"/>
        <v/>
      </c>
      <c r="O69" s="1357"/>
      <c r="P69" s="1357" t="s">
        <v>146</v>
      </c>
      <c r="Q69" s="1357"/>
      <c r="R69" s="1357"/>
      <c r="S69" s="1357"/>
      <c r="T69" s="1336"/>
      <c r="U69" s="1336" t="s">
        <v>2194</v>
      </c>
      <c r="V69" s="1336"/>
      <c r="W69" s="1336"/>
      <c r="X69" s="1336"/>
      <c r="Y69" s="1343"/>
      <c r="Z69" s="1321"/>
      <c r="AA69" s="1328"/>
      <c r="AB69" s="1321"/>
      <c r="AC69" s="1321"/>
      <c r="AD69" s="1321"/>
    </row>
    <row r="70" ht="27" customHeight="1">
      <c r="A70" s="1338"/>
      <c r="B70" s="1344">
        <v>53</v>
      </c>
      <c r="C70" s="1336"/>
      <c r="D70" s="1354"/>
      <c r="E70" s="1336" t="s">
        <v>2178</v>
      </c>
      <c r="F70" s="1336"/>
      <c r="G70" s="1336"/>
      <c r="H70" s="1359"/>
      <c r="I70" s="1356" t="str">
        <f t="shared" si="67"/>
        <v>7</v>
      </c>
      <c r="J70" s="1356" t="str">
        <f t="shared" si="68"/>
        <v xml:space="preserve">Объём приобретаемой холодной воды, используемой для горячего водоснабжения</v>
      </c>
      <c r="K70" s="1356">
        <f t="shared" si="69"/>
        <v>0</v>
      </c>
      <c r="L70" s="1342" t="str">
        <f t="shared" si="70"/>
        <v>7</v>
      </c>
      <c r="M70" s="1342" t="str">
        <f t="shared" si="71"/>
        <v xml:space="preserve">Объём приобретаемой холодной воды, используемой для горячего водоснабжения</v>
      </c>
      <c r="N70" s="1342" t="str">
        <f t="shared" si="72"/>
        <v/>
      </c>
      <c r="O70" s="1357"/>
      <c r="P70" s="1357"/>
      <c r="Q70" s="1357" t="s">
        <v>92</v>
      </c>
      <c r="R70" s="1357"/>
      <c r="S70" s="1357"/>
      <c r="T70" s="1336"/>
      <c r="U70" s="1336"/>
      <c r="V70" s="1336" t="s">
        <v>2195</v>
      </c>
      <c r="W70" s="1336"/>
      <c r="X70" s="1336"/>
      <c r="Y70" s="1343"/>
      <c r="Z70" s="1321"/>
      <c r="AA70" s="1328"/>
      <c r="AB70" s="1321"/>
      <c r="AC70" s="1321"/>
      <c r="AD70" s="1321"/>
    </row>
    <row r="71" ht="36" customHeight="1">
      <c r="A71" s="1338"/>
      <c r="B71" s="1344">
        <v>54</v>
      </c>
      <c r="C71" s="1336"/>
      <c r="D71" s="1354"/>
      <c r="E71" s="1336" t="s">
        <v>2180</v>
      </c>
      <c r="F71" s="1336"/>
      <c r="G71" s="1336"/>
      <c r="H71" s="1359"/>
      <c r="I71" s="1356" t="str">
        <f t="shared" si="67"/>
        <v>8</v>
      </c>
      <c r="J71" s="1356" t="str">
        <f t="shared" si="68"/>
        <v xml:space="preserve">Объём холодной воды, получаемой с применением собственных источников водозабора (скважин) и используемой для горячего водоснабжения</v>
      </c>
      <c r="K71" s="1356">
        <f t="shared" si="69"/>
        <v>0</v>
      </c>
      <c r="L71" s="1342" t="str">
        <f t="shared" si="70"/>
        <v>8</v>
      </c>
      <c r="M71" s="1342" t="str">
        <f t="shared" si="71"/>
        <v xml:space="preserve">Объём холодной воды, получаемой с применением собственных источников водозабора (скважин) и используемой для горячего водоснабжения</v>
      </c>
      <c r="N71" s="1342" t="str">
        <f t="shared" si="72"/>
        <v/>
      </c>
      <c r="O71" s="1357"/>
      <c r="P71" s="1357"/>
      <c r="Q71" s="1357" t="s">
        <v>108</v>
      </c>
      <c r="R71" s="1357"/>
      <c r="S71" s="1357"/>
      <c r="T71" s="1336"/>
      <c r="U71" s="1336"/>
      <c r="V71" s="1336" t="s">
        <v>2196</v>
      </c>
      <c r="W71" s="1336"/>
      <c r="X71" s="1336"/>
      <c r="Y71" s="1343"/>
      <c r="Z71" s="1321"/>
      <c r="AA71" s="1328"/>
      <c r="AB71" s="1321"/>
      <c r="AC71" s="1321"/>
      <c r="AD71" s="1321"/>
    </row>
    <row r="72" ht="27" customHeight="1">
      <c r="A72" s="1338"/>
      <c r="B72" s="1344">
        <v>55</v>
      </c>
      <c r="C72" s="1336"/>
      <c r="D72" s="1354"/>
      <c r="E72" s="1336" t="s">
        <v>2182</v>
      </c>
      <c r="F72" s="1336"/>
      <c r="G72" s="1336"/>
      <c r="H72" s="1359"/>
      <c r="I72" s="1356" t="str">
        <f t="shared" si="67"/>
        <v>9</v>
      </c>
      <c r="J72" s="1356" t="str">
        <f t="shared" si="68"/>
        <v xml:space="preserve">Объём приобретаемой тепловой энергии (мощности), используемой для горячего водоснабжения</v>
      </c>
      <c r="K72" s="1356">
        <f t="shared" si="69"/>
        <v>0</v>
      </c>
      <c r="L72" s="1342" t="str">
        <f t="shared" si="70"/>
        <v>9</v>
      </c>
      <c r="M72" s="1342" t="str">
        <f t="shared" si="71"/>
        <v xml:space="preserve">Объём приобретаемой тепловой энергии (мощности), используемой для горячего водоснабжения</v>
      </c>
      <c r="N72" s="1342" t="str">
        <f t="shared" si="72"/>
        <v/>
      </c>
      <c r="O72" s="1357"/>
      <c r="P72" s="1357"/>
      <c r="Q72" s="1357" t="s">
        <v>144</v>
      </c>
      <c r="R72" s="1357"/>
      <c r="S72" s="1357"/>
      <c r="T72" s="1336"/>
      <c r="U72" s="1336"/>
      <c r="V72" s="1336" t="s">
        <v>2197</v>
      </c>
      <c r="W72" s="1336"/>
      <c r="X72" s="1336"/>
      <c r="Y72" s="1343"/>
      <c r="Z72" s="1321"/>
      <c r="AA72" s="1328"/>
      <c r="AB72" s="1321"/>
      <c r="AC72" s="1321"/>
      <c r="AD72" s="1321"/>
    </row>
    <row r="73" ht="36" customHeight="1">
      <c r="A73" s="1338"/>
      <c r="B73" s="1344">
        <v>56</v>
      </c>
      <c r="C73" s="1336"/>
      <c r="D73" s="1354"/>
      <c r="E73" s="1336" t="s">
        <v>2184</v>
      </c>
      <c r="F73" s="1336"/>
      <c r="G73" s="1336"/>
      <c r="H73" s="1359"/>
      <c r="I73" s="1356" t="str">
        <f t="shared" si="67"/>
        <v>10</v>
      </c>
      <c r="J73" s="1356" t="str">
        <f t="shared" si="68"/>
        <v xml:space="preserve">Объём тепловой энергии, производимой с применением собственных источников и используемой для горячего водоснабжения</v>
      </c>
      <c r="K73" s="1356">
        <f t="shared" si="69"/>
        <v>0</v>
      </c>
      <c r="L73" s="1342" t="str">
        <f t="shared" si="70"/>
        <v>10</v>
      </c>
      <c r="M73" s="1342" t="str">
        <f t="shared" si="71"/>
        <v xml:space="preserve">Объём тепловой энергии, производимой с применением собственных источников и используемой для горячего водоснабжения</v>
      </c>
      <c r="N73" s="1342" t="str">
        <f t="shared" si="72"/>
        <v/>
      </c>
      <c r="O73" s="1357"/>
      <c r="P73" s="1357"/>
      <c r="Q73" s="1357" t="s">
        <v>145</v>
      </c>
      <c r="R73" s="1357"/>
      <c r="S73" s="1357"/>
      <c r="T73" s="1336"/>
      <c r="U73" s="1336"/>
      <c r="V73" s="1336" t="s">
        <v>2198</v>
      </c>
      <c r="W73" s="1336"/>
      <c r="X73" s="1336"/>
      <c r="Y73" s="1343"/>
      <c r="Z73" s="1321"/>
      <c r="AA73" s="1328"/>
      <c r="AB73" s="1321"/>
      <c r="AC73" s="1321"/>
      <c r="AD73" s="1321"/>
    </row>
    <row r="74" ht="18" customHeight="1">
      <c r="A74" s="1338"/>
      <c r="B74" s="1344">
        <v>57</v>
      </c>
      <c r="C74" s="1336"/>
      <c r="D74" s="1354"/>
      <c r="E74" s="1336" t="s">
        <v>2193</v>
      </c>
      <c r="F74" s="1336"/>
      <c r="G74" s="1336"/>
      <c r="H74" s="1359"/>
      <c r="I74" s="1356" t="str">
        <f t="shared" si="67"/>
        <v>11</v>
      </c>
      <c r="J74" s="1356" t="str">
        <f t="shared" si="68"/>
        <v xml:space="preserve">Потери горячей воды в сетях (процентов)</v>
      </c>
      <c r="K74" s="1356">
        <f t="shared" si="69"/>
        <v>0</v>
      </c>
      <c r="L74" s="1342" t="str">
        <f t="shared" si="70"/>
        <v>11</v>
      </c>
      <c r="M74" s="1342" t="str">
        <f t="shared" si="71"/>
        <v xml:space="preserve">Потери горячей воды в сетях (процентов)</v>
      </c>
      <c r="N74" s="1342" t="str">
        <f t="shared" si="72"/>
        <v/>
      </c>
      <c r="O74" s="1357"/>
      <c r="P74" s="1357"/>
      <c r="Q74" s="1357" t="s">
        <v>146</v>
      </c>
      <c r="R74" s="1357"/>
      <c r="S74" s="1357"/>
      <c r="T74" s="1336"/>
      <c r="U74" s="1336"/>
      <c r="V74" s="1336" t="s">
        <v>2199</v>
      </c>
      <c r="W74" s="1336"/>
      <c r="X74" s="1336"/>
      <c r="Y74" s="1343"/>
      <c r="Z74" s="1321"/>
      <c r="AA74" s="1328"/>
      <c r="AB74" s="1321"/>
      <c r="AC74" s="1321"/>
      <c r="AD74" s="1321"/>
    </row>
    <row r="75" ht="18" customHeight="1">
      <c r="A75" s="1338"/>
      <c r="B75" s="1344">
        <v>58</v>
      </c>
      <c r="C75" s="1336"/>
      <c r="D75" s="1354"/>
      <c r="E75" s="1336"/>
      <c r="F75" s="1336" t="s">
        <v>2178</v>
      </c>
      <c r="G75" s="1336"/>
      <c r="H75" s="1359"/>
      <c r="I75" s="1356">
        <f t="shared" si="67"/>
        <v>0</v>
      </c>
      <c r="J75" s="1356">
        <f t="shared" si="68"/>
        <v>0</v>
      </c>
      <c r="K75" s="1356">
        <f t="shared" si="69"/>
        <v>0</v>
      </c>
      <c r="L75" s="1342" t="str">
        <f t="shared" si="70"/>
        <v/>
      </c>
      <c r="M75" s="1342" t="str">
        <f t="shared" si="71"/>
        <v/>
      </c>
      <c r="N75" s="1342" t="str">
        <f t="shared" si="72"/>
        <v/>
      </c>
      <c r="O75" s="1357"/>
      <c r="P75" s="1357"/>
      <c r="Q75" s="1357"/>
      <c r="R75" s="1357" t="s">
        <v>92</v>
      </c>
      <c r="S75" s="1357"/>
      <c r="T75" s="1336"/>
      <c r="U75" s="1336"/>
      <c r="V75" s="1336"/>
      <c r="W75" s="1336" t="s">
        <v>2200</v>
      </c>
      <c r="X75" s="1336"/>
      <c r="Y75" s="1343"/>
      <c r="Z75" s="1321"/>
      <c r="AA75" s="1328"/>
      <c r="AB75" s="1321"/>
      <c r="AC75" s="1321"/>
      <c r="AD75" s="1321"/>
    </row>
    <row r="76" ht="36" customHeight="1">
      <c r="A76" s="1338"/>
      <c r="B76" s="1344">
        <v>59</v>
      </c>
      <c r="C76" s="1336"/>
      <c r="D76" s="1354"/>
      <c r="E76" s="1336"/>
      <c r="F76" s="1336" t="s">
        <v>2180</v>
      </c>
      <c r="G76" s="1336"/>
      <c r="H76" s="1359"/>
      <c r="I76" s="1356">
        <f t="shared" si="67"/>
        <v>0</v>
      </c>
      <c r="J76" s="1356">
        <f t="shared" si="68"/>
        <v>0</v>
      </c>
      <c r="K76" s="1356">
        <f t="shared" si="69"/>
        <v>0</v>
      </c>
      <c r="L76" s="1342" t="str">
        <f t="shared" si="70"/>
        <v/>
      </c>
      <c r="M76" s="1342" t="str">
        <f t="shared" si="71"/>
        <v/>
      </c>
      <c r="N76" s="1342" t="str">
        <f t="shared" si="72"/>
        <v/>
      </c>
      <c r="O76" s="1357"/>
      <c r="P76" s="1357"/>
      <c r="Q76" s="1357"/>
      <c r="R76" s="1357" t="s">
        <v>108</v>
      </c>
      <c r="S76" s="1357"/>
      <c r="T76" s="1336"/>
      <c r="U76" s="1336"/>
      <c r="V76" s="1336"/>
      <c r="W76" s="1336" t="s">
        <v>2201</v>
      </c>
      <c r="X76" s="1336"/>
      <c r="Y76" s="1343"/>
      <c r="Z76" s="1321"/>
      <c r="AA76" s="1328"/>
      <c r="AB76" s="1321"/>
      <c r="AC76" s="1321"/>
      <c r="AD76" s="1321"/>
    </row>
    <row r="77" ht="18" customHeight="1">
      <c r="A77" s="1338"/>
      <c r="B77" s="1344">
        <v>60</v>
      </c>
      <c r="C77" s="1336"/>
      <c r="D77" s="1354"/>
      <c r="E77" s="1336"/>
      <c r="F77" s="1336" t="s">
        <v>2182</v>
      </c>
      <c r="G77" s="1336"/>
      <c r="H77" s="1359"/>
      <c r="I77" s="1356">
        <f t="shared" si="67"/>
        <v>0</v>
      </c>
      <c r="J77" s="1356">
        <f t="shared" si="68"/>
        <v>0</v>
      </c>
      <c r="K77" s="1356">
        <f t="shared" si="69"/>
        <v>0</v>
      </c>
      <c r="L77" s="1342" t="str">
        <f t="shared" si="70"/>
        <v/>
      </c>
      <c r="M77" s="1342" t="str">
        <f t="shared" si="71"/>
        <v/>
      </c>
      <c r="N77" s="1342" t="str">
        <f t="shared" si="72"/>
        <v/>
      </c>
      <c r="O77" s="1357"/>
      <c r="P77" s="1357"/>
      <c r="Q77" s="1357"/>
      <c r="R77" s="1357" t="s">
        <v>144</v>
      </c>
      <c r="S77" s="1357"/>
      <c r="T77" s="1336"/>
      <c r="U77" s="1336"/>
      <c r="V77" s="1336"/>
      <c r="W77" s="1336" t="s">
        <v>2202</v>
      </c>
      <c r="X77" s="1336"/>
      <c r="Y77" s="1343"/>
      <c r="Z77" s="1321"/>
      <c r="AA77" s="1328"/>
      <c r="AB77" s="1321"/>
      <c r="AC77" s="1321"/>
      <c r="AD77" s="1321"/>
    </row>
    <row r="78" ht="72" customHeight="1">
      <c r="A78" s="1338"/>
      <c r="B78" s="1344">
        <v>61</v>
      </c>
      <c r="C78" s="1336" t="s">
        <v>2178</v>
      </c>
      <c r="D78" s="1354"/>
      <c r="E78" s="1336"/>
      <c r="F78" s="1336"/>
      <c r="G78" s="1336"/>
      <c r="H78" s="1359"/>
      <c r="I78" s="1356">
        <f t="shared" si="67"/>
        <v>0</v>
      </c>
      <c r="J78" s="1356">
        <f t="shared" si="68"/>
        <v>0</v>
      </c>
      <c r="K78" s="1356">
        <f t="shared" si="69"/>
        <v>0</v>
      </c>
      <c r="L78" s="1342" t="str">
        <f t="shared" si="70"/>
        <v/>
      </c>
      <c r="M78" s="1342" t="str">
        <f t="shared" si="71"/>
        <v/>
      </c>
      <c r="N78" s="1342" t="str">
        <f t="shared" si="72"/>
        <v/>
      </c>
      <c r="O78" s="1357" t="s">
        <v>92</v>
      </c>
      <c r="P78" s="1357"/>
      <c r="Q78" s="1357"/>
      <c r="R78" s="1357"/>
      <c r="S78" s="1357"/>
      <c r="T78" s="1336" t="s">
        <v>628</v>
      </c>
      <c r="U78" s="1336"/>
      <c r="V78" s="1336"/>
      <c r="W78" s="1336"/>
      <c r="X78" s="1336"/>
      <c r="Y78" s="1343"/>
      <c r="Z78" s="1321" t="s">
        <v>2203</v>
      </c>
      <c r="AA78" s="1328"/>
      <c r="AB78" s="1321"/>
      <c r="AC78" s="1321"/>
      <c r="AD78" s="1321"/>
    </row>
    <row r="79" ht="36" customHeight="1">
      <c r="A79" s="1338"/>
      <c r="B79" s="1344">
        <v>62</v>
      </c>
      <c r="C79" s="1336" t="s">
        <v>2180</v>
      </c>
      <c r="D79" s="1354"/>
      <c r="E79" s="1336"/>
      <c r="F79" s="1336"/>
      <c r="G79" s="1336"/>
      <c r="H79" s="1359"/>
      <c r="I79" s="1356">
        <f t="shared" si="67"/>
        <v>0</v>
      </c>
      <c r="J79" s="1356">
        <f t="shared" si="68"/>
        <v>0</v>
      </c>
      <c r="K79" s="1356">
        <f t="shared" si="69"/>
        <v>0</v>
      </c>
      <c r="L79" s="1342" t="str">
        <f t="shared" si="70"/>
        <v/>
      </c>
      <c r="M79" s="1342" t="str">
        <f t="shared" si="71"/>
        <v/>
      </c>
      <c r="N79" s="1342" t="str">
        <f t="shared" si="72"/>
        <v/>
      </c>
      <c r="O79" s="1357" t="s">
        <v>108</v>
      </c>
      <c r="P79" s="1357"/>
      <c r="Q79" s="1357"/>
      <c r="R79" s="1357"/>
      <c r="S79" s="1357"/>
      <c r="T79" s="1336" t="s">
        <v>2204</v>
      </c>
      <c r="U79" s="1336"/>
      <c r="V79" s="1336"/>
      <c r="W79" s="1336"/>
      <c r="X79" s="1336"/>
      <c r="Y79" s="1343"/>
      <c r="Z79" s="1321" t="s">
        <v>2205</v>
      </c>
      <c r="AA79" s="1328"/>
      <c r="AB79" s="1321"/>
      <c r="AC79" s="1321"/>
      <c r="AD79" s="1321"/>
    </row>
    <row r="80" ht="45" customHeight="1">
      <c r="A80" s="1338"/>
      <c r="B80" s="1344">
        <v>63</v>
      </c>
      <c r="C80" s="1336" t="s">
        <v>2182</v>
      </c>
      <c r="D80" s="1354"/>
      <c r="E80" s="1336"/>
      <c r="F80" s="1336"/>
      <c r="G80" s="1336"/>
      <c r="H80" s="1359"/>
      <c r="I80" s="1356">
        <f t="shared" si="67"/>
        <v>0</v>
      </c>
      <c r="J80" s="1356">
        <f t="shared" si="68"/>
        <v>0</v>
      </c>
      <c r="K80" s="1356">
        <f t="shared" si="69"/>
        <v>0</v>
      </c>
      <c r="L80" s="1342" t="str">
        <f t="shared" si="70"/>
        <v/>
      </c>
      <c r="M80" s="1342" t="str">
        <f t="shared" si="71"/>
        <v/>
      </c>
      <c r="N80" s="1342" t="str">
        <f t="shared" si="72"/>
        <v/>
      </c>
      <c r="O80" s="1357" t="s">
        <v>144</v>
      </c>
      <c r="P80" s="1357"/>
      <c r="Q80" s="1357"/>
      <c r="R80" s="1357"/>
      <c r="S80" s="1357"/>
      <c r="T80" s="1336" t="s">
        <v>2206</v>
      </c>
      <c r="U80" s="1336"/>
      <c r="V80" s="1336"/>
      <c r="W80" s="1336"/>
      <c r="X80" s="1336"/>
      <c r="Y80" s="1343"/>
      <c r="Z80" s="1321" t="s">
        <v>2207</v>
      </c>
      <c r="AA80" s="1328"/>
      <c r="AB80" s="1321"/>
      <c r="AC80" s="1321"/>
      <c r="AD80" s="1321"/>
    </row>
    <row r="81" ht="36" customHeight="1">
      <c r="A81" s="1338"/>
      <c r="B81" s="1344">
        <v>64</v>
      </c>
      <c r="C81" s="1336" t="s">
        <v>2184</v>
      </c>
      <c r="D81" s="1354"/>
      <c r="E81" s="1336"/>
      <c r="F81" s="1336"/>
      <c r="G81" s="1336"/>
      <c r="H81" s="1359"/>
      <c r="I81" s="1356">
        <f t="shared" si="67"/>
        <v>0</v>
      </c>
      <c r="J81" s="1356">
        <f t="shared" si="68"/>
        <v>0</v>
      </c>
      <c r="K81" s="1356">
        <f t="shared" si="69"/>
        <v>0</v>
      </c>
      <c r="L81" s="1342" t="str">
        <f t="shared" si="70"/>
        <v/>
      </c>
      <c r="M81" s="1342" t="str">
        <f t="shared" si="71"/>
        <v/>
      </c>
      <c r="N81" s="1342" t="str">
        <f t="shared" si="72"/>
        <v/>
      </c>
      <c r="O81" s="1357" t="s">
        <v>2090</v>
      </c>
      <c r="P81" s="1357"/>
      <c r="Q81" s="1357"/>
      <c r="R81" s="1357"/>
      <c r="S81" s="1357"/>
      <c r="T81" s="1336" t="s">
        <v>2208</v>
      </c>
      <c r="U81" s="1336"/>
      <c r="V81" s="1336"/>
      <c r="W81" s="1336"/>
      <c r="X81" s="1336"/>
      <c r="Y81" s="1343"/>
      <c r="Z81" s="1321" t="s">
        <v>2209</v>
      </c>
      <c r="AA81" s="1328"/>
      <c r="AB81" s="1321"/>
      <c r="AC81" s="1321"/>
      <c r="AD81" s="1321"/>
    </row>
    <row r="82" ht="90" customHeight="1">
      <c r="A82" s="1338"/>
      <c r="B82" s="1344">
        <v>65</v>
      </c>
      <c r="C82" s="1336" t="s">
        <v>2193</v>
      </c>
      <c r="D82" s="1354"/>
      <c r="E82" s="1336"/>
      <c r="F82" s="1336"/>
      <c r="G82" s="1336"/>
      <c r="H82" s="1359"/>
      <c r="I82" s="1356">
        <f t="shared" ref="I82:I99" si="73">INDEX(TEMPLATE_NUMBER_POINT_FHD,B82,MATCH(TEMPLATE_SPHERE,TEMPLATE_SPHERE_LIST_FOR_NOTE,0))</f>
        <v>0</v>
      </c>
      <c r="J82" s="1356">
        <f t="shared" ref="J82:J99" si="74">INDEX(TEMPLATE_DATA_POINT_FHD,B82,MATCH(TEMPLATE_SPHERE,TEMPLATE_SPHERE_LIST_FOR_NOTE,0))</f>
        <v>0</v>
      </c>
      <c r="K82" s="1356">
        <f t="shared" ref="K82:K99" si="75">INDEX(TEMPLATE_NOTE_POINT_FHD,B82,MATCH(TEMPLATE_SPHERE,TEMPLATE_SPHERE_LIST_FOR_NOTE,0))</f>
        <v>0</v>
      </c>
      <c r="L82" s="1342" t="str">
        <f t="shared" ref="L82:L99" si="76">IF(I82=0,"",I82)</f>
        <v/>
      </c>
      <c r="M82" s="1342" t="str">
        <f t="shared" ref="M82:M99" si="77">IF(J82=0,"",J82)</f>
        <v/>
      </c>
      <c r="N82" s="1342" t="str">
        <f t="shared" ref="N82:N99" si="78">IF(K82=0,"",K82)</f>
        <v/>
      </c>
      <c r="O82" s="1357" t="s">
        <v>145</v>
      </c>
      <c r="P82" s="1357"/>
      <c r="Q82" s="1357"/>
      <c r="R82" s="1357"/>
      <c r="S82" s="1357"/>
      <c r="T82" s="1336" t="s">
        <v>2210</v>
      </c>
      <c r="U82" s="1336"/>
      <c r="V82" s="1336"/>
      <c r="W82" s="1336"/>
      <c r="X82" s="1336"/>
      <c r="Y82" s="1343"/>
      <c r="Z82" s="1321" t="s">
        <v>2211</v>
      </c>
      <c r="AA82" s="1328"/>
      <c r="AB82" s="1321"/>
      <c r="AC82" s="1321"/>
      <c r="AD82" s="1321"/>
    </row>
    <row r="83" ht="9" customHeight="1">
      <c r="A83" s="1338"/>
      <c r="B83" s="1344">
        <v>66</v>
      </c>
      <c r="C83" s="1336"/>
      <c r="D83" s="1354"/>
      <c r="E83" s="1336"/>
      <c r="F83" s="1336"/>
      <c r="G83" s="1336"/>
      <c r="H83" s="1359"/>
      <c r="I83" s="1356">
        <f t="shared" si="73"/>
        <v>0</v>
      </c>
      <c r="J83" s="1356">
        <f t="shared" si="74"/>
        <v>0</v>
      </c>
      <c r="K83" s="1356">
        <f t="shared" si="75"/>
        <v>0</v>
      </c>
      <c r="L83" s="1342" t="str">
        <f t="shared" si="76"/>
        <v/>
      </c>
      <c r="M83" s="1342" t="str">
        <f t="shared" si="77"/>
        <v/>
      </c>
      <c r="N83" s="1342" t="str">
        <f t="shared" si="78"/>
        <v/>
      </c>
      <c r="O83" s="1357" t="s">
        <v>2099</v>
      </c>
      <c r="P83" s="1357"/>
      <c r="Q83" s="1357"/>
      <c r="R83" s="1357"/>
      <c r="S83" s="1357"/>
      <c r="T83" s="1336" t="s">
        <v>2212</v>
      </c>
      <c r="U83" s="1336"/>
      <c r="V83" s="1336"/>
      <c r="W83" s="1336"/>
      <c r="X83" s="1336"/>
      <c r="Y83" s="1343"/>
      <c r="Z83" s="1321"/>
      <c r="AA83" s="1328"/>
      <c r="AB83" s="1321"/>
      <c r="AC83" s="1321"/>
      <c r="AD83" s="1321"/>
    </row>
    <row r="84" ht="54" customHeight="1">
      <c r="A84" s="1338"/>
      <c r="B84" s="1344">
        <v>67</v>
      </c>
      <c r="C84" s="1336"/>
      <c r="D84" s="1354"/>
      <c r="E84" s="1336"/>
      <c r="F84" s="1336"/>
      <c r="G84" s="1336"/>
      <c r="H84" s="1359"/>
      <c r="I84" s="1356">
        <f t="shared" si="73"/>
        <v>0</v>
      </c>
      <c r="J84" s="1356">
        <f t="shared" si="74"/>
        <v>0</v>
      </c>
      <c r="K84" s="1356">
        <f t="shared" si="75"/>
        <v>0</v>
      </c>
      <c r="L84" s="1342" t="str">
        <f t="shared" si="76"/>
        <v/>
      </c>
      <c r="M84" s="1342" t="str">
        <f t="shared" si="77"/>
        <v/>
      </c>
      <c r="N84" s="1342" t="str">
        <f t="shared" si="78"/>
        <v/>
      </c>
      <c r="O84" s="1357" t="s">
        <v>2213</v>
      </c>
      <c r="P84" s="1357"/>
      <c r="Q84" s="1357"/>
      <c r="R84" s="1357"/>
      <c r="S84" s="1357"/>
      <c r="T84" s="1336" t="s">
        <v>2214</v>
      </c>
      <c r="U84" s="1336"/>
      <c r="V84" s="1336"/>
      <c r="W84" s="1336"/>
      <c r="X84" s="1336"/>
      <c r="Y84" s="1343"/>
      <c r="Z84" s="1321"/>
      <c r="AA84" s="1328"/>
      <c r="AB84" s="1321"/>
      <c r="AC84" s="1321"/>
      <c r="AD84" s="1321"/>
    </row>
    <row r="85" ht="9" customHeight="1">
      <c r="A85" s="1338"/>
      <c r="B85" s="1344">
        <v>68</v>
      </c>
      <c r="C85" s="1336"/>
      <c r="D85" s="1354"/>
      <c r="E85" s="1336"/>
      <c r="F85" s="1336"/>
      <c r="G85" s="1336"/>
      <c r="H85" s="1359"/>
      <c r="I85" s="1356">
        <f t="shared" si="73"/>
        <v>0</v>
      </c>
      <c r="J85" s="1356">
        <f t="shared" si="74"/>
        <v>0</v>
      </c>
      <c r="K85" s="1356">
        <f t="shared" si="75"/>
        <v>0</v>
      </c>
      <c r="L85" s="1342" t="str">
        <f t="shared" si="76"/>
        <v/>
      </c>
      <c r="M85" s="1342" t="str">
        <f t="shared" si="77"/>
        <v/>
      </c>
      <c r="N85" s="1342" t="str">
        <f t="shared" si="78"/>
        <v/>
      </c>
      <c r="O85" s="1357" t="s">
        <v>2103</v>
      </c>
      <c r="P85" s="1357"/>
      <c r="Q85" s="1357"/>
      <c r="R85" s="1357"/>
      <c r="S85" s="1357"/>
      <c r="T85" s="1336" t="s">
        <v>2215</v>
      </c>
      <c r="U85" s="1336"/>
      <c r="V85" s="1336"/>
      <c r="W85" s="1336"/>
      <c r="X85" s="1336"/>
      <c r="Y85" s="1343"/>
      <c r="Z85" s="1321"/>
      <c r="AA85" s="1328"/>
      <c r="AB85" s="1321"/>
      <c r="AC85" s="1321"/>
      <c r="AD85" s="1321"/>
    </row>
    <row r="86" ht="27" customHeight="1">
      <c r="A86" s="1338"/>
      <c r="B86" s="1344">
        <v>69</v>
      </c>
      <c r="C86" s="1336"/>
      <c r="D86" s="1354"/>
      <c r="E86" s="1336"/>
      <c r="F86" s="1336"/>
      <c r="G86" s="1336"/>
      <c r="H86" s="1359"/>
      <c r="I86" s="1356">
        <f t="shared" si="73"/>
        <v>0</v>
      </c>
      <c r="J86" s="1356">
        <f t="shared" si="74"/>
        <v>0</v>
      </c>
      <c r="K86" s="1356">
        <f t="shared" si="75"/>
        <v>0</v>
      </c>
      <c r="L86" s="1342" t="str">
        <f t="shared" si="76"/>
        <v/>
      </c>
      <c r="M86" s="1342" t="str">
        <f t="shared" si="77"/>
        <v/>
      </c>
      <c r="N86" s="1342" t="str">
        <f t="shared" si="78"/>
        <v/>
      </c>
      <c r="O86" s="1357" t="s">
        <v>2216</v>
      </c>
      <c r="P86" s="1357"/>
      <c r="Q86" s="1357"/>
      <c r="R86" s="1357"/>
      <c r="S86" s="1357"/>
      <c r="T86" s="1336" t="s">
        <v>2217</v>
      </c>
      <c r="U86" s="1336"/>
      <c r="V86" s="1336"/>
      <c r="W86" s="1336"/>
      <c r="X86" s="1336"/>
      <c r="Y86" s="1343"/>
      <c r="Z86" s="1321"/>
      <c r="AA86" s="1328"/>
      <c r="AB86" s="1321"/>
      <c r="AC86" s="1321"/>
      <c r="AD86" s="1321"/>
    </row>
    <row r="87" ht="36" customHeight="1">
      <c r="A87" s="1338"/>
      <c r="B87" s="1344">
        <v>70</v>
      </c>
      <c r="C87" s="1336" t="s">
        <v>2218</v>
      </c>
      <c r="D87" s="1354"/>
      <c r="E87" s="1336"/>
      <c r="F87" s="1336"/>
      <c r="G87" s="1336"/>
      <c r="H87" s="1359"/>
      <c r="I87" s="1356">
        <f t="shared" si="73"/>
        <v>0</v>
      </c>
      <c r="J87" s="1356">
        <f t="shared" si="74"/>
        <v>0</v>
      </c>
      <c r="K87" s="1356">
        <f t="shared" si="75"/>
        <v>0</v>
      </c>
      <c r="L87" s="1342" t="str">
        <f t="shared" si="76"/>
        <v/>
      </c>
      <c r="M87" s="1342" t="str">
        <f t="shared" si="77"/>
        <v/>
      </c>
      <c r="N87" s="1342" t="str">
        <f t="shared" si="78"/>
        <v/>
      </c>
      <c r="O87" s="1357" t="s">
        <v>146</v>
      </c>
      <c r="P87" s="1357"/>
      <c r="Q87" s="1357"/>
      <c r="R87" s="1357"/>
      <c r="S87" s="1357"/>
      <c r="T87" s="1336" t="s">
        <v>2219</v>
      </c>
      <c r="U87" s="1336"/>
      <c r="V87" s="1336"/>
      <c r="W87" s="1336"/>
      <c r="X87" s="1336"/>
      <c r="Y87" s="1343"/>
      <c r="Z87" s="1321"/>
      <c r="AA87" s="1328"/>
      <c r="AB87" s="1321"/>
      <c r="AC87" s="1321"/>
      <c r="AD87" s="1321"/>
    </row>
    <row r="88" ht="18" customHeight="1">
      <c r="A88" s="1338"/>
      <c r="B88" s="1344">
        <v>71</v>
      </c>
      <c r="C88" s="1336" t="s">
        <v>2220</v>
      </c>
      <c r="D88" s="1354"/>
      <c r="E88" s="1336"/>
      <c r="F88" s="1336"/>
      <c r="G88" s="1336"/>
      <c r="H88" s="1359"/>
      <c r="I88" s="1356">
        <f t="shared" si="73"/>
        <v>0</v>
      </c>
      <c r="J88" s="1356">
        <f t="shared" si="74"/>
        <v>0</v>
      </c>
      <c r="K88" s="1356">
        <f t="shared" si="75"/>
        <v>0</v>
      </c>
      <c r="L88" s="1342" t="str">
        <f t="shared" si="76"/>
        <v/>
      </c>
      <c r="M88" s="1342" t="str">
        <f t="shared" si="77"/>
        <v/>
      </c>
      <c r="N88" s="1342" t="str">
        <f t="shared" si="78"/>
        <v/>
      </c>
      <c r="O88" s="1357" t="s">
        <v>147</v>
      </c>
      <c r="P88" s="1357"/>
      <c r="Q88" s="1357"/>
      <c r="R88" s="1357"/>
      <c r="S88" s="1357"/>
      <c r="T88" s="1336" t="s">
        <v>660</v>
      </c>
      <c r="U88" s="1336"/>
      <c r="V88" s="1336"/>
      <c r="W88" s="1336"/>
      <c r="X88" s="1336"/>
      <c r="Y88" s="1343"/>
      <c r="Z88" s="1321"/>
      <c r="AA88" s="1328"/>
      <c r="AB88" s="1321"/>
      <c r="AC88" s="1321"/>
      <c r="AD88" s="1321"/>
    </row>
    <row r="89" ht="18" customHeight="1">
      <c r="A89" s="1338"/>
      <c r="B89" s="1344">
        <v>72</v>
      </c>
      <c r="C89" s="1336" t="s">
        <v>2221</v>
      </c>
      <c r="D89" s="1354" t="s">
        <v>2218</v>
      </c>
      <c r="E89" s="1336" t="s">
        <v>2218</v>
      </c>
      <c r="F89" s="1336" t="s">
        <v>2184</v>
      </c>
      <c r="G89" s="1336"/>
      <c r="H89" s="1359"/>
      <c r="I89" s="1356" t="str">
        <f t="shared" si="73"/>
        <v>12</v>
      </c>
      <c r="J89" s="1356" t="str">
        <f t="shared" si="74"/>
        <v xml:space="preserve">Среднесписочная численность основного производственного персонала</v>
      </c>
      <c r="K89" s="1356">
        <f t="shared" si="75"/>
        <v>0</v>
      </c>
      <c r="L89" s="1342" t="str">
        <f t="shared" si="76"/>
        <v>12</v>
      </c>
      <c r="M89" s="1342" t="str">
        <f t="shared" si="77"/>
        <v xml:space="preserve">Среднесписочная численность основного производственного персонала</v>
      </c>
      <c r="N89" s="1342" t="str">
        <f t="shared" si="78"/>
        <v/>
      </c>
      <c r="O89" s="1357" t="s">
        <v>148</v>
      </c>
      <c r="P89" s="1357" t="s">
        <v>147</v>
      </c>
      <c r="Q89" s="1357" t="s">
        <v>147</v>
      </c>
      <c r="R89" s="1357" t="s">
        <v>145</v>
      </c>
      <c r="S89" s="1357"/>
      <c r="T89" s="1336" t="s">
        <v>668</v>
      </c>
      <c r="U89" s="1336" t="s">
        <v>668</v>
      </c>
      <c r="V89" s="1336" t="s">
        <v>668</v>
      </c>
      <c r="W89" s="1336" t="s">
        <v>668</v>
      </c>
      <c r="X89" s="1336"/>
      <c r="Y89" s="1343"/>
      <c r="Z89" s="1321"/>
      <c r="AA89" s="1328"/>
      <c r="AB89" s="1321"/>
      <c r="AC89" s="1321"/>
      <c r="AD89" s="1321"/>
    </row>
    <row r="90" ht="27" customHeight="1">
      <c r="A90" s="1338"/>
      <c r="B90" s="1344">
        <v>73</v>
      </c>
      <c r="C90" s="1336" t="s">
        <v>2222</v>
      </c>
      <c r="D90" s="1354"/>
      <c r="E90" s="1336"/>
      <c r="F90" s="1336"/>
      <c r="G90" s="1336"/>
      <c r="H90" s="1359"/>
      <c r="I90" s="1356">
        <f t="shared" si="73"/>
        <v>0</v>
      </c>
      <c r="J90" s="1356">
        <f t="shared" si="74"/>
        <v>0</v>
      </c>
      <c r="K90" s="1356">
        <f t="shared" si="75"/>
        <v>0</v>
      </c>
      <c r="L90" s="1342" t="str">
        <f t="shared" si="76"/>
        <v/>
      </c>
      <c r="M90" s="1342" t="str">
        <f t="shared" si="77"/>
        <v/>
      </c>
      <c r="N90" s="1342" t="str">
        <f t="shared" si="78"/>
        <v/>
      </c>
      <c r="O90" s="1357" t="s">
        <v>149</v>
      </c>
      <c r="P90" s="1357"/>
      <c r="Q90" s="1357"/>
      <c r="R90" s="1357"/>
      <c r="S90" s="1357"/>
      <c r="T90" s="1336" t="s">
        <v>670</v>
      </c>
      <c r="U90" s="1336"/>
      <c r="V90" s="1336"/>
      <c r="W90" s="1336"/>
      <c r="X90" s="1336"/>
      <c r="Y90" s="1343"/>
      <c r="Z90" s="1321"/>
      <c r="AA90" s="1328"/>
      <c r="AB90" s="1321"/>
      <c r="AC90" s="1321"/>
      <c r="AD90" s="1321"/>
    </row>
    <row r="91" ht="18" customHeight="1">
      <c r="A91" s="1338"/>
      <c r="B91" s="1344">
        <v>74</v>
      </c>
      <c r="C91" s="1336"/>
      <c r="D91" s="1354" t="s">
        <v>2220</v>
      </c>
      <c r="E91" s="1336" t="s">
        <v>2220</v>
      </c>
      <c r="F91" s="1336"/>
      <c r="G91" s="1336"/>
      <c r="H91" s="1359"/>
      <c r="I91" s="1356" t="str">
        <f t="shared" si="73"/>
        <v>13</v>
      </c>
      <c r="J91" s="1356" t="str">
        <f t="shared" si="74"/>
        <v xml:space="preserve">Удельный расход электрической энергии на подачу воды в сеть</v>
      </c>
      <c r="K91" s="1356">
        <f t="shared" si="75"/>
        <v>0</v>
      </c>
      <c r="L91" s="1342" t="str">
        <f t="shared" si="76"/>
        <v>13</v>
      </c>
      <c r="M91" s="1342" t="str">
        <f t="shared" si="77"/>
        <v xml:space="preserve">Удельный расход электрической энергии на подачу воды в сеть</v>
      </c>
      <c r="N91" s="1342" t="str">
        <f t="shared" si="78"/>
        <v/>
      </c>
      <c r="O91" s="1357"/>
      <c r="P91" s="1357" t="s">
        <v>148</v>
      </c>
      <c r="Q91" s="1357" t="s">
        <v>148</v>
      </c>
      <c r="R91" s="1357"/>
      <c r="S91" s="1357"/>
      <c r="T91" s="1336"/>
      <c r="U91" s="1336" t="s">
        <v>2223</v>
      </c>
      <c r="V91" s="1336" t="s">
        <v>2223</v>
      </c>
      <c r="W91" s="1336"/>
      <c r="X91" s="1336"/>
      <c r="Y91" s="1343"/>
      <c r="Z91" s="1321"/>
      <c r="AA91" s="1328"/>
      <c r="AB91" s="1321"/>
      <c r="AC91" s="1321"/>
      <c r="AD91" s="1321"/>
    </row>
    <row r="92" ht="27" customHeight="1">
      <c r="A92" s="1338"/>
      <c r="B92" s="1344">
        <v>75</v>
      </c>
      <c r="C92" s="1336"/>
      <c r="D92" s="1354" t="s">
        <v>2221</v>
      </c>
      <c r="E92" s="1336"/>
      <c r="F92" s="1336"/>
      <c r="G92" s="1336"/>
      <c r="H92" s="1359"/>
      <c r="I92" s="1356">
        <f t="shared" si="73"/>
        <v>0</v>
      </c>
      <c r="J92" s="1356">
        <f t="shared" si="74"/>
        <v>0</v>
      </c>
      <c r="K92" s="1356">
        <f t="shared" si="75"/>
        <v>0</v>
      </c>
      <c r="L92" s="1342" t="str">
        <f t="shared" si="76"/>
        <v/>
      </c>
      <c r="M92" s="1342" t="str">
        <f t="shared" si="77"/>
        <v/>
      </c>
      <c r="N92" s="1342" t="str">
        <f t="shared" si="78"/>
        <v/>
      </c>
      <c r="O92" s="1357"/>
      <c r="P92" s="1357" t="s">
        <v>149</v>
      </c>
      <c r="Q92" s="1357"/>
      <c r="R92" s="1357"/>
      <c r="S92" s="1357"/>
      <c r="T92" s="1336"/>
      <c r="U92" s="1336" t="s">
        <v>2224</v>
      </c>
      <c r="V92" s="1336"/>
      <c r="W92" s="1336"/>
      <c r="X92" s="1336"/>
      <c r="Y92" s="1343"/>
      <c r="Z92" s="1321"/>
      <c r="AA92" s="1328" t="s">
        <v>2225</v>
      </c>
      <c r="AB92" s="1321"/>
      <c r="AC92" s="1321"/>
      <c r="AD92" s="1321"/>
    </row>
    <row r="93" ht="27" customHeight="1">
      <c r="A93" s="1338"/>
      <c r="B93" s="1344">
        <v>76</v>
      </c>
      <c r="C93" s="1336"/>
      <c r="D93" s="1354"/>
      <c r="E93" s="1336"/>
      <c r="F93" s="1336"/>
      <c r="G93" s="1336"/>
      <c r="H93" s="1359"/>
      <c r="I93" s="1356">
        <f t="shared" si="73"/>
        <v>0</v>
      </c>
      <c r="J93" s="1356">
        <f t="shared" si="74"/>
        <v>0</v>
      </c>
      <c r="K93" s="1356">
        <f t="shared" si="75"/>
        <v>0</v>
      </c>
      <c r="L93" s="1342" t="str">
        <f t="shared" si="76"/>
        <v/>
      </c>
      <c r="M93" s="1342" t="str">
        <f t="shared" si="77"/>
        <v/>
      </c>
      <c r="N93" s="1342" t="str">
        <f t="shared" si="78"/>
        <v/>
      </c>
      <c r="O93" s="1357"/>
      <c r="P93" s="1357" t="s">
        <v>2131</v>
      </c>
      <c r="Q93" s="1357"/>
      <c r="R93" s="1357"/>
      <c r="S93" s="1357"/>
      <c r="T93" s="1336"/>
      <c r="U93" s="1336" t="s">
        <v>2226</v>
      </c>
      <c r="V93" s="1336"/>
      <c r="W93" s="1336"/>
      <c r="X93" s="1336"/>
      <c r="Y93" s="1343"/>
      <c r="Z93" s="1321"/>
      <c r="AA93" s="1328" t="s">
        <v>2227</v>
      </c>
      <c r="AB93" s="1321"/>
      <c r="AC93" s="1321"/>
      <c r="AD93" s="1321"/>
    </row>
    <row r="94" ht="45" customHeight="1">
      <c r="A94" s="1338"/>
      <c r="B94" s="1344">
        <v>77</v>
      </c>
      <c r="C94" s="1336"/>
      <c r="D94" s="1354" t="s">
        <v>2222</v>
      </c>
      <c r="E94" s="1336"/>
      <c r="F94" s="1336"/>
      <c r="G94" s="1336"/>
      <c r="H94" s="1359"/>
      <c r="I94" s="1356">
        <f t="shared" si="73"/>
        <v>0</v>
      </c>
      <c r="J94" s="1356">
        <f t="shared" si="74"/>
        <v>0</v>
      </c>
      <c r="K94" s="1356">
        <f t="shared" si="75"/>
        <v>0</v>
      </c>
      <c r="L94" s="1342" t="str">
        <f t="shared" si="76"/>
        <v/>
      </c>
      <c r="M94" s="1342" t="str">
        <f t="shared" si="77"/>
        <v/>
      </c>
      <c r="N94" s="1342" t="str">
        <f t="shared" si="78"/>
        <v/>
      </c>
      <c r="O94" s="1357"/>
      <c r="P94" s="1357" t="s">
        <v>1488</v>
      </c>
      <c r="Q94" s="1357"/>
      <c r="R94" s="1357"/>
      <c r="S94" s="1357"/>
      <c r="T94" s="1336"/>
      <c r="U94" s="1336" t="s">
        <v>2228</v>
      </c>
      <c r="V94" s="1336"/>
      <c r="W94" s="1336"/>
      <c r="X94" s="1336"/>
      <c r="Y94" s="1343"/>
      <c r="Z94" s="1321"/>
      <c r="AA94" s="1328" t="s">
        <v>2229</v>
      </c>
      <c r="AB94" s="1321"/>
      <c r="AC94" s="1321"/>
      <c r="AD94" s="1321"/>
    </row>
    <row r="95" ht="99" customHeight="1">
      <c r="A95" s="1338"/>
      <c r="B95" s="1344">
        <v>78</v>
      </c>
      <c r="C95" s="1336" t="s">
        <v>2230</v>
      </c>
      <c r="D95" s="1354"/>
      <c r="E95" s="1336"/>
      <c r="F95" s="1336"/>
      <c r="G95" s="1336"/>
      <c r="H95" s="1359"/>
      <c r="I95" s="1356">
        <f t="shared" si="73"/>
        <v>0</v>
      </c>
      <c r="J95" s="1356">
        <f t="shared" si="74"/>
        <v>0</v>
      </c>
      <c r="K95" s="1356">
        <f t="shared" si="75"/>
        <v>0</v>
      </c>
      <c r="L95" s="1342" t="str">
        <f t="shared" si="76"/>
        <v/>
      </c>
      <c r="M95" s="1342" t="str">
        <f t="shared" si="77"/>
        <v/>
      </c>
      <c r="N95" s="1342" t="str">
        <f t="shared" si="78"/>
        <v/>
      </c>
      <c r="O95" s="1357" t="s">
        <v>1488</v>
      </c>
      <c r="P95" s="1357"/>
      <c r="Q95" s="1357"/>
      <c r="R95" s="1357"/>
      <c r="S95" s="1357"/>
      <c r="T95" s="1336" t="s">
        <v>2231</v>
      </c>
      <c r="U95" s="1336"/>
      <c r="V95" s="1336"/>
      <c r="W95" s="1336"/>
      <c r="X95" s="1336"/>
      <c r="Y95" s="1343"/>
      <c r="Z95" s="1321"/>
      <c r="AA95" s="1328"/>
      <c r="AB95" s="1321"/>
      <c r="AC95" s="1321"/>
      <c r="AD95" s="1321"/>
    </row>
    <row r="96" ht="99" customHeight="1">
      <c r="A96" s="1338"/>
      <c r="B96" s="1344">
        <v>79</v>
      </c>
      <c r="C96" s="1336" t="s">
        <v>1180</v>
      </c>
      <c r="D96" s="1354"/>
      <c r="E96" s="1336"/>
      <c r="F96" s="1336"/>
      <c r="G96" s="1336"/>
      <c r="H96" s="1359"/>
      <c r="I96" s="1356">
        <f t="shared" si="73"/>
        <v>0</v>
      </c>
      <c r="J96" s="1356">
        <f t="shared" si="74"/>
        <v>0</v>
      </c>
      <c r="K96" s="1356">
        <f t="shared" si="75"/>
        <v>0</v>
      </c>
      <c r="L96" s="1342" t="str">
        <f t="shared" si="76"/>
        <v/>
      </c>
      <c r="M96" s="1342" t="str">
        <f t="shared" si="77"/>
        <v/>
      </c>
      <c r="N96" s="1342" t="str">
        <f t="shared" si="78"/>
        <v/>
      </c>
      <c r="O96" s="1357" t="s">
        <v>1493</v>
      </c>
      <c r="P96" s="1357"/>
      <c r="Q96" s="1357"/>
      <c r="R96" s="1357"/>
      <c r="S96" s="1357"/>
      <c r="T96" s="1336" t="s">
        <v>2232</v>
      </c>
      <c r="U96" s="1336"/>
      <c r="V96" s="1336"/>
      <c r="W96" s="1336"/>
      <c r="X96" s="1336"/>
      <c r="Y96" s="1343"/>
      <c r="Z96" s="1321" t="s">
        <v>2233</v>
      </c>
      <c r="AA96" s="1328"/>
      <c r="AB96" s="1321"/>
      <c r="AC96" s="1321"/>
      <c r="AD96" s="1321"/>
    </row>
    <row r="97" ht="63" customHeight="1">
      <c r="A97" s="1338"/>
      <c r="B97" s="1344">
        <v>80</v>
      </c>
      <c r="C97" s="1336" t="s">
        <v>2234</v>
      </c>
      <c r="D97" s="1354"/>
      <c r="E97" s="1336"/>
      <c r="F97" s="1336"/>
      <c r="G97" s="1336"/>
      <c r="H97" s="1359"/>
      <c r="I97" s="1356">
        <f t="shared" si="73"/>
        <v>0</v>
      </c>
      <c r="J97" s="1356">
        <f t="shared" si="74"/>
        <v>0</v>
      </c>
      <c r="K97" s="1356">
        <f t="shared" si="75"/>
        <v>0</v>
      </c>
      <c r="L97" s="1342" t="str">
        <f t="shared" si="76"/>
        <v/>
      </c>
      <c r="M97" s="1342" t="str">
        <f t="shared" si="77"/>
        <v/>
      </c>
      <c r="N97" s="1342" t="str">
        <f t="shared" si="78"/>
        <v/>
      </c>
      <c r="O97" s="1357" t="s">
        <v>1504</v>
      </c>
      <c r="P97" s="1357"/>
      <c r="Q97" s="1357"/>
      <c r="R97" s="1357"/>
      <c r="S97" s="1357"/>
      <c r="T97" s="1336" t="s">
        <v>2235</v>
      </c>
      <c r="U97" s="1336"/>
      <c r="V97" s="1336"/>
      <c r="W97" s="1336"/>
      <c r="X97" s="1336"/>
      <c r="Y97" s="1343"/>
      <c r="Z97" s="1321" t="s">
        <v>2236</v>
      </c>
      <c r="AA97" s="1328"/>
      <c r="AB97" s="1321"/>
      <c r="AC97" s="1321"/>
      <c r="AD97" s="1321"/>
    </row>
    <row r="98" ht="63" customHeight="1">
      <c r="A98" s="1338"/>
      <c r="B98" s="1344">
        <v>81</v>
      </c>
      <c r="C98" s="1336" t="s">
        <v>2237</v>
      </c>
      <c r="D98" s="1354"/>
      <c r="E98" s="1336"/>
      <c r="F98" s="1336"/>
      <c r="G98" s="1336"/>
      <c r="H98" s="1359"/>
      <c r="I98" s="1356">
        <f t="shared" si="73"/>
        <v>0</v>
      </c>
      <c r="J98" s="1356">
        <f t="shared" si="74"/>
        <v>0</v>
      </c>
      <c r="K98" s="1356">
        <f t="shared" si="75"/>
        <v>0</v>
      </c>
      <c r="L98" s="1342" t="str">
        <f t="shared" si="76"/>
        <v/>
      </c>
      <c r="M98" s="1342" t="str">
        <f t="shared" si="77"/>
        <v/>
      </c>
      <c r="N98" s="1342" t="str">
        <f t="shared" si="78"/>
        <v/>
      </c>
      <c r="O98" s="1357" t="s">
        <v>1518</v>
      </c>
      <c r="P98" s="1357"/>
      <c r="Q98" s="1357"/>
      <c r="R98" s="1357"/>
      <c r="S98" s="1357"/>
      <c r="T98" s="1336" t="s">
        <v>2238</v>
      </c>
      <c r="U98" s="1336"/>
      <c r="V98" s="1336"/>
      <c r="W98" s="1336"/>
      <c r="X98" s="1336"/>
      <c r="Y98" s="1343"/>
      <c r="Z98" s="1321" t="s">
        <v>2236</v>
      </c>
      <c r="AA98" s="1328"/>
      <c r="AB98" s="1321"/>
      <c r="AC98" s="1321"/>
      <c r="AD98" s="1321"/>
    </row>
    <row r="99" ht="90" customHeight="1">
      <c r="A99" s="1338"/>
      <c r="B99" s="1344">
        <v>82</v>
      </c>
      <c r="C99" s="1336" t="s">
        <v>2239</v>
      </c>
      <c r="D99" s="1354"/>
      <c r="E99" s="1336"/>
      <c r="F99" s="1336"/>
      <c r="G99" s="1336"/>
      <c r="H99" s="1359"/>
      <c r="I99" s="1356">
        <f t="shared" si="73"/>
        <v>0</v>
      </c>
      <c r="J99" s="1356">
        <f t="shared" si="74"/>
        <v>0</v>
      </c>
      <c r="K99" s="1356">
        <f t="shared" si="75"/>
        <v>0</v>
      </c>
      <c r="L99" s="1342" t="str">
        <f t="shared" si="76"/>
        <v/>
      </c>
      <c r="M99" s="1342" t="str">
        <f t="shared" si="77"/>
        <v/>
      </c>
      <c r="N99" s="1342" t="str">
        <f t="shared" si="78"/>
        <v/>
      </c>
      <c r="O99" s="1357" t="s">
        <v>1530</v>
      </c>
      <c r="P99" s="1357"/>
      <c r="Q99" s="1357"/>
      <c r="R99" s="1357"/>
      <c r="S99" s="1357"/>
      <c r="T99" s="1336" t="s">
        <v>2240</v>
      </c>
      <c r="U99" s="1336"/>
      <c r="V99" s="1336"/>
      <c r="W99" s="1336"/>
      <c r="X99" s="1336"/>
      <c r="Y99" s="1343"/>
      <c r="Z99" s="1321" t="s">
        <v>625</v>
      </c>
      <c r="AA99" s="1328"/>
      <c r="AB99" s="1321"/>
      <c r="AC99" s="1321"/>
      <c r="AD99" s="1321"/>
    </row>
    <row r="100" ht="27" customHeight="1">
      <c r="A100" s="1338"/>
      <c r="B100" s="1344">
        <v>83</v>
      </c>
      <c r="C100" s="1336"/>
      <c r="D100" s="1354"/>
      <c r="E100" s="1336"/>
      <c r="F100" s="1336"/>
      <c r="G100" s="1336"/>
      <c r="H100" s="1359"/>
      <c r="I100" s="1356">
        <f t="shared" ref="I100:I101" si="79">INDEX(TEMPLATE_NUMBER_POINT_FHD,B100,MATCH(TEMPLATE_SPHERE,TEMPLATE_SPHERE_LIST_FOR_NOTE,0))</f>
        <v>0</v>
      </c>
      <c r="J100" s="1356">
        <f t="shared" ref="J100:J101" si="80">INDEX(TEMPLATE_DATA_POINT_FHD,B100,MATCH(TEMPLATE_SPHERE,TEMPLATE_SPHERE_LIST_FOR_NOTE,0))</f>
        <v>0</v>
      </c>
      <c r="K100" s="1356">
        <f t="shared" ref="K100:K101" si="81">INDEX(TEMPLATE_NOTE_POINT_FHD,B100,MATCH(TEMPLATE_SPHERE,TEMPLATE_SPHERE_LIST_FOR_NOTE,0))</f>
        <v>0</v>
      </c>
      <c r="L100" s="1342" t="str">
        <f t="shared" ref="L100:L101" si="82">IF(I100=0,"",I100)</f>
        <v/>
      </c>
      <c r="M100" s="1342" t="str">
        <f t="shared" ref="M100:M101" si="83">IF(J100=0,"",J100)</f>
        <v/>
      </c>
      <c r="N100" s="1342" t="str">
        <f t="shared" ref="N100:N101" si="84">IF(K100=0,"",K100)</f>
        <v/>
      </c>
      <c r="O100" s="1357" t="s">
        <v>2241</v>
      </c>
      <c r="P100" s="1357"/>
      <c r="Q100" s="1357"/>
      <c r="R100" s="1357"/>
      <c r="S100" s="1357"/>
      <c r="T100" s="1336" t="s">
        <v>2242</v>
      </c>
      <c r="U100" s="1336"/>
      <c r="V100" s="1336"/>
      <c r="W100" s="1336"/>
      <c r="X100" s="1336"/>
      <c r="Y100" s="1343"/>
      <c r="Z100" s="1321" t="s">
        <v>625</v>
      </c>
      <c r="AA100" s="1328"/>
      <c r="AB100" s="1321"/>
      <c r="AC100" s="1321"/>
      <c r="AD100" s="1321"/>
    </row>
    <row r="101" ht="27" customHeight="1">
      <c r="A101" s="1338"/>
      <c r="B101" s="1344">
        <v>84</v>
      </c>
      <c r="C101" s="1336"/>
      <c r="D101" s="1354"/>
      <c r="E101" s="1336"/>
      <c r="F101" s="1336"/>
      <c r="G101" s="1336"/>
      <c r="H101" s="1359"/>
      <c r="I101" s="1356">
        <f t="shared" si="79"/>
        <v>0</v>
      </c>
      <c r="J101" s="1356">
        <f t="shared" si="80"/>
        <v>0</v>
      </c>
      <c r="K101" s="1356">
        <f t="shared" si="81"/>
        <v>0</v>
      </c>
      <c r="L101" s="1342" t="str">
        <f t="shared" si="82"/>
        <v/>
      </c>
      <c r="M101" s="1342" t="str">
        <f t="shared" si="83"/>
        <v/>
      </c>
      <c r="N101" s="1342" t="str">
        <f t="shared" si="84"/>
        <v/>
      </c>
      <c r="O101" s="1357" t="s">
        <v>2243</v>
      </c>
      <c r="P101" s="1357"/>
      <c r="Q101" s="1357"/>
      <c r="R101" s="1357"/>
      <c r="S101" s="1357"/>
      <c r="T101" s="1336" t="s">
        <v>2244</v>
      </c>
      <c r="U101" s="1336"/>
      <c r="V101" s="1336"/>
      <c r="W101" s="1336"/>
      <c r="X101" s="1336"/>
      <c r="Y101" s="1343"/>
      <c r="Z101" s="1321" t="s">
        <v>625</v>
      </c>
      <c r="AA101" s="1328"/>
      <c r="AB101" s="1321"/>
      <c r="AC101" s="1321"/>
      <c r="AD101" s="1321"/>
    </row>
    <row r="102" ht="9" customHeight="1">
      <c r="A102" s="1338"/>
      <c r="B102" s="1338"/>
      <c r="C102" s="1336"/>
      <c r="D102" s="1336"/>
      <c r="E102" s="1336"/>
      <c r="F102" s="1336"/>
      <c r="G102" s="1336"/>
      <c r="H102" s="1359"/>
      <c r="I102" s="1359"/>
      <c r="J102" s="1359"/>
      <c r="K102" s="1359"/>
      <c r="L102" s="1359"/>
      <c r="M102" s="1336"/>
      <c r="N102" s="1364"/>
      <c r="O102" s="1357"/>
      <c r="P102" s="1357"/>
      <c r="Q102" s="1357"/>
      <c r="R102" s="1357"/>
      <c r="S102" s="1336"/>
      <c r="T102" s="1336"/>
      <c r="U102" s="1336"/>
      <c r="V102" s="1336"/>
      <c r="W102" s="1336"/>
      <c r="X102" s="1336"/>
      <c r="Y102" s="1343"/>
      <c r="Z102" s="1321"/>
      <c r="AA102" s="1328"/>
      <c r="AB102" s="1321"/>
      <c r="AC102" s="1321"/>
      <c r="AD102" s="1321"/>
    </row>
    <row r="103" ht="9" customHeight="1">
      <c r="A103" s="1338"/>
      <c r="B103" s="1338"/>
      <c r="C103" s="1336"/>
      <c r="D103" s="1336"/>
      <c r="E103" s="1336"/>
      <c r="F103" s="1336"/>
      <c r="G103" s="1336"/>
      <c r="H103" s="1359"/>
      <c r="I103" s="1359"/>
      <c r="J103" s="1359"/>
      <c r="K103" s="1359"/>
      <c r="L103" s="1359"/>
      <c r="M103" s="1336"/>
      <c r="N103" s="1364"/>
      <c r="O103" s="1357"/>
      <c r="P103" s="1357"/>
      <c r="Q103" s="1357"/>
      <c r="R103" s="1357"/>
      <c r="S103" s="1336"/>
      <c r="T103" s="1336"/>
      <c r="U103" s="1336"/>
      <c r="V103" s="1336"/>
      <c r="W103" s="1336"/>
      <c r="X103" s="1336"/>
      <c r="Y103" s="1343"/>
      <c r="Z103" s="1321"/>
      <c r="AA103" s="1328"/>
      <c r="AB103" s="1321"/>
      <c r="AC103" s="1321"/>
      <c r="AD103" s="1321"/>
    </row>
    <row r="104" ht="9" customHeight="1">
      <c r="A104" s="1338"/>
      <c r="B104" s="1338"/>
      <c r="C104" s="1336"/>
      <c r="D104" s="1336"/>
      <c r="E104" s="1336"/>
      <c r="F104" s="1336"/>
      <c r="G104" s="1336"/>
      <c r="H104" s="1359"/>
      <c r="I104" s="1359"/>
      <c r="J104" s="1359"/>
      <c r="K104" s="1359"/>
      <c r="L104" s="1359"/>
      <c r="M104" s="1336"/>
      <c r="N104" s="1364"/>
      <c r="O104" s="1357"/>
      <c r="P104" s="1357"/>
      <c r="Q104" s="1357"/>
      <c r="R104" s="1357"/>
      <c r="S104" s="1336"/>
      <c r="T104" s="1336"/>
      <c r="U104" s="1336"/>
      <c r="V104" s="1336"/>
      <c r="W104" s="1336"/>
      <c r="X104" s="1336"/>
      <c r="Y104" s="1343"/>
      <c r="Z104" s="1321"/>
      <c r="AA104" s="1328"/>
      <c r="AB104" s="1321"/>
      <c r="AC104" s="1321"/>
      <c r="AD104" s="1321"/>
    </row>
    <row r="105" ht="9" customHeight="1">
      <c r="A105" s="1338"/>
      <c r="B105" s="1338"/>
      <c r="C105" s="1336"/>
      <c r="D105" s="1336"/>
      <c r="E105" s="1336"/>
      <c r="F105" s="1336"/>
      <c r="G105" s="1336"/>
      <c r="H105" s="1359"/>
      <c r="I105" s="1359"/>
      <c r="J105" s="1359"/>
      <c r="K105" s="1359"/>
      <c r="L105" s="1359"/>
      <c r="M105" s="1336"/>
      <c r="N105" s="1364"/>
      <c r="O105" s="1357"/>
      <c r="P105" s="1357"/>
      <c r="Q105" s="1357"/>
      <c r="R105" s="1357"/>
      <c r="S105" s="1336"/>
      <c r="T105" s="1336"/>
      <c r="U105" s="1336"/>
      <c r="V105" s="1336"/>
      <c r="W105" s="1336"/>
      <c r="X105" s="1336"/>
      <c r="Y105" s="1343"/>
      <c r="Z105" s="1321"/>
      <c r="AA105" s="1328"/>
      <c r="AB105" s="1321"/>
      <c r="AC105" s="1321"/>
      <c r="AD105" s="1321"/>
    </row>
    <row r="106" ht="9" customHeight="1">
      <c r="A106" s="1338"/>
      <c r="B106" s="1338"/>
      <c r="C106" s="1336"/>
      <c r="D106" s="1336"/>
      <c r="E106" s="1336"/>
      <c r="F106" s="1336"/>
      <c r="G106" s="1336"/>
      <c r="H106" s="1359"/>
      <c r="I106" s="1359"/>
      <c r="J106" s="1359"/>
      <c r="K106" s="1359"/>
      <c r="L106" s="1359"/>
      <c r="M106" s="1336"/>
      <c r="N106" s="1364"/>
      <c r="O106" s="1357"/>
      <c r="P106" s="1357"/>
      <c r="Q106" s="1357"/>
      <c r="R106" s="1357"/>
      <c r="S106" s="1336"/>
      <c r="T106" s="1336"/>
      <c r="U106" s="1336"/>
      <c r="V106" s="1336"/>
      <c r="W106" s="1336"/>
      <c r="X106" s="1336"/>
      <c r="Y106" s="1343"/>
      <c r="Z106" s="1321"/>
      <c r="AA106" s="1328"/>
      <c r="AB106" s="1321"/>
      <c r="AC106" s="1321"/>
      <c r="AD106" s="1321"/>
    </row>
    <row r="107" ht="9" customHeight="1">
      <c r="A107" s="1338"/>
      <c r="B107" s="1338"/>
      <c r="C107" s="1336"/>
      <c r="D107" s="1336"/>
      <c r="E107" s="1336"/>
      <c r="F107" s="1336"/>
      <c r="G107" s="1336"/>
      <c r="H107" s="1359"/>
      <c r="I107" s="1359"/>
      <c r="J107" s="1359"/>
      <c r="K107" s="1359"/>
      <c r="L107" s="1359"/>
      <c r="M107" s="1336"/>
      <c r="N107" s="1364"/>
      <c r="O107" s="1357"/>
      <c r="P107" s="1357"/>
      <c r="Q107" s="1357"/>
      <c r="R107" s="1357"/>
      <c r="S107" s="1336"/>
      <c r="T107" s="1336"/>
      <c r="U107" s="1336"/>
      <c r="V107" s="1336"/>
      <c r="W107" s="1336"/>
      <c r="X107" s="1336"/>
      <c r="Y107" s="1343"/>
      <c r="Z107" s="1321"/>
      <c r="AA107" s="1328"/>
      <c r="AB107" s="1321"/>
      <c r="AC107" s="1321"/>
      <c r="AD107" s="1321"/>
    </row>
    <row r="108" ht="9" customHeight="1">
      <c r="A108" s="1338"/>
      <c r="B108" s="1338"/>
      <c r="C108" s="1336"/>
      <c r="D108" s="1336"/>
      <c r="E108" s="1336"/>
      <c r="F108" s="1336"/>
      <c r="G108" s="1336"/>
      <c r="H108" s="1359"/>
      <c r="I108" s="1359"/>
      <c r="J108" s="1359"/>
      <c r="K108" s="1359"/>
      <c r="L108" s="1359"/>
      <c r="M108" s="1336"/>
      <c r="N108" s="1364"/>
      <c r="O108" s="1357"/>
      <c r="P108" s="1357"/>
      <c r="Q108" s="1357"/>
      <c r="R108" s="1357"/>
      <c r="S108" s="1336"/>
      <c r="T108" s="1336"/>
      <c r="U108" s="1336"/>
      <c r="V108" s="1336"/>
      <c r="W108" s="1336"/>
      <c r="X108" s="1336"/>
      <c r="Y108" s="1343"/>
      <c r="Z108" s="1321"/>
      <c r="AA108" s="1328"/>
      <c r="AB108" s="1321"/>
      <c r="AC108" s="1321"/>
      <c r="AD108" s="1321"/>
    </row>
    <row r="109" ht="9" customHeight="1">
      <c r="A109" s="1338"/>
      <c r="B109" s="1338"/>
      <c r="C109" s="1336"/>
      <c r="D109" s="1336"/>
      <c r="E109" s="1336"/>
      <c r="F109" s="1336"/>
      <c r="G109" s="1336"/>
      <c r="H109" s="1359"/>
      <c r="I109" s="1359"/>
      <c r="J109" s="1359"/>
      <c r="K109" s="1359"/>
      <c r="L109" s="1359"/>
      <c r="M109" s="1336"/>
      <c r="N109" s="1364"/>
      <c r="O109" s="1357"/>
      <c r="P109" s="1357"/>
      <c r="Q109" s="1357"/>
      <c r="R109" s="1357"/>
      <c r="S109" s="1336"/>
      <c r="T109" s="1336"/>
      <c r="U109" s="1336"/>
      <c r="V109" s="1336"/>
      <c r="W109" s="1336"/>
      <c r="X109" s="1336"/>
      <c r="Y109" s="1343"/>
      <c r="Z109" s="1321"/>
      <c r="AA109" s="1328"/>
      <c r="AB109" s="1321"/>
      <c r="AC109" s="1321"/>
      <c r="AD109" s="1321"/>
    </row>
    <row r="110" ht="9" customHeight="1">
      <c r="A110" s="1338"/>
      <c r="B110" s="1338"/>
      <c r="C110" s="1336"/>
      <c r="D110" s="1336"/>
      <c r="E110" s="1336"/>
      <c r="F110" s="1336"/>
      <c r="G110" s="1336"/>
      <c r="H110" s="1359"/>
      <c r="I110" s="1359"/>
      <c r="J110" s="1359"/>
      <c r="K110" s="1359"/>
      <c r="L110" s="1359"/>
      <c r="M110" s="1336"/>
      <c r="N110" s="1364"/>
      <c r="O110" s="1357"/>
      <c r="P110" s="1357"/>
      <c r="Q110" s="1357"/>
      <c r="R110" s="1357"/>
      <c r="S110" s="1336"/>
      <c r="T110" s="1336"/>
      <c r="U110" s="1336"/>
      <c r="V110" s="1336"/>
      <c r="W110" s="1336"/>
      <c r="X110" s="1336"/>
      <c r="Y110" s="1343"/>
      <c r="Z110" s="1321"/>
      <c r="AA110" s="1328"/>
      <c r="AB110" s="1321"/>
      <c r="AC110" s="1321"/>
      <c r="AD110" s="1321"/>
    </row>
    <row r="111" ht="9" customHeight="1">
      <c r="A111" s="1338"/>
      <c r="B111" s="1338"/>
      <c r="C111" s="1336"/>
      <c r="D111" s="1336"/>
      <c r="E111" s="1336"/>
      <c r="F111" s="1336"/>
      <c r="G111" s="1336"/>
      <c r="H111" s="1359"/>
      <c r="I111" s="1359"/>
      <c r="J111" s="1359"/>
      <c r="K111" s="1359"/>
      <c r="L111" s="1359"/>
      <c r="M111" s="1336"/>
      <c r="N111" s="1364"/>
      <c r="O111" s="1357"/>
      <c r="P111" s="1357"/>
      <c r="Q111" s="1357"/>
      <c r="R111" s="1357"/>
      <c r="S111" s="1336"/>
      <c r="T111" s="1336"/>
      <c r="U111" s="1336"/>
      <c r="V111" s="1336"/>
      <c r="W111" s="1336"/>
      <c r="X111" s="1336"/>
      <c r="Y111" s="1343"/>
      <c r="Z111" s="1321"/>
      <c r="AA111" s="1328"/>
      <c r="AB111" s="1321"/>
      <c r="AC111" s="1321"/>
      <c r="AD111" s="1321"/>
    </row>
    <row r="112" ht="9" customHeight="1">
      <c r="A112" s="1338"/>
      <c r="B112" s="1338"/>
      <c r="C112" s="1336"/>
      <c r="D112" s="1336"/>
      <c r="E112" s="1336"/>
      <c r="F112" s="1336"/>
      <c r="G112" s="1336"/>
      <c r="H112" s="1359"/>
      <c r="I112" s="1359"/>
      <c r="J112" s="1359"/>
      <c r="K112" s="1359"/>
      <c r="L112" s="1359"/>
      <c r="M112" s="1336"/>
      <c r="N112" s="1364"/>
      <c r="O112" s="1357"/>
      <c r="P112" s="1357"/>
      <c r="Q112" s="1357"/>
      <c r="R112" s="1357"/>
      <c r="S112" s="1336"/>
      <c r="T112" s="1336"/>
      <c r="U112" s="1336"/>
      <c r="V112" s="1336"/>
      <c r="W112" s="1336"/>
      <c r="X112" s="1336"/>
      <c r="Y112" s="1343"/>
      <c r="Z112" s="1321"/>
      <c r="AA112" s="1328"/>
      <c r="AB112" s="1321"/>
      <c r="AC112" s="1321"/>
      <c r="AD112" s="1321"/>
    </row>
    <row r="113" ht="9" customHeight="1">
      <c r="A113" s="1338"/>
      <c r="B113" s="1338"/>
      <c r="C113" s="1336"/>
      <c r="D113" s="1336"/>
      <c r="E113" s="1336"/>
      <c r="F113" s="1336"/>
      <c r="G113" s="1336"/>
      <c r="H113" s="1359"/>
      <c r="I113" s="1359"/>
      <c r="J113" s="1359"/>
      <c r="K113" s="1359"/>
      <c r="L113" s="1359"/>
      <c r="M113" s="1336"/>
      <c r="N113" s="1364"/>
      <c r="O113" s="1357"/>
      <c r="P113" s="1357"/>
      <c r="Q113" s="1357"/>
      <c r="R113" s="1357"/>
      <c r="S113" s="1336"/>
      <c r="T113" s="1336"/>
      <c r="U113" s="1336"/>
      <c r="V113" s="1336"/>
      <c r="W113" s="1336"/>
      <c r="X113" s="1336"/>
      <c r="Y113" s="1343"/>
      <c r="Z113" s="1321"/>
      <c r="AA113" s="1328"/>
      <c r="AB113" s="1321"/>
      <c r="AC113" s="1321"/>
      <c r="AD113" s="1321"/>
    </row>
    <row r="114" ht="9" customHeight="1">
      <c r="A114" s="1338"/>
      <c r="B114" s="1338"/>
      <c r="C114" s="1336"/>
      <c r="D114" s="1336"/>
      <c r="E114" s="1336"/>
      <c r="F114" s="1336"/>
      <c r="G114" s="1336"/>
      <c r="H114" s="1359"/>
      <c r="I114" s="1359"/>
      <c r="J114" s="1359"/>
      <c r="K114" s="1359"/>
      <c r="L114" s="1359"/>
      <c r="M114" s="1336"/>
      <c r="N114" s="1364"/>
      <c r="O114" s="1357"/>
      <c r="P114" s="1357"/>
      <c r="Q114" s="1357"/>
      <c r="R114" s="1357"/>
      <c r="S114" s="1336"/>
      <c r="T114" s="1336"/>
      <c r="U114" s="1336"/>
      <c r="V114" s="1336"/>
      <c r="W114" s="1336"/>
      <c r="X114" s="1336"/>
      <c r="Y114" s="1343"/>
      <c r="Z114" s="1321"/>
      <c r="AA114" s="1328"/>
      <c r="AB114" s="1321"/>
      <c r="AC114" s="1321"/>
      <c r="AD114" s="1321"/>
    </row>
    <row r="115" ht="9" customHeight="1">
      <c r="A115" s="1338"/>
      <c r="B115" s="1338"/>
      <c r="C115" s="1336"/>
      <c r="D115" s="1336"/>
      <c r="E115" s="1336"/>
      <c r="F115" s="1336"/>
      <c r="G115" s="1336"/>
      <c r="H115" s="1359"/>
      <c r="I115" s="1359"/>
      <c r="J115" s="1359"/>
      <c r="K115" s="1359"/>
      <c r="L115" s="1359"/>
      <c r="M115" s="1336"/>
      <c r="N115" s="1364"/>
      <c r="O115" s="1357"/>
      <c r="P115" s="1357"/>
      <c r="Q115" s="1357"/>
      <c r="R115" s="1357"/>
      <c r="S115" s="1336"/>
      <c r="T115" s="1336"/>
      <c r="U115" s="1336"/>
      <c r="V115" s="1336"/>
      <c r="W115" s="1336"/>
      <c r="X115" s="1336"/>
      <c r="Y115" s="1343"/>
      <c r="Z115" s="1321"/>
      <c r="AA115" s="1328"/>
      <c r="AB115" s="1321"/>
      <c r="AC115" s="1321"/>
      <c r="AD115" s="1321"/>
    </row>
    <row r="116" ht="9" customHeight="1">
      <c r="A116" s="1338"/>
      <c r="B116" s="1338"/>
      <c r="C116" s="1336"/>
      <c r="D116" s="1336"/>
      <c r="E116" s="1336"/>
      <c r="F116" s="1336"/>
      <c r="G116" s="1336"/>
      <c r="H116" s="1359"/>
      <c r="I116" s="1359"/>
      <c r="J116" s="1359"/>
      <c r="K116" s="1359"/>
      <c r="L116" s="1359"/>
      <c r="M116" s="1336"/>
      <c r="N116" s="1364"/>
      <c r="O116" s="1357"/>
      <c r="P116" s="1357"/>
      <c r="Q116" s="1357"/>
      <c r="R116" s="1357"/>
      <c r="S116" s="1336"/>
      <c r="T116" s="1336"/>
      <c r="U116" s="1336"/>
      <c r="V116" s="1336"/>
      <c r="W116" s="1336"/>
      <c r="X116" s="1336"/>
      <c r="Y116" s="1343"/>
      <c r="Z116" s="1321"/>
      <c r="AA116" s="1328"/>
      <c r="AB116" s="1321"/>
      <c r="AC116" s="1321"/>
      <c r="AD116" s="1321"/>
    </row>
    <row r="117" ht="9" customHeight="1">
      <c r="A117" s="1338"/>
      <c r="B117" s="1338"/>
      <c r="C117" s="1336"/>
      <c r="D117" s="1336"/>
      <c r="E117" s="1336"/>
      <c r="F117" s="1336"/>
      <c r="G117" s="1336"/>
      <c r="H117" s="1359"/>
      <c r="I117" s="1359"/>
      <c r="J117" s="1359"/>
      <c r="K117" s="1359"/>
      <c r="L117" s="1359"/>
      <c r="M117" s="1336"/>
      <c r="N117" s="1364"/>
      <c r="O117" s="1357"/>
      <c r="P117" s="1357"/>
      <c r="Q117" s="1357"/>
      <c r="R117" s="1357"/>
      <c r="S117" s="1336"/>
      <c r="T117" s="1336"/>
      <c r="U117" s="1336"/>
      <c r="V117" s="1336"/>
      <c r="W117" s="1336"/>
      <c r="X117" s="1336"/>
      <c r="Y117" s="1343"/>
      <c r="Z117" s="1321"/>
      <c r="AA117" s="1328"/>
      <c r="AB117" s="1321"/>
      <c r="AC117" s="1321"/>
      <c r="AD117" s="1321"/>
    </row>
    <row r="118" ht="9" customHeight="1">
      <c r="A118" s="1338"/>
      <c r="B118" s="1338"/>
      <c r="C118" s="1336"/>
      <c r="D118" s="1336"/>
      <c r="E118" s="1336"/>
      <c r="F118" s="1336"/>
      <c r="G118" s="1336"/>
      <c r="H118" s="1359"/>
      <c r="I118" s="1359"/>
      <c r="J118" s="1359"/>
      <c r="K118" s="1359"/>
      <c r="L118" s="1359"/>
      <c r="M118" s="1336"/>
      <c r="N118" s="1364"/>
      <c r="O118" s="1357"/>
      <c r="P118" s="1357"/>
      <c r="Q118" s="1357"/>
      <c r="R118" s="1357"/>
      <c r="S118" s="1336"/>
      <c r="T118" s="1336"/>
      <c r="U118" s="1336"/>
      <c r="V118" s="1336"/>
      <c r="W118" s="1336"/>
      <c r="X118" s="1336"/>
      <c r="Y118" s="1343"/>
      <c r="Z118" s="1321"/>
      <c r="AA118" s="1328"/>
      <c r="AB118" s="1321"/>
      <c r="AC118" s="1321"/>
      <c r="AD118" s="1321"/>
    </row>
    <row r="119" ht="9" customHeight="1">
      <c r="A119" s="1338"/>
      <c r="B119" s="1338"/>
      <c r="C119" s="1336"/>
      <c r="D119" s="1336"/>
      <c r="E119" s="1336"/>
      <c r="F119" s="1336"/>
      <c r="G119" s="1336"/>
      <c r="H119" s="1359"/>
      <c r="I119" s="1359"/>
      <c r="J119" s="1359"/>
      <c r="K119" s="1359"/>
      <c r="L119" s="1359"/>
      <c r="M119" s="1336"/>
      <c r="N119" s="1364"/>
      <c r="O119" s="1357"/>
      <c r="P119" s="1357"/>
      <c r="Q119" s="1357"/>
      <c r="R119" s="1357"/>
      <c r="S119" s="1336"/>
      <c r="T119" s="1336"/>
      <c r="U119" s="1336"/>
      <c r="V119" s="1336"/>
      <c r="W119" s="1336"/>
      <c r="X119" s="1336"/>
      <c r="Y119" s="1343"/>
      <c r="Z119" s="1321"/>
      <c r="AA119" s="1328"/>
      <c r="AB119" s="1321"/>
      <c r="AC119" s="1321"/>
      <c r="AD119" s="1321"/>
    </row>
    <row r="120" ht="9" customHeight="1">
      <c r="A120" s="1338"/>
      <c r="B120" s="1338"/>
      <c r="C120" s="1336"/>
      <c r="D120" s="1336"/>
      <c r="E120" s="1336"/>
      <c r="F120" s="1336"/>
      <c r="G120" s="1336"/>
      <c r="H120" s="1359"/>
      <c r="I120" s="1359"/>
      <c r="J120" s="1359"/>
      <c r="K120" s="1359"/>
      <c r="L120" s="1359"/>
      <c r="M120" s="1336"/>
      <c r="N120" s="1364"/>
      <c r="O120" s="1357"/>
      <c r="P120" s="1357"/>
      <c r="Q120" s="1357"/>
      <c r="R120" s="1357"/>
      <c r="S120" s="1336"/>
      <c r="T120" s="1336"/>
      <c r="U120" s="1336"/>
      <c r="V120" s="1336"/>
      <c r="W120" s="1336"/>
      <c r="X120" s="1336"/>
      <c r="Y120" s="1343"/>
      <c r="Z120" s="1321"/>
      <c r="AA120" s="1328"/>
      <c r="AB120" s="1321"/>
      <c r="AC120" s="1321"/>
      <c r="AD120" s="1321"/>
    </row>
    <row r="121" ht="9" customHeight="1">
      <c r="A121" s="1338"/>
      <c r="B121" s="1338"/>
      <c r="C121" s="1336"/>
      <c r="D121" s="1336"/>
      <c r="E121" s="1336"/>
      <c r="F121" s="1336"/>
      <c r="G121" s="1336"/>
      <c r="H121" s="1359"/>
      <c r="I121" s="1359"/>
      <c r="J121" s="1359"/>
      <c r="K121" s="1359"/>
      <c r="L121" s="1359"/>
      <c r="M121" s="1336"/>
      <c r="N121" s="1364"/>
      <c r="O121" s="1357"/>
      <c r="P121" s="1357"/>
      <c r="Q121" s="1357"/>
      <c r="R121" s="1357"/>
      <c r="S121" s="1336"/>
      <c r="T121" s="1336"/>
      <c r="U121" s="1336"/>
      <c r="V121" s="1336"/>
      <c r="W121" s="1336"/>
      <c r="X121" s="1336"/>
      <c r="Y121" s="1343"/>
      <c r="Z121" s="1321"/>
      <c r="AA121" s="1328"/>
      <c r="AB121" s="1321"/>
      <c r="AC121" s="1321"/>
      <c r="AD121" s="1321"/>
    </row>
    <row r="122" ht="9" customHeight="1">
      <c r="A122" s="1338"/>
      <c r="B122" s="1338"/>
      <c r="C122" s="1336"/>
      <c r="D122" s="1336"/>
      <c r="E122" s="1336"/>
      <c r="F122" s="1336"/>
      <c r="G122" s="1336"/>
      <c r="H122" s="1359"/>
      <c r="I122" s="1359"/>
      <c r="J122" s="1359"/>
      <c r="K122" s="1359"/>
      <c r="L122" s="1359"/>
      <c r="M122" s="1336"/>
      <c r="N122" s="1364"/>
      <c r="O122" s="1357"/>
      <c r="P122" s="1357"/>
      <c r="Q122" s="1357"/>
      <c r="R122" s="1357"/>
      <c r="S122" s="1336"/>
      <c r="T122" s="1336"/>
      <c r="U122" s="1336"/>
      <c r="V122" s="1336"/>
      <c r="W122" s="1336"/>
      <c r="X122" s="1336"/>
      <c r="Y122" s="1343"/>
      <c r="Z122" s="1321"/>
      <c r="AA122" s="1328"/>
      <c r="AB122" s="1321"/>
      <c r="AC122" s="1321"/>
      <c r="AD122" s="1321"/>
    </row>
    <row r="123" ht="9" customHeight="1">
      <c r="A123" s="1338"/>
      <c r="B123" s="1338"/>
      <c r="C123" s="1336"/>
      <c r="D123" s="1336"/>
      <c r="E123" s="1336"/>
      <c r="F123" s="1336"/>
      <c r="G123" s="1336"/>
      <c r="H123" s="1359"/>
      <c r="I123" s="1359"/>
      <c r="J123" s="1359"/>
      <c r="K123" s="1359"/>
      <c r="L123" s="1359"/>
      <c r="M123" s="1336"/>
      <c r="N123" s="1364"/>
      <c r="O123" s="1357"/>
      <c r="P123" s="1357"/>
      <c r="Q123" s="1357"/>
      <c r="R123" s="1357"/>
      <c r="S123" s="1336"/>
      <c r="T123" s="1336"/>
      <c r="U123" s="1336"/>
      <c r="V123" s="1336"/>
      <c r="W123" s="1336"/>
      <c r="X123" s="1336"/>
      <c r="Y123" s="1343"/>
      <c r="Z123" s="1321"/>
      <c r="AA123" s="1328"/>
      <c r="AB123" s="1321"/>
      <c r="AC123" s="1321"/>
      <c r="AD123" s="1321"/>
    </row>
    <row r="124" ht="9" customHeight="1">
      <c r="A124" s="1338"/>
      <c r="B124" s="1338"/>
      <c r="C124" s="1336"/>
      <c r="D124" s="1336"/>
      <c r="E124" s="1336"/>
      <c r="F124" s="1336"/>
      <c r="G124" s="1336"/>
      <c r="H124" s="1359"/>
      <c r="I124" s="1359"/>
      <c r="J124" s="1359"/>
      <c r="K124" s="1359"/>
      <c r="L124" s="1359"/>
      <c r="M124" s="1336"/>
      <c r="N124" s="1364"/>
      <c r="O124" s="1357"/>
      <c r="P124" s="1357"/>
      <c r="Q124" s="1357"/>
      <c r="R124" s="1357"/>
      <c r="S124" s="1336"/>
      <c r="T124" s="1336"/>
      <c r="U124" s="1336"/>
      <c r="V124" s="1336"/>
      <c r="W124" s="1336"/>
      <c r="X124" s="1336"/>
      <c r="Y124" s="1343"/>
      <c r="Z124" s="1321"/>
      <c r="AA124" s="1328"/>
      <c r="AB124" s="1321"/>
      <c r="AC124" s="1321"/>
      <c r="AD124" s="1321"/>
    </row>
    <row r="125" ht="9" customHeight="1">
      <c r="A125" s="1338"/>
      <c r="B125" s="1338"/>
      <c r="C125" s="1336"/>
      <c r="D125" s="1336"/>
      <c r="E125" s="1336"/>
      <c r="F125" s="1336"/>
      <c r="G125" s="1336"/>
      <c r="H125" s="1359"/>
      <c r="I125" s="1359"/>
      <c r="J125" s="1359"/>
      <c r="K125" s="1359"/>
      <c r="L125" s="1359"/>
      <c r="M125" s="1336"/>
      <c r="N125" s="1364"/>
      <c r="O125" s="1357"/>
      <c r="P125" s="1357"/>
      <c r="Q125" s="1357"/>
      <c r="R125" s="1357"/>
      <c r="S125" s="1336"/>
      <c r="T125" s="1336"/>
      <c r="U125" s="1336"/>
      <c r="V125" s="1336"/>
      <c r="W125" s="1336"/>
      <c r="X125" s="1336"/>
      <c r="Y125" s="1343"/>
      <c r="Z125" s="1321"/>
      <c r="AA125" s="1328"/>
      <c r="AB125" s="1321"/>
      <c r="AC125" s="1321"/>
      <c r="AD125" s="1321"/>
    </row>
    <row r="126" ht="9" customHeight="1">
      <c r="A126" s="1338"/>
      <c r="B126" s="1338"/>
      <c r="C126" s="1336"/>
      <c r="D126" s="1336"/>
      <c r="E126" s="1336"/>
      <c r="F126" s="1336"/>
      <c r="G126" s="1336"/>
      <c r="H126" s="1359"/>
      <c r="I126" s="1359"/>
      <c r="J126" s="1359"/>
      <c r="K126" s="1359"/>
      <c r="L126" s="1359"/>
      <c r="M126" s="1336"/>
      <c r="N126" s="1364"/>
      <c r="O126" s="1357"/>
      <c r="P126" s="1357"/>
      <c r="Q126" s="1357"/>
      <c r="R126" s="1357"/>
      <c r="S126" s="1336"/>
      <c r="T126" s="1336"/>
      <c r="U126" s="1336"/>
      <c r="V126" s="1336"/>
      <c r="W126" s="1336"/>
      <c r="X126" s="1336"/>
      <c r="Y126" s="1343"/>
      <c r="Z126" s="1321"/>
      <c r="AA126" s="1328"/>
      <c r="AB126" s="1321"/>
      <c r="AC126" s="1321"/>
      <c r="AD126" s="1321"/>
    </row>
    <row r="127" ht="9" customHeight="1">
      <c r="A127" s="1338"/>
      <c r="B127" s="1338"/>
      <c r="C127" s="1336"/>
      <c r="D127" s="1336"/>
      <c r="E127" s="1336"/>
      <c r="F127" s="1336"/>
      <c r="G127" s="1336"/>
      <c r="H127" s="1359"/>
      <c r="I127" s="1359"/>
      <c r="J127" s="1359"/>
      <c r="K127" s="1359"/>
      <c r="L127" s="1359"/>
      <c r="M127" s="1336"/>
      <c r="N127" s="1364"/>
      <c r="O127" s="1357"/>
      <c r="P127" s="1357"/>
      <c r="Q127" s="1357"/>
      <c r="R127" s="1357"/>
      <c r="S127" s="1336"/>
      <c r="T127" s="1336"/>
      <c r="U127" s="1336"/>
      <c r="V127" s="1336"/>
      <c r="W127" s="1336"/>
      <c r="X127" s="1336"/>
      <c r="Y127" s="1343"/>
      <c r="Z127" s="1321"/>
      <c r="AA127" s="1328"/>
      <c r="AB127" s="1321"/>
      <c r="AC127" s="1321"/>
      <c r="AD127" s="1321"/>
    </row>
    <row r="128" ht="9" customHeight="1">
      <c r="A128" s="1338"/>
      <c r="B128" s="1338"/>
      <c r="C128" s="1336"/>
      <c r="D128" s="1336"/>
      <c r="E128" s="1336"/>
      <c r="F128" s="1336"/>
      <c r="G128" s="1336"/>
      <c r="H128" s="1359"/>
      <c r="I128" s="1359"/>
      <c r="J128" s="1359"/>
      <c r="K128" s="1359"/>
      <c r="L128" s="1359"/>
      <c r="M128" s="1336"/>
      <c r="N128" s="1364"/>
      <c r="O128" s="1357"/>
      <c r="P128" s="1357"/>
      <c r="Q128" s="1357"/>
      <c r="R128" s="1357"/>
      <c r="S128" s="1336"/>
      <c r="T128" s="1336"/>
      <c r="U128" s="1336"/>
      <c r="V128" s="1336"/>
      <c r="W128" s="1336"/>
      <c r="X128" s="1336"/>
      <c r="Y128" s="1343"/>
      <c r="Z128" s="1321"/>
      <c r="AA128" s="1328"/>
      <c r="AB128" s="1321"/>
      <c r="AC128" s="1321"/>
      <c r="AD128" s="1321"/>
    </row>
    <row r="129" ht="9" customHeight="1">
      <c r="A129" s="1338"/>
      <c r="B129" s="1338"/>
      <c r="C129" s="1336"/>
      <c r="D129" s="1336"/>
      <c r="E129" s="1336"/>
      <c r="F129" s="1336"/>
      <c r="G129" s="1336"/>
      <c r="H129" s="1359"/>
      <c r="I129" s="1359"/>
      <c r="J129" s="1359"/>
      <c r="K129" s="1359"/>
      <c r="L129" s="1359"/>
      <c r="M129" s="1336"/>
      <c r="N129" s="1364"/>
      <c r="O129" s="1357"/>
      <c r="P129" s="1357"/>
      <c r="Q129" s="1357"/>
      <c r="R129" s="1357"/>
      <c r="S129" s="1336"/>
      <c r="T129" s="1336"/>
      <c r="U129" s="1336"/>
      <c r="V129" s="1336"/>
      <c r="W129" s="1336"/>
      <c r="X129" s="1336"/>
      <c r="Y129" s="1343"/>
      <c r="Z129" s="1321"/>
      <c r="AA129" s="1328"/>
      <c r="AB129" s="1321"/>
      <c r="AC129" s="1321"/>
      <c r="AD129" s="1321"/>
    </row>
    <row r="130" ht="9" customHeight="1">
      <c r="A130" s="1338"/>
      <c r="B130" s="1338"/>
      <c r="C130" s="1336"/>
      <c r="D130" s="1336"/>
      <c r="E130" s="1336"/>
      <c r="F130" s="1336"/>
      <c r="G130" s="1336"/>
      <c r="H130" s="1359"/>
      <c r="I130" s="1359"/>
      <c r="J130" s="1359"/>
      <c r="K130" s="1359"/>
      <c r="L130" s="1359"/>
      <c r="M130" s="1336"/>
      <c r="N130" s="1364"/>
      <c r="O130" s="1365"/>
      <c r="P130" s="1365"/>
      <c r="Q130" s="1365"/>
      <c r="R130" s="1365"/>
      <c r="S130" s="1336"/>
      <c r="T130" s="1336"/>
      <c r="U130" s="1336"/>
      <c r="V130" s="1336"/>
      <c r="W130" s="1336"/>
      <c r="X130" s="1336"/>
      <c r="Y130" s="1343"/>
      <c r="Z130" s="1321"/>
      <c r="AA130" s="1328"/>
      <c r="AB130" s="1321"/>
      <c r="AC130" s="1321"/>
      <c r="AD130" s="1321"/>
    </row>
    <row r="131" ht="9" customHeight="1">
      <c r="A131" s="1338"/>
      <c r="B131" s="1338"/>
      <c r="C131" s="1336"/>
      <c r="D131" s="1336"/>
      <c r="E131" s="1336"/>
      <c r="F131" s="1336"/>
      <c r="G131" s="1336"/>
      <c r="H131" s="1359"/>
      <c r="I131" s="1359"/>
      <c r="J131" s="1359"/>
      <c r="K131" s="1359"/>
      <c r="L131" s="1359"/>
      <c r="M131" s="1336"/>
      <c r="N131" s="1364"/>
      <c r="O131" s="1366"/>
      <c r="P131" s="1366"/>
      <c r="Q131" s="1366"/>
      <c r="R131" s="1366"/>
      <c r="S131" s="1336"/>
      <c r="T131" s="1336"/>
      <c r="U131" s="1336"/>
      <c r="V131" s="1336"/>
      <c r="W131" s="1336"/>
      <c r="X131" s="1336"/>
      <c r="Y131" s="1343"/>
      <c r="Z131" s="1321"/>
      <c r="AA131" s="1328"/>
      <c r="AB131" s="1321"/>
      <c r="AC131" s="1321"/>
      <c r="AD131" s="1321"/>
    </row>
    <row r="132" ht="9" customHeight="1">
      <c r="A132" s="1338"/>
      <c r="B132" s="1338"/>
      <c r="C132" s="1336"/>
      <c r="D132" s="1336"/>
      <c r="E132" s="1336"/>
      <c r="F132" s="1336"/>
      <c r="G132" s="1336"/>
      <c r="H132" s="1359"/>
      <c r="I132" s="1359"/>
      <c r="J132" s="1359"/>
      <c r="K132" s="1359"/>
      <c r="L132" s="1359"/>
      <c r="M132" s="1336"/>
      <c r="N132" s="1364"/>
      <c r="O132" s="1365"/>
      <c r="P132" s="1365"/>
      <c r="Q132" s="1365"/>
      <c r="R132" s="1365"/>
      <c r="S132" s="1336"/>
      <c r="T132" s="1336"/>
      <c r="U132" s="1336"/>
      <c r="V132" s="1336"/>
      <c r="W132" s="1336"/>
      <c r="X132" s="1336"/>
      <c r="Y132" s="1343"/>
      <c r="Z132" s="1321"/>
      <c r="AA132" s="1328"/>
      <c r="AB132" s="1321"/>
      <c r="AC132" s="1321"/>
      <c r="AD132" s="1321"/>
    </row>
    <row r="133" ht="9" customHeight="1">
      <c r="A133" s="1338"/>
      <c r="B133" s="1338"/>
      <c r="C133" s="1336"/>
      <c r="D133" s="1336"/>
      <c r="E133" s="1336"/>
      <c r="F133" s="1336"/>
      <c r="G133" s="1336"/>
      <c r="H133" s="1359"/>
      <c r="I133" s="1359"/>
      <c r="J133" s="1359"/>
      <c r="K133" s="1359"/>
      <c r="L133" s="1359"/>
      <c r="M133" s="1336"/>
      <c r="N133" s="1364"/>
      <c r="O133" s="1366"/>
      <c r="P133" s="1366"/>
      <c r="Q133" s="1366"/>
      <c r="R133" s="1366"/>
      <c r="S133" s="1336"/>
      <c r="T133" s="1336"/>
      <c r="U133" s="1336"/>
      <c r="V133" s="1336"/>
      <c r="W133" s="1336"/>
      <c r="X133" s="1336"/>
      <c r="Y133" s="1343"/>
      <c r="Z133" s="1321"/>
      <c r="AA133" s="1328"/>
      <c r="AB133" s="1321"/>
      <c r="AC133" s="1321"/>
      <c r="AD133" s="1321"/>
    </row>
    <row r="134" ht="9" customHeight="1">
      <c r="A134" s="1338"/>
      <c r="B134" s="1338"/>
      <c r="C134" s="1336"/>
      <c r="D134" s="1336"/>
      <c r="E134" s="1336"/>
      <c r="F134" s="1336"/>
      <c r="G134" s="1336"/>
      <c r="H134" s="1359"/>
      <c r="I134" s="1359"/>
      <c r="J134" s="1359"/>
      <c r="K134" s="1359"/>
      <c r="L134" s="1359"/>
      <c r="M134" s="1336"/>
      <c r="N134" s="1364"/>
      <c r="O134" s="1357"/>
      <c r="P134" s="1357"/>
      <c r="Q134" s="1357"/>
      <c r="R134" s="1357"/>
      <c r="S134" s="1336"/>
      <c r="T134" s="1336"/>
      <c r="U134" s="1336"/>
      <c r="V134" s="1336"/>
      <c r="W134" s="1336"/>
      <c r="X134" s="1336"/>
      <c r="Y134" s="1343"/>
      <c r="Z134" s="1321"/>
      <c r="AA134" s="1328"/>
      <c r="AB134" s="1321"/>
      <c r="AC134" s="1321"/>
      <c r="AD134" s="1321"/>
    </row>
    <row r="135" ht="9" customHeight="1">
      <c r="A135" s="1338"/>
      <c r="B135" s="1338"/>
      <c r="C135" s="1336"/>
      <c r="D135" s="1336"/>
      <c r="E135" s="1336"/>
      <c r="F135" s="1336"/>
      <c r="G135" s="1336"/>
      <c r="H135" s="1359"/>
      <c r="I135" s="1359"/>
      <c r="J135" s="1359"/>
      <c r="K135" s="1359"/>
      <c r="L135" s="1359"/>
      <c r="M135" s="1336"/>
      <c r="N135" s="1364"/>
      <c r="O135" s="1357"/>
      <c r="P135" s="1357"/>
      <c r="Q135" s="1357"/>
      <c r="R135" s="1357"/>
      <c r="S135" s="1336"/>
      <c r="T135" s="1336"/>
      <c r="U135" s="1336"/>
      <c r="V135" s="1336"/>
      <c r="W135" s="1336"/>
      <c r="X135" s="1336"/>
      <c r="Y135" s="1343"/>
      <c r="Z135" s="1321"/>
      <c r="AA135" s="1328"/>
      <c r="AB135" s="1321"/>
      <c r="AC135" s="1321"/>
      <c r="AD135" s="1321"/>
    </row>
    <row r="136" ht="9" customHeight="1">
      <c r="A136" s="1338"/>
      <c r="B136" s="1338"/>
      <c r="C136" s="1336"/>
      <c r="D136" s="1336"/>
      <c r="E136" s="1336"/>
      <c r="F136" s="1336"/>
      <c r="G136" s="1336"/>
      <c r="H136" s="1359"/>
      <c r="I136" s="1359"/>
      <c r="J136" s="1359"/>
      <c r="K136" s="1359"/>
      <c r="L136" s="1359"/>
      <c r="M136" s="1336"/>
      <c r="N136" s="1364"/>
      <c r="O136" s="1357"/>
      <c r="P136" s="1357"/>
      <c r="Q136" s="1357"/>
      <c r="R136" s="1357"/>
      <c r="S136" s="1336"/>
      <c r="T136" s="1336"/>
      <c r="U136" s="1336"/>
      <c r="V136" s="1336"/>
      <c r="W136" s="1336"/>
      <c r="X136" s="1336"/>
      <c r="Y136" s="1343"/>
      <c r="Z136" s="1321"/>
      <c r="AA136" s="1328"/>
      <c r="AB136" s="1321"/>
      <c r="AC136" s="1321"/>
      <c r="AD136" s="1321"/>
    </row>
    <row r="137" ht="9" customHeight="1">
      <c r="A137" s="1338"/>
      <c r="B137" s="1338"/>
      <c r="C137" s="1336"/>
      <c r="D137" s="1336"/>
      <c r="E137" s="1336"/>
      <c r="F137" s="1336"/>
      <c r="G137" s="1336"/>
      <c r="H137" s="1359"/>
      <c r="I137" s="1359"/>
      <c r="J137" s="1359"/>
      <c r="K137" s="1359"/>
      <c r="L137" s="1359"/>
      <c r="M137" s="1336"/>
      <c r="N137" s="1364"/>
      <c r="O137" s="1367"/>
      <c r="P137" s="1367"/>
      <c r="Q137" s="1367"/>
      <c r="R137" s="1367"/>
      <c r="S137" s="1336"/>
      <c r="T137" s="1336"/>
      <c r="U137" s="1336"/>
      <c r="V137" s="1336"/>
      <c r="W137" s="1336"/>
      <c r="X137" s="1336"/>
      <c r="Y137" s="1343"/>
      <c r="Z137" s="1321"/>
      <c r="AA137" s="1328"/>
      <c r="AB137" s="1321"/>
      <c r="AC137" s="1321"/>
      <c r="AD137" s="1321"/>
    </row>
    <row r="138" ht="9" customHeight="1">
      <c r="A138" s="1338"/>
      <c r="B138" s="1338"/>
      <c r="C138" s="1336"/>
      <c r="D138" s="1336"/>
      <c r="E138" s="1336"/>
      <c r="F138" s="1336"/>
      <c r="G138" s="1336"/>
      <c r="H138" s="1359"/>
      <c r="I138" s="1359"/>
      <c r="J138" s="1359"/>
      <c r="K138" s="1359"/>
      <c r="L138" s="1359"/>
      <c r="M138" s="1336"/>
      <c r="N138" s="1364"/>
      <c r="O138" s="1360"/>
      <c r="P138" s="1360"/>
      <c r="Q138" s="1360"/>
      <c r="R138" s="1360"/>
      <c r="S138" s="1336"/>
      <c r="T138" s="1336"/>
      <c r="U138" s="1336"/>
      <c r="V138" s="1336"/>
      <c r="W138" s="1336"/>
      <c r="X138" s="1336"/>
      <c r="Y138" s="1343"/>
      <c r="Z138" s="1321"/>
      <c r="AA138" s="1328"/>
      <c r="AB138" s="1321"/>
      <c r="AC138" s="1321"/>
      <c r="AD138" s="1321"/>
    </row>
    <row r="139" ht="9" customHeight="1">
      <c r="A139" s="1338"/>
      <c r="B139" s="1338"/>
      <c r="C139" s="1336"/>
      <c r="D139" s="1336"/>
      <c r="E139" s="1336"/>
      <c r="F139" s="1336"/>
      <c r="G139" s="1336"/>
      <c r="H139" s="1359"/>
      <c r="I139" s="1359"/>
      <c r="J139" s="1359"/>
      <c r="K139" s="1359"/>
      <c r="L139" s="1359"/>
      <c r="M139" s="1336"/>
      <c r="N139" s="1364"/>
      <c r="O139" s="1336"/>
      <c r="P139" s="1336"/>
      <c r="Q139" s="1336"/>
      <c r="R139" s="1336"/>
      <c r="S139" s="1336"/>
      <c r="T139" s="1336"/>
      <c r="U139" s="1336"/>
      <c r="V139" s="1336"/>
      <c r="W139" s="1336"/>
      <c r="X139" s="1336"/>
      <c r="Y139" s="1343"/>
      <c r="Z139" s="1321"/>
      <c r="AA139" s="1328"/>
      <c r="AB139" s="1321"/>
      <c r="AC139" s="1321"/>
      <c r="AD139" s="1321"/>
    </row>
    <row r="140" ht="9" customHeight="1">
      <c r="A140" s="1338"/>
      <c r="B140" s="1338"/>
      <c r="C140" s="1336"/>
      <c r="D140" s="1336"/>
      <c r="E140" s="1336"/>
      <c r="F140" s="1336"/>
      <c r="G140" s="1336"/>
      <c r="H140" s="1359"/>
      <c r="I140" s="1359"/>
      <c r="J140" s="1359"/>
      <c r="K140" s="1359"/>
      <c r="L140" s="1359"/>
      <c r="M140" s="1336"/>
      <c r="N140" s="1364"/>
      <c r="O140" s="1336"/>
      <c r="P140" s="1336"/>
      <c r="Q140" s="1336"/>
      <c r="R140" s="1336"/>
      <c r="S140" s="1336"/>
      <c r="T140" s="1336"/>
      <c r="U140" s="1336"/>
      <c r="V140" s="1336"/>
      <c r="W140" s="1336"/>
      <c r="X140" s="1336"/>
      <c r="Y140" s="1343"/>
      <c r="Z140" s="1321"/>
      <c r="AA140" s="1328"/>
      <c r="AB140" s="1321"/>
      <c r="AC140" s="1321"/>
      <c r="AD140" s="1321"/>
    </row>
    <row r="141" ht="9" customHeight="1">
      <c r="A141" s="1338"/>
      <c r="B141" s="1338"/>
      <c r="C141" s="1336"/>
      <c r="D141" s="1336"/>
      <c r="E141" s="1336"/>
      <c r="F141" s="1336"/>
      <c r="G141" s="1336"/>
      <c r="H141" s="1359"/>
      <c r="I141" s="1359"/>
      <c r="J141" s="1359"/>
      <c r="K141" s="1359"/>
      <c r="L141" s="1359"/>
      <c r="M141" s="1336"/>
      <c r="N141" s="1364"/>
      <c r="O141" s="1336"/>
      <c r="P141" s="1336"/>
      <c r="Q141" s="1336"/>
      <c r="R141" s="1336"/>
      <c r="S141" s="1336"/>
      <c r="T141" s="1336"/>
      <c r="U141" s="1336"/>
      <c r="V141" s="1336"/>
      <c r="W141" s="1336"/>
      <c r="X141" s="1336"/>
      <c r="Y141" s="1343"/>
      <c r="Z141" s="1321"/>
      <c r="AA141" s="1328"/>
      <c r="AB141" s="1321"/>
      <c r="AC141" s="1321"/>
      <c r="AD141" s="1321"/>
    </row>
    <row r="142" ht="9" customHeight="1">
      <c r="A142" s="1338"/>
      <c r="B142" s="1338"/>
      <c r="C142" s="1336"/>
      <c r="D142" s="1336"/>
      <c r="E142" s="1336"/>
      <c r="F142" s="1336"/>
      <c r="G142" s="1336"/>
      <c r="H142" s="1359"/>
      <c r="I142" s="1359"/>
      <c r="J142" s="1359"/>
      <c r="K142" s="1359"/>
      <c r="L142" s="1359"/>
      <c r="M142" s="1336"/>
      <c r="N142" s="1364"/>
      <c r="O142" s="1336"/>
      <c r="P142" s="1336"/>
      <c r="Q142" s="1336"/>
      <c r="R142" s="1336"/>
      <c r="S142" s="1336"/>
      <c r="T142" s="1336"/>
      <c r="U142" s="1336"/>
      <c r="V142" s="1336"/>
      <c r="W142" s="1336"/>
      <c r="X142" s="1336"/>
      <c r="Y142" s="1343"/>
      <c r="Z142" s="1321"/>
      <c r="AA142" s="1328"/>
      <c r="AB142" s="1321"/>
      <c r="AC142" s="1321"/>
      <c r="AD142" s="1321"/>
    </row>
    <row r="143" ht="9" customHeight="1">
      <c r="A143" s="1338"/>
      <c r="B143" s="1338"/>
      <c r="C143" s="1336"/>
      <c r="D143" s="1336"/>
      <c r="E143" s="1336"/>
      <c r="F143" s="1336"/>
      <c r="G143" s="1336"/>
      <c r="H143" s="1359"/>
      <c r="I143" s="1359"/>
      <c r="J143" s="1359"/>
      <c r="K143" s="1359"/>
      <c r="L143" s="1359"/>
      <c r="M143" s="1336"/>
      <c r="N143" s="1364"/>
      <c r="O143" s="1336"/>
      <c r="P143" s="1336"/>
      <c r="Q143" s="1336"/>
      <c r="R143" s="1336"/>
      <c r="S143" s="1336"/>
      <c r="T143" s="1336"/>
      <c r="U143" s="1336"/>
      <c r="V143" s="1336"/>
      <c r="W143" s="1336"/>
      <c r="X143" s="1336"/>
      <c r="Y143" s="1343"/>
      <c r="Z143" s="1321"/>
      <c r="AA143" s="1328"/>
      <c r="AB143" s="1321"/>
      <c r="AC143" s="1321"/>
      <c r="AD143" s="1321"/>
    </row>
    <row r="144" ht="9" customHeight="1">
      <c r="A144" s="1338"/>
      <c r="B144" s="1338"/>
      <c r="C144" s="1336"/>
      <c r="D144" s="1336"/>
      <c r="E144" s="1336"/>
      <c r="F144" s="1336"/>
      <c r="G144" s="1336"/>
      <c r="H144" s="1359"/>
      <c r="I144" s="1359"/>
      <c r="J144" s="1359"/>
      <c r="K144" s="1359"/>
      <c r="L144" s="1359"/>
      <c r="M144" s="1336"/>
      <c r="N144" s="1364"/>
      <c r="O144" s="1336"/>
      <c r="P144" s="1336"/>
      <c r="Q144" s="1336"/>
      <c r="R144" s="1336"/>
      <c r="S144" s="1336"/>
      <c r="T144" s="1336"/>
      <c r="U144" s="1336"/>
      <c r="V144" s="1336"/>
      <c r="W144" s="1336"/>
      <c r="X144" s="1336"/>
      <c r="Y144" s="1343"/>
      <c r="Z144" s="1321"/>
      <c r="AA144" s="1328"/>
      <c r="AB144" s="1321"/>
      <c r="AC144" s="1321"/>
      <c r="AD144" s="1321"/>
    </row>
    <row r="145" ht="9" customHeight="1">
      <c r="A145" s="1338"/>
      <c r="B145" s="1338"/>
      <c r="C145" s="1336"/>
      <c r="D145" s="1336"/>
      <c r="E145" s="1336"/>
      <c r="F145" s="1336"/>
      <c r="G145" s="1336"/>
      <c r="H145" s="1359"/>
      <c r="I145" s="1359"/>
      <c r="J145" s="1359"/>
      <c r="K145" s="1359"/>
      <c r="L145" s="1359"/>
      <c r="M145" s="1336"/>
      <c r="N145" s="1364"/>
      <c r="O145" s="1336"/>
      <c r="P145" s="1336"/>
      <c r="Q145" s="1336"/>
      <c r="R145" s="1336"/>
      <c r="S145" s="1336"/>
      <c r="T145" s="1336"/>
      <c r="U145" s="1336"/>
      <c r="V145" s="1336"/>
      <c r="W145" s="1336"/>
      <c r="X145" s="1336"/>
      <c r="Y145" s="1343"/>
      <c r="Z145" s="1321"/>
      <c r="AA145" s="1328"/>
      <c r="AB145" s="1321"/>
      <c r="AC145" s="1321"/>
      <c r="AD145" s="1321"/>
    </row>
    <row r="146" ht="9" customHeight="1">
      <c r="A146" s="1338"/>
      <c r="B146" s="1338"/>
      <c r="C146" s="1336"/>
      <c r="D146" s="1336"/>
      <c r="E146" s="1336"/>
      <c r="F146" s="1336"/>
      <c r="G146" s="1336"/>
      <c r="H146" s="1359"/>
      <c r="I146" s="1359"/>
      <c r="J146" s="1359"/>
      <c r="K146" s="1359"/>
      <c r="L146" s="1359"/>
      <c r="M146" s="1336"/>
      <c r="N146" s="1364"/>
      <c r="O146" s="1336"/>
      <c r="P146" s="1336"/>
      <c r="Q146" s="1336"/>
      <c r="R146" s="1336"/>
      <c r="S146" s="1336"/>
      <c r="T146" s="1336"/>
      <c r="U146" s="1336"/>
      <c r="V146" s="1336"/>
      <c r="W146" s="1336"/>
      <c r="X146" s="1336"/>
      <c r="Y146" s="1343"/>
      <c r="Z146" s="1321"/>
      <c r="AA146" s="1328"/>
      <c r="AB146" s="1321"/>
      <c r="AC146" s="1321"/>
      <c r="AD146" s="1321"/>
    </row>
    <row r="147" ht="9" customHeight="1">
      <c r="A147" s="1338"/>
      <c r="B147" s="1338"/>
      <c r="C147" s="1338"/>
      <c r="D147" s="1338"/>
      <c r="E147" s="1338"/>
      <c r="F147" s="1338"/>
      <c r="G147" s="1338"/>
      <c r="H147" s="1338"/>
      <c r="I147" s="1338"/>
      <c r="J147" s="1338"/>
      <c r="K147" s="1338"/>
      <c r="L147" s="1338"/>
      <c r="M147" s="1338"/>
      <c r="N147" s="1338"/>
      <c r="O147" s="1338"/>
      <c r="P147" s="1338"/>
      <c r="Q147" s="1338"/>
      <c r="R147" s="1338"/>
      <c r="S147" s="1338"/>
      <c r="T147" s="1338"/>
      <c r="U147" s="1338"/>
      <c r="V147" s="1338"/>
      <c r="W147" s="1338"/>
      <c r="X147" s="1338"/>
      <c r="Y147" s="1338"/>
      <c r="Z147" s="1338"/>
      <c r="AA147" s="1338"/>
      <c r="AB147" s="1338"/>
      <c r="AC147" s="1338"/>
      <c r="AD147" s="1338"/>
    </row>
    <row r="148" ht="90" customHeight="1">
      <c r="A148" s="1338" t="s">
        <v>1684</v>
      </c>
      <c r="B148" s="1338"/>
      <c r="C148" s="1336" t="s">
        <v>2245</v>
      </c>
      <c r="D148" s="1336" t="s">
        <v>1586</v>
      </c>
      <c r="E148" s="1336" t="s">
        <v>1686</v>
      </c>
      <c r="F148" s="1336" t="s">
        <v>2246</v>
      </c>
      <c r="G148" s="1336"/>
      <c r="H148" s="1336"/>
      <c r="I148" s="1368"/>
      <c r="J148" s="1368"/>
      <c r="K148" s="1368"/>
      <c r="L148" s="1368"/>
      <c r="M148" s="1369" t="str">
        <f>IF(TEMPLATE_SPHERE="HEAT",T148,IF(TEMPLATE_SPHERE="TKO",X148,U148))</f>
        <v xml:space="preserve">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1349"/>
      <c r="O148" s="1336"/>
      <c r="P148" s="1342"/>
      <c r="Q148" s="1342"/>
      <c r="R148" s="1342"/>
      <c r="S148" s="1336"/>
      <c r="T148" s="1336" t="s">
        <v>2247</v>
      </c>
      <c r="U148" s="1342"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 xml:space="preserve">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1342"/>
      <c r="W148" s="1342"/>
      <c r="X148" s="1336" t="s">
        <v>2248</v>
      </c>
      <c r="Y148" s="1343"/>
      <c r="Z148" s="1321"/>
      <c r="AA148" s="1328"/>
      <c r="AB148" s="1321"/>
      <c r="AC148" s="1321"/>
      <c r="AD148" s="1321"/>
    </row>
    <row r="149" ht="9" customHeight="1">
      <c r="A149" s="1338"/>
      <c r="B149" s="1338"/>
      <c r="C149" s="1338"/>
      <c r="D149" s="1338"/>
      <c r="E149" s="1338"/>
      <c r="F149" s="1338"/>
      <c r="G149" s="1338"/>
      <c r="H149" s="1338"/>
      <c r="I149" s="1338"/>
      <c r="J149" s="1338"/>
      <c r="K149" s="1338"/>
      <c r="L149" s="1338"/>
      <c r="M149" s="1338"/>
      <c r="N149" s="1338"/>
      <c r="O149" s="1338"/>
      <c r="P149" s="1338"/>
      <c r="Q149" s="1338"/>
      <c r="R149" s="1338"/>
      <c r="S149" s="1338"/>
      <c r="T149" s="1338"/>
      <c r="U149" s="1338"/>
      <c r="V149" s="1338"/>
      <c r="W149" s="1338"/>
      <c r="X149" s="1338"/>
      <c r="Y149" s="1338"/>
      <c r="Z149" s="1338"/>
      <c r="AA149" s="1338"/>
      <c r="AB149" s="1338"/>
      <c r="AC149" s="1338"/>
      <c r="AD149" s="1338"/>
    </row>
    <row r="150" ht="9" customHeight="1">
      <c r="A150" s="1338" t="s">
        <v>1688</v>
      </c>
      <c r="B150" s="1338"/>
      <c r="C150" s="1336"/>
      <c r="D150" s="1336"/>
      <c r="E150" s="1336"/>
      <c r="F150" s="1336"/>
      <c r="G150" s="1336"/>
      <c r="H150" s="1336"/>
      <c r="I150" s="1336"/>
      <c r="J150" s="1336"/>
      <c r="K150" s="1336"/>
      <c r="L150" s="1336"/>
      <c r="M150" s="1336"/>
      <c r="N150" s="1336"/>
      <c r="O150" s="1336"/>
      <c r="P150" s="1336"/>
      <c r="Q150" s="1336"/>
      <c r="R150" s="1336"/>
      <c r="S150" s="1336"/>
      <c r="T150" s="1336"/>
      <c r="U150" s="1336"/>
      <c r="V150" s="1336"/>
      <c r="W150" s="1336"/>
      <c r="X150" s="1336"/>
      <c r="Y150" s="1343"/>
      <c r="Z150" s="1321"/>
      <c r="AA150" s="1328"/>
      <c r="AB150" s="1321"/>
      <c r="AC150" s="1321"/>
      <c r="AD150" s="1321"/>
    </row>
    <row r="151" ht="9" customHeight="1">
      <c r="A151" s="1338"/>
      <c r="B151" s="1338"/>
      <c r="C151" s="1338"/>
      <c r="D151" s="1338"/>
      <c r="E151" s="1338"/>
      <c r="F151" s="1338"/>
      <c r="G151" s="1338"/>
      <c r="H151" s="1338"/>
      <c r="I151" s="1338"/>
      <c r="J151" s="1338"/>
      <c r="K151" s="1338"/>
      <c r="L151" s="1338"/>
      <c r="M151" s="1338"/>
      <c r="N151" s="1338"/>
      <c r="O151" s="1338"/>
      <c r="P151" s="1338"/>
      <c r="Q151" s="1338"/>
      <c r="R151" s="1338"/>
      <c r="S151" s="1338"/>
      <c r="T151" s="1338"/>
      <c r="U151" s="1338"/>
      <c r="V151" s="1338"/>
      <c r="W151" s="1338"/>
      <c r="X151" s="1338"/>
      <c r="Y151" s="1338"/>
      <c r="Z151" s="1338"/>
      <c r="AA151" s="1338"/>
      <c r="AB151" s="1338"/>
      <c r="AC151" s="1338"/>
      <c r="AD151" s="1338"/>
    </row>
    <row r="152" ht="9" customHeight="1">
      <c r="A152" s="1338" t="s">
        <v>1691</v>
      </c>
      <c r="B152" s="1338"/>
      <c r="C152" s="1336"/>
      <c r="D152" s="1336"/>
      <c r="E152" s="1336"/>
      <c r="F152" s="1336"/>
      <c r="G152" s="1336"/>
      <c r="H152" s="1336"/>
      <c r="I152" s="1336"/>
      <c r="J152" s="1336"/>
      <c r="K152" s="1336"/>
      <c r="L152" s="1336"/>
      <c r="M152" s="1336"/>
      <c r="N152" s="1336"/>
      <c r="O152" s="1336"/>
      <c r="P152" s="1336"/>
      <c r="Q152" s="1336"/>
      <c r="R152" s="1336"/>
      <c r="S152" s="1336"/>
      <c r="T152" s="1336"/>
      <c r="U152" s="1336"/>
      <c r="V152" s="1336"/>
      <c r="W152" s="1336"/>
      <c r="X152" s="1336"/>
      <c r="Y152" s="1343"/>
      <c r="Z152" s="1321"/>
      <c r="AA152" s="1328"/>
      <c r="AB152" s="1321"/>
      <c r="AC152" s="1321"/>
      <c r="AD152" s="1321"/>
    </row>
    <row r="153" ht="9" customHeight="1">
      <c r="A153" s="1338"/>
      <c r="B153" s="1338"/>
      <c r="C153" s="1338"/>
      <c r="D153" s="1338"/>
      <c r="E153" s="1338"/>
      <c r="F153" s="1338"/>
      <c r="G153" s="1338"/>
      <c r="H153" s="1338"/>
      <c r="I153" s="1338"/>
      <c r="J153" s="1338"/>
      <c r="K153" s="1338"/>
      <c r="L153" s="1338"/>
      <c r="M153" s="1338"/>
      <c r="N153" s="1338"/>
      <c r="O153" s="1338"/>
      <c r="P153" s="1338"/>
      <c r="Q153" s="1338"/>
      <c r="R153" s="1338"/>
      <c r="S153" s="1338"/>
      <c r="T153" s="1338"/>
      <c r="U153" s="1338"/>
      <c r="V153" s="1338"/>
      <c r="W153" s="1338"/>
      <c r="X153" s="1338"/>
      <c r="Y153" s="1338"/>
      <c r="Z153" s="1338"/>
      <c r="AA153" s="1338"/>
      <c r="AB153" s="1338"/>
      <c r="AC153" s="1338"/>
      <c r="AD153" s="1338"/>
    </row>
    <row r="154" ht="9" customHeight="1">
      <c r="A154" s="1338" t="s">
        <v>1696</v>
      </c>
      <c r="B154" s="1338"/>
      <c r="C154" s="1336"/>
      <c r="D154" s="1336"/>
      <c r="E154" s="1336"/>
      <c r="F154" s="1336"/>
      <c r="G154" s="1336"/>
      <c r="H154" s="1336"/>
      <c r="I154" s="1336"/>
      <c r="J154" s="1336"/>
      <c r="K154" s="1336"/>
      <c r="L154" s="1336"/>
      <c r="M154" s="1336"/>
      <c r="N154" s="1336"/>
      <c r="O154" s="1336"/>
      <c r="P154" s="1336"/>
      <c r="Q154" s="1336"/>
      <c r="R154" s="1336"/>
      <c r="S154" s="1336"/>
      <c r="T154" s="1336"/>
      <c r="U154" s="1336"/>
      <c r="V154" s="1336"/>
      <c r="W154" s="1336"/>
      <c r="X154" s="1336"/>
      <c r="Y154" s="1343"/>
      <c r="Z154" s="1321"/>
      <c r="AA154" s="1328"/>
      <c r="AB154" s="1321"/>
      <c r="AC154" s="1321"/>
      <c r="AD154" s="1321"/>
    </row>
  </sheetData>
  <sheetProtection autoFilter="0" deleteColumns="1" deleteRows="1" formatCells="1" formatColumns="1" formatRows="1" insertColumns="1" insertHyperlinks="1" insertRows="1" objects="0" pivotTables="1" scenarios="0" selectLockedCells="0" selectUnlockedCells="0" sheet="1" sort="1"/>
  <mergeCells count="12">
    <mergeCell ref="O1:S1"/>
    <mergeCell ref="T1:X1"/>
    <mergeCell ref="Z1:AD1"/>
    <mergeCell ref="C3:F3"/>
    <mergeCell ref="A11:A15"/>
    <mergeCell ref="C11:C16"/>
    <mergeCell ref="D11:D16"/>
    <mergeCell ref="E11:E16"/>
    <mergeCell ref="F11:F16"/>
    <mergeCell ref="G11:G16"/>
    <mergeCell ref="H13:H14"/>
    <mergeCell ref="H15:H16"/>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legacyDrawing r:id="rId3"/>
</worksheet>
</file>

<file path=xl/worksheets/sheet6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6" tint="0.40000000000000002"/>
    <outlinePr applyStyles="0" summaryBelow="1" summaryRight="1" showOutlineSymbols="1"/>
    <pageSetUpPr autoPageBreaks="1" fitToPage="0"/>
  </sheetPr>
  <sheetViews>
    <sheetView showGridLines="0" topLeftCell="I4" zoomScale="100" workbookViewId="0">
      <selection activeCell="A1" activeCellId="0" sqref="A1"/>
    </sheetView>
  </sheetViews>
  <sheetFormatPr defaultColWidth="10.57421875" defaultRowHeight="14.25" customHeight="1"/>
  <cols>
    <col hidden="1" min="1" max="1" style="53" width="10.57421875"/>
    <col customWidth="1" hidden="1" min="2" max="2" style="53" width="11.00390625"/>
    <col hidden="1" min="3" max="3" style="53" width="10.57421875"/>
    <col customWidth="1" hidden="1" min="4" max="4" style="53" width="11.8515625"/>
    <col customWidth="1" hidden="1" min="5" max="5" style="53" width="12.28125"/>
    <col customWidth="1" hidden="1" min="6" max="8" style="61" width="12.28125"/>
    <col customWidth="1" min="9" max="9" style="60" width="3.00390625"/>
    <col customWidth="1" min="10" max="11" style="479" width="3.00390625"/>
    <col customWidth="1" min="12" max="12" style="86" width="12.00390625"/>
    <col customWidth="1" min="13" max="13" style="50" width="31.00390625"/>
    <col customWidth="1" min="14" max="14" style="50" width="1.00390625"/>
    <col customWidth="1" min="15" max="18" style="50" width="24.00390625"/>
    <col customWidth="1" min="19" max="19" style="50" width="11.00390625"/>
    <col customWidth="1" min="20" max="20" style="50" width="3.7109375"/>
    <col customWidth="1" min="21" max="21" style="50" width="11.00390625"/>
    <col customWidth="1" min="22" max="22" style="50" width="8.57421875"/>
    <col customWidth="1" min="23" max="23" style="50" width="4.00390625"/>
    <col customWidth="1" min="24" max="24" style="50" width="115.00390625"/>
    <col customWidth="1" min="25" max="29" style="57" width="10.00390625"/>
    <col hidden="1" min="30" max="30" style="50" width="10.57421875"/>
  </cols>
  <sheetData>
    <row r="1" ht="22.5" hidden="1" customHeight="1">
      <c r="R1" s="50"/>
      <c r="S1" s="50"/>
      <c r="AD1" s="50" t="s">
        <v>14</v>
      </c>
    </row>
    <row r="2" ht="14.25" hidden="1" customHeight="1">
      <c r="V2" s="50"/>
      <c r="AD2" s="50">
        <v>0</v>
      </c>
    </row>
    <row r="3" ht="14.25" hidden="1" customHeight="1">
      <c r="AD3" s="50">
        <v>0</v>
      </c>
    </row>
    <row r="4" ht="14.65" customHeight="1">
      <c r="J4" s="540"/>
      <c r="K4" s="540"/>
      <c r="L4" s="541"/>
      <c r="M4" s="91"/>
      <c r="N4" s="91"/>
      <c r="O4" s="50"/>
      <c r="P4" s="50"/>
      <c r="Q4" s="50"/>
      <c r="R4" s="50"/>
      <c r="S4" s="50"/>
      <c r="T4" s="50"/>
      <c r="U4" s="50"/>
      <c r="V4" s="50"/>
      <c r="AD4" s="50">
        <v>14</v>
      </c>
    </row>
    <row r="5" ht="67.200000000000003" customHeight="1">
      <c r="J5" s="540"/>
      <c r="K5" s="540"/>
      <c r="L5" s="1370" t="s">
        <v>2249</v>
      </c>
      <c r="M5" s="1370"/>
      <c r="N5" s="1370"/>
      <c r="O5" s="1370"/>
      <c r="P5" s="1370"/>
      <c r="Q5" s="1370"/>
      <c r="R5" s="1370"/>
      <c r="S5" s="1370"/>
      <c r="T5" s="1370"/>
      <c r="U5" s="1370"/>
      <c r="V5" s="241"/>
      <c r="AD5" s="50">
        <v>64</v>
      </c>
    </row>
    <row r="6" ht="14.65" customHeight="1">
      <c r="J6" s="540"/>
      <c r="K6" s="540"/>
      <c r="L6" s="1371" t="str">
        <f>IF(org=0,"Не определено",org)</f>
        <v xml:space="preserve">АО "ДГК" СП "Биробиджанская ТЭЦ"</v>
      </c>
      <c r="M6" s="1371"/>
      <c r="N6" s="1371"/>
      <c r="O6" s="1371"/>
      <c r="P6" s="1371"/>
      <c r="Q6" s="1371"/>
      <c r="R6" s="1371"/>
      <c r="S6" s="1371"/>
      <c r="T6" s="1371"/>
      <c r="U6" s="1371"/>
      <c r="V6" s="241"/>
      <c r="AD6" s="50">
        <v>14</v>
      </c>
    </row>
    <row r="7" ht="14.65" customHeight="1">
      <c r="J7" s="540"/>
      <c r="K7" s="540"/>
      <c r="L7" s="541"/>
      <c r="M7" s="91"/>
      <c r="N7" s="91"/>
      <c r="O7" s="542"/>
      <c r="P7" s="542"/>
      <c r="Q7" s="542"/>
      <c r="R7" s="542"/>
      <c r="S7" s="542"/>
      <c r="T7" s="542"/>
      <c r="U7" s="542"/>
      <c r="V7" s="542"/>
      <c r="W7" s="50"/>
      <c r="AD7" s="50">
        <v>14</v>
      </c>
    </row>
    <row r="8" s="185" customFormat="1" ht="48.25" customHeight="1">
      <c r="A8" s="152"/>
      <c r="B8" s="152"/>
      <c r="C8" s="152"/>
      <c r="D8" s="152"/>
      <c r="E8" s="152"/>
      <c r="F8" s="152"/>
      <c r="G8" s="152"/>
      <c r="H8" s="152"/>
      <c r="L8" s="1106"/>
      <c r="M8" s="543" t="s">
        <v>41</v>
      </c>
      <c r="N8" s="1090"/>
      <c r="O8" s="545" t="str">
        <f>IF(TITLE_NAME_OR_PR_CHANGE="",IF(TITLE_NAME_OR_PR="","",TITLE_NAME_OR_PR),TITLE_NAME_OR_PR_CHANGE)</f>
        <v/>
      </c>
      <c r="P8" s="545"/>
      <c r="Q8" s="545"/>
      <c r="R8" s="545"/>
      <c r="S8" s="545"/>
      <c r="T8" s="545"/>
      <c r="U8" s="545"/>
      <c r="V8" s="50"/>
      <c r="W8" s="50"/>
      <c r="X8" s="546"/>
      <c r="Y8" s="130"/>
      <c r="Z8" s="130"/>
      <c r="AA8" s="130"/>
      <c r="AB8" s="130"/>
      <c r="AC8" s="130"/>
      <c r="AD8" s="185">
        <v>46</v>
      </c>
    </row>
    <row r="9" s="185" customFormat="1" ht="24" customHeight="1">
      <c r="A9" s="152"/>
      <c r="B9" s="152"/>
      <c r="C9" s="152"/>
      <c r="D9" s="152"/>
      <c r="E9" s="152"/>
      <c r="F9" s="152"/>
      <c r="G9" s="152"/>
      <c r="H9" s="152"/>
      <c r="L9" s="1106"/>
      <c r="M9" s="543" t="s">
        <v>417</v>
      </c>
      <c r="N9" s="1090"/>
      <c r="O9" s="545" t="str">
        <f>IF(TITLE_DATE_CHANGE_PERIOD="",IF(TITLE_DATE_PR="","",TITLE_DATE_PR),TITLE_DATE_CHANGE_PERIOD)</f>
        <v/>
      </c>
      <c r="P9" s="545"/>
      <c r="Q9" s="545"/>
      <c r="R9" s="545"/>
      <c r="S9" s="545"/>
      <c r="T9" s="545"/>
      <c r="U9" s="545"/>
      <c r="V9" s="50"/>
      <c r="W9" s="50"/>
      <c r="X9" s="546"/>
      <c r="Y9" s="130"/>
      <c r="Z9" s="130"/>
      <c r="AA9" s="130"/>
      <c r="AB9" s="130"/>
      <c r="AC9" s="130"/>
      <c r="AD9" s="185">
        <v>23</v>
      </c>
    </row>
    <row r="10" s="185" customFormat="1" ht="24" customHeight="1">
      <c r="A10" s="152"/>
      <c r="B10" s="152"/>
      <c r="C10" s="152"/>
      <c r="D10" s="152"/>
      <c r="E10" s="152"/>
      <c r="F10" s="152"/>
      <c r="G10" s="152"/>
      <c r="H10" s="152"/>
      <c r="L10" s="86"/>
      <c r="M10" s="543" t="s">
        <v>418</v>
      </c>
      <c r="N10" s="1090"/>
      <c r="O10" s="545" t="str">
        <f>IF(TITLE_NUMBER_PR_CHANGE="",IF(TITLE_NUMBER_PR="","",TITLE_NUMBER_PR),TITLE_NUMBER_PR_CHANGE)</f>
        <v/>
      </c>
      <c r="P10" s="545"/>
      <c r="Q10" s="545"/>
      <c r="R10" s="545"/>
      <c r="S10" s="545"/>
      <c r="T10" s="545"/>
      <c r="U10" s="545"/>
      <c r="V10" s="50"/>
      <c r="W10" s="50"/>
      <c r="X10" s="546"/>
      <c r="Y10" s="130"/>
      <c r="Z10" s="130"/>
      <c r="AA10" s="130"/>
      <c r="AB10" s="130"/>
      <c r="AC10" s="130"/>
      <c r="AD10" s="185">
        <v>23</v>
      </c>
    </row>
    <row r="11" s="185" customFormat="1" ht="24" customHeight="1">
      <c r="A11" s="152"/>
      <c r="B11" s="152"/>
      <c r="C11" s="152"/>
      <c r="D11" s="152"/>
      <c r="E11" s="152"/>
      <c r="F11" s="152"/>
      <c r="G11" s="152"/>
      <c r="H11" s="152"/>
      <c r="L11" s="86"/>
      <c r="M11" s="543" t="s">
        <v>42</v>
      </c>
      <c r="N11" s="1090"/>
      <c r="O11" s="545" t="str">
        <f>IF(TITLE_IST_PUB_CHANGE="",IF(TITLE_IST_PUB="","",TITLE_IST_PUB),TITLE_IST_PUB_CHANGE)</f>
        <v/>
      </c>
      <c r="P11" s="545"/>
      <c r="Q11" s="545"/>
      <c r="R11" s="545"/>
      <c r="S11" s="545"/>
      <c r="T11" s="545"/>
      <c r="U11" s="545"/>
      <c r="V11" s="50"/>
      <c r="W11" s="50"/>
      <c r="X11" s="546"/>
      <c r="Y11" s="130"/>
      <c r="Z11" s="130"/>
      <c r="AA11" s="130"/>
      <c r="AB11" s="130"/>
      <c r="AC11" s="130"/>
      <c r="AD11" s="185">
        <v>23</v>
      </c>
    </row>
    <row r="12" s="185" customFormat="1" ht="11.25" hidden="1" customHeight="1">
      <c r="A12" s="152"/>
      <c r="B12" s="152"/>
      <c r="C12" s="152"/>
      <c r="D12" s="152"/>
      <c r="E12" s="152"/>
      <c r="F12" s="152"/>
      <c r="G12" s="152"/>
      <c r="H12" s="152"/>
      <c r="L12" s="141"/>
      <c r="M12" s="141"/>
      <c r="N12" s="141"/>
      <c r="O12" s="50"/>
      <c r="P12" s="50"/>
      <c r="Q12" s="50"/>
      <c r="R12" s="50"/>
      <c r="S12" s="50"/>
      <c r="T12" s="50"/>
      <c r="U12" s="50"/>
      <c r="V12" s="57" t="s">
        <v>421</v>
      </c>
      <c r="Y12" s="130"/>
      <c r="Z12" s="130"/>
      <c r="AA12" s="130"/>
      <c r="AB12" s="130"/>
      <c r="AC12" s="130"/>
      <c r="AD12" s="185">
        <v>0</v>
      </c>
    </row>
    <row r="13" ht="14.65" customHeight="1">
      <c r="J13" s="540"/>
      <c r="K13" s="540"/>
      <c r="L13" s="541"/>
      <c r="M13" s="91"/>
      <c r="N13" s="548"/>
      <c r="O13" s="549"/>
      <c r="P13" s="549"/>
      <c r="Q13" s="549"/>
      <c r="R13" s="549"/>
      <c r="S13" s="549"/>
      <c r="T13" s="549"/>
      <c r="U13" s="549"/>
      <c r="V13" s="549"/>
      <c r="AD13" s="50">
        <v>14</v>
      </c>
    </row>
    <row r="14" ht="14.65" customHeight="1">
      <c r="J14" s="540"/>
      <c r="K14" s="540"/>
      <c r="L14" s="158" t="s">
        <v>294</v>
      </c>
      <c r="M14" s="158"/>
      <c r="N14" s="158"/>
      <c r="O14" s="158"/>
      <c r="P14" s="158"/>
      <c r="Q14" s="158"/>
      <c r="R14" s="158"/>
      <c r="S14" s="158"/>
      <c r="T14" s="158"/>
      <c r="U14" s="158"/>
      <c r="V14" s="158"/>
      <c r="W14" s="158"/>
      <c r="X14" s="158" t="s">
        <v>295</v>
      </c>
      <c r="AD14" s="50">
        <v>14</v>
      </c>
    </row>
    <row r="15" ht="14.65" customHeight="1">
      <c r="J15" s="540"/>
      <c r="K15" s="540"/>
      <c r="L15" s="485" t="s">
        <v>87</v>
      </c>
      <c r="M15" s="348" t="s">
        <v>422</v>
      </c>
      <c r="N15" s="550"/>
      <c r="O15" s="551" t="s">
        <v>2250</v>
      </c>
      <c r="P15" s="552"/>
      <c r="Q15" s="552"/>
      <c r="R15" s="552"/>
      <c r="S15" s="552"/>
      <c r="T15" s="552"/>
      <c r="U15" s="553"/>
      <c r="V15" s="554" t="s">
        <v>424</v>
      </c>
      <c r="W15" s="555" t="s">
        <v>1177</v>
      </c>
      <c r="X15" s="158"/>
      <c r="AD15" s="50">
        <v>14</v>
      </c>
    </row>
    <row r="16" ht="35.649999999999999" customHeight="1">
      <c r="J16" s="540"/>
      <c r="K16" s="540"/>
      <c r="L16" s="485"/>
      <c r="M16" s="348"/>
      <c r="N16" s="556"/>
      <c r="O16" s="308" t="s">
        <v>427</v>
      </c>
      <c r="P16" s="308" t="s">
        <v>428</v>
      </c>
      <c r="Q16" s="73" t="s">
        <v>429</v>
      </c>
      <c r="R16" s="72"/>
      <c r="S16" s="73" t="s">
        <v>443</v>
      </c>
      <c r="T16" s="146"/>
      <c r="U16" s="72"/>
      <c r="V16" s="558"/>
      <c r="W16" s="559"/>
      <c r="X16" s="158"/>
      <c r="AD16" s="50">
        <v>34</v>
      </c>
    </row>
    <row r="17" ht="35.649999999999999" customHeight="1">
      <c r="A17" s="152" t="s">
        <v>130</v>
      </c>
      <c r="B17" s="152" t="s">
        <v>131</v>
      </c>
      <c r="C17" s="152" t="s">
        <v>132</v>
      </c>
      <c r="D17" s="152" t="s">
        <v>133</v>
      </c>
      <c r="E17" s="152"/>
      <c r="J17" s="540"/>
      <c r="K17" s="540"/>
      <c r="L17" s="485"/>
      <c r="M17" s="348"/>
      <c r="N17" s="560"/>
      <c r="O17" s="163"/>
      <c r="P17" s="163"/>
      <c r="Q17" s="247" t="s">
        <v>438</v>
      </c>
      <c r="R17" s="247" t="s">
        <v>439</v>
      </c>
      <c r="S17" s="247" t="s">
        <v>440</v>
      </c>
      <c r="T17" s="416" t="s">
        <v>441</v>
      </c>
      <c r="U17" s="418"/>
      <c r="V17" s="562"/>
      <c r="W17" s="563"/>
      <c r="X17" s="158"/>
      <c r="AD17" s="50">
        <v>34</v>
      </c>
    </row>
    <row r="18" s="132" customFormat="1" ht="11.5" customHeight="1">
      <c r="A18" s="152"/>
      <c r="B18" s="152"/>
      <c r="C18" s="152"/>
      <c r="D18" s="152"/>
      <c r="E18" s="152"/>
      <c r="F18" s="61"/>
      <c r="G18" s="61"/>
      <c r="H18" s="61"/>
      <c r="I18" s="564"/>
      <c r="J18" s="565"/>
      <c r="K18" s="566">
        <v>1</v>
      </c>
      <c r="L18" s="567" t="s">
        <v>105</v>
      </c>
      <c r="M18" s="568" t="s">
        <v>106</v>
      </c>
      <c r="N18" s="569" t="str">
        <f ca="1">OFFSET(N18,0,-1)</f>
        <v>2</v>
      </c>
      <c r="O18" s="570">
        <f ca="1">OFFSET(O18,0,-1)+1</f>
        <v>3</v>
      </c>
      <c r="P18" s="570"/>
      <c r="Q18" s="570">
        <f ca="1">OFFSET(Q18,0,-1)+1</f>
        <v>1</v>
      </c>
      <c r="R18" s="570">
        <f ca="1">OFFSET(R18,0,-1)+1</f>
        <v>2</v>
      </c>
      <c r="S18" s="570">
        <f ca="1">OFFSET(S18,0,-1)+1</f>
        <v>3</v>
      </c>
      <c r="T18" s="570">
        <f ca="1">OFFSET(T18,0,-1)+1</f>
        <v>4</v>
      </c>
      <c r="U18" s="570"/>
      <c r="V18" s="570">
        <f ca="1">OFFSET(V18,0,-2)+1</f>
        <v>5</v>
      </c>
      <c r="W18" s="569">
        <f ca="1">OFFSET(W18,0,-1)</f>
        <v>5</v>
      </c>
      <c r="X18" s="570">
        <f ca="1">OFFSET(X18,0,-1)+1</f>
        <v>6</v>
      </c>
      <c r="Y18" s="57"/>
      <c r="Z18" s="57"/>
      <c r="AA18" s="57"/>
      <c r="AB18" s="57"/>
      <c r="AC18" s="57"/>
      <c r="AD18" s="132">
        <v>11</v>
      </c>
    </row>
    <row r="19" ht="21" customHeight="1">
      <c r="A19" s="480" t="s">
        <v>164</v>
      </c>
      <c r="B19" s="480" t="s">
        <v>165</v>
      </c>
      <c r="C19" s="480" t="s">
        <v>166</v>
      </c>
      <c r="D19" s="480" t="s">
        <v>167</v>
      </c>
      <c r="E19" s="480"/>
      <c r="F19" s="483"/>
      <c r="G19" s="483"/>
      <c r="H19" s="483"/>
      <c r="I19" s="60"/>
      <c r="J19" s="144"/>
      <c r="K19" s="484"/>
      <c r="L19" s="485">
        <f>INDEX(PT_DIFFERENTIATION_NUM_NTAR,MATCH(A19,PT_DIFFERENTIATION_NTAR_ID,0))</f>
        <v>0</v>
      </c>
      <c r="M19" s="486" t="s">
        <v>119</v>
      </c>
      <c r="N19" s="487"/>
      <c r="O19" s="1372" t="str">
        <f>INDEX(PT_DIFFERENTIATION_NTAR,MATCH(A19,PT_DIFFERENTIATION_NTAR_ID,0))</f>
        <v/>
      </c>
      <c r="P19" s="1372"/>
      <c r="Q19" s="1372"/>
      <c r="R19" s="1372"/>
      <c r="S19" s="1372"/>
      <c r="T19" s="1372"/>
      <c r="U19" s="1372"/>
      <c r="V19" s="1372"/>
      <c r="W19" s="1372"/>
      <c r="X19" s="491" t="s">
        <v>390</v>
      </c>
      <c r="Z19" s="130"/>
      <c r="AA19" s="130" t="str">
        <f t="shared" ref="AA19:AA32" si="85">IF(M19="","",M19)</f>
        <v xml:space="preserve">Наименование тарифа</v>
      </c>
      <c r="AB19" s="130"/>
      <c r="AC19" s="130"/>
      <c r="AD19" s="50">
        <v>20</v>
      </c>
    </row>
    <row r="20" ht="21" customHeight="1">
      <c r="A20" s="480" t="s">
        <v>164</v>
      </c>
      <c r="B20" s="480" t="s">
        <v>165</v>
      </c>
      <c r="C20" s="480" t="s">
        <v>166</v>
      </c>
      <c r="D20" s="480" t="s">
        <v>167</v>
      </c>
      <c r="E20" s="480"/>
      <c r="F20" s="483"/>
      <c r="G20" s="483"/>
      <c r="H20" s="483"/>
      <c r="I20" s="51"/>
      <c r="J20" s="493"/>
      <c r="K20" s="494"/>
      <c r="L20" s="485" t="str">
        <f>INDEX(PT_DIFFERENTIATION_NUM_TER,MATCH(B19,PT_DIFFERENTIATION_TER_ID,0))</f>
        <v>.</v>
      </c>
      <c r="M20" s="495" t="s">
        <v>391</v>
      </c>
      <c r="N20" s="487"/>
      <c r="O20" s="1372" t="str">
        <f>INDEX(PT_DIFFERENTIATION_TER,MATCH(B19,PT_DIFFERENTIATION_TER_ID,0))</f>
        <v/>
      </c>
      <c r="P20" s="1372"/>
      <c r="Q20" s="1372"/>
      <c r="R20" s="1372"/>
      <c r="S20" s="1372"/>
      <c r="T20" s="1372"/>
      <c r="U20" s="1372"/>
      <c r="V20" s="1372"/>
      <c r="W20" s="1372"/>
      <c r="X20" s="491" t="s">
        <v>392</v>
      </c>
      <c r="Z20" s="130"/>
      <c r="AA20" s="130" t="str">
        <f t="shared" si="85"/>
        <v xml:space="preserve">Территория действия тарифа</v>
      </c>
      <c r="AB20" s="130"/>
      <c r="AC20" s="130"/>
      <c r="AD20" s="50">
        <v>20</v>
      </c>
    </row>
    <row r="21" ht="24" customHeight="1">
      <c r="A21" s="480" t="s">
        <v>164</v>
      </c>
      <c r="B21" s="480" t="s">
        <v>165</v>
      </c>
      <c r="C21" s="480" t="s">
        <v>166</v>
      </c>
      <c r="D21" s="480" t="s">
        <v>167</v>
      </c>
      <c r="E21" s="480"/>
      <c r="F21" s="483"/>
      <c r="G21" s="483"/>
      <c r="H21" s="483"/>
      <c r="I21" s="496"/>
      <c r="J21" s="493"/>
      <c r="K21" s="494"/>
      <c r="L21" s="485" t="str">
        <f>INDEX(PT_DIFFERENTIATION_NUM_CS,MATCH(C19,PT_DIFFERENTIATION_CS_ID,0))</f>
        <v>..</v>
      </c>
      <c r="M21" s="497" t="s">
        <v>393</v>
      </c>
      <c r="N21" s="487"/>
      <c r="O21" s="1372" t="str">
        <f>INDEX(PT_DIFFERENTIATION_CS,MATCH(C19,PT_DIFFERENTIATION_CS_ID,0))</f>
        <v/>
      </c>
      <c r="P21" s="1372"/>
      <c r="Q21" s="1372"/>
      <c r="R21" s="1372"/>
      <c r="S21" s="1372"/>
      <c r="T21" s="1372"/>
      <c r="U21" s="1372"/>
      <c r="V21" s="1372"/>
      <c r="W21" s="1372"/>
      <c r="X21" s="491" t="s">
        <v>394</v>
      </c>
      <c r="Z21" s="130"/>
      <c r="AA21" s="130" t="str">
        <f t="shared" si="85"/>
        <v xml:space="preserve">Наименование системы теплоснабжения </v>
      </c>
      <c r="AB21" s="130"/>
      <c r="AC21" s="130"/>
      <c r="AD21" s="50">
        <v>23</v>
      </c>
    </row>
    <row r="22" ht="21" customHeight="1">
      <c r="A22" s="480" t="s">
        <v>164</v>
      </c>
      <c r="B22" s="480" t="s">
        <v>165</v>
      </c>
      <c r="C22" s="480" t="s">
        <v>166</v>
      </c>
      <c r="D22" s="480" t="s">
        <v>167</v>
      </c>
      <c r="E22" s="480"/>
      <c r="F22" s="483"/>
      <c r="G22" s="483"/>
      <c r="H22" s="483"/>
      <c r="I22" s="496"/>
      <c r="J22" s="493"/>
      <c r="K22" s="494"/>
      <c r="L22" s="485" t="str">
        <f>INDEX(PT_DIFFERENTIATION_NUM_IST_TE,MATCH(D19,PT_DIFFERENTIATION_IST_TE_ID,0))</f>
        <v>...</v>
      </c>
      <c r="M22" s="498" t="s">
        <v>395</v>
      </c>
      <c r="N22" s="487"/>
      <c r="O22" s="1372" t="str">
        <f>INDEX(PT_DIFFERENTIATION_IST_TE,MATCH(D19,PT_DIFFERENTIATION_IST_TE_ID,0))</f>
        <v/>
      </c>
      <c r="P22" s="1372"/>
      <c r="Q22" s="1372"/>
      <c r="R22" s="1372"/>
      <c r="S22" s="1372"/>
      <c r="T22" s="1372"/>
      <c r="U22" s="1372"/>
      <c r="V22" s="1372"/>
      <c r="W22" s="1372"/>
      <c r="X22" s="491" t="s">
        <v>396</v>
      </c>
      <c r="Z22" s="130"/>
      <c r="AA22" s="130" t="str">
        <f t="shared" si="85"/>
        <v xml:space="preserve">Источник тепловой энергии  </v>
      </c>
      <c r="AB22" s="130"/>
      <c r="AC22" s="130"/>
      <c r="AD22" s="50">
        <v>20</v>
      </c>
    </row>
    <row r="23" ht="96.75" customHeight="1">
      <c r="A23" s="480" t="s">
        <v>164</v>
      </c>
      <c r="B23" s="480" t="s">
        <v>165</v>
      </c>
      <c r="C23" s="480" t="s">
        <v>166</v>
      </c>
      <c r="D23" s="480" t="s">
        <v>167</v>
      </c>
      <c r="E23" s="480"/>
      <c r="F23" s="114" t="str">
        <f>L22&amp;".1"</f>
        <v>....1</v>
      </c>
      <c r="I23" s="133">
        <v>1</v>
      </c>
      <c r="J23" s="133"/>
      <c r="K23" s="500"/>
      <c r="L23" s="485" t="str">
        <f>$F$23</f>
        <v>....1</v>
      </c>
      <c r="M23" s="501" t="s">
        <v>398</v>
      </c>
      <c r="N23" s="487"/>
      <c r="O23" s="608"/>
      <c r="P23" s="608"/>
      <c r="Q23" s="608"/>
      <c r="R23" s="608"/>
      <c r="S23" s="608"/>
      <c r="T23" s="608"/>
      <c r="U23" s="608"/>
      <c r="V23" s="608"/>
      <c r="W23" s="608"/>
      <c r="X23" s="491" t="s">
        <v>399</v>
      </c>
      <c r="Z23" s="130"/>
      <c r="AA23" s="130" t="str">
        <f t="shared" si="85"/>
        <v xml:space="preserve">Схема подключения теплопотребляющей установки к коллектору источника тепловой энергии</v>
      </c>
      <c r="AB23" s="130"/>
      <c r="AC23" s="130"/>
      <c r="AD23" s="50">
        <v>92</v>
      </c>
    </row>
    <row r="24" ht="86.25" customHeight="1">
      <c r="A24" s="480" t="s">
        <v>164</v>
      </c>
      <c r="B24" s="480" t="s">
        <v>165</v>
      </c>
      <c r="C24" s="480" t="s">
        <v>166</v>
      </c>
      <c r="D24" s="480" t="s">
        <v>167</v>
      </c>
      <c r="E24" s="480"/>
      <c r="F24" s="114"/>
      <c r="G24" s="114" t="str">
        <f>F23&amp;".1"</f>
        <v>....1.1</v>
      </c>
      <c r="I24" s="133"/>
      <c r="J24" s="133">
        <v>1</v>
      </c>
      <c r="K24" s="505"/>
      <c r="L24" s="485" t="str">
        <f>$G$24</f>
        <v>....1.1</v>
      </c>
      <c r="M24" s="506" t="s">
        <v>401</v>
      </c>
      <c r="N24" s="487"/>
      <c r="O24" s="432"/>
      <c r="P24" s="502"/>
      <c r="Q24" s="502"/>
      <c r="R24" s="502"/>
      <c r="S24" s="502"/>
      <c r="T24" s="502"/>
      <c r="U24" s="502"/>
      <c r="V24" s="502"/>
      <c r="W24" s="503"/>
      <c r="X24" s="491" t="s">
        <v>402</v>
      </c>
      <c r="Z24" s="130"/>
      <c r="AA24" s="130" t="str">
        <f t="shared" si="85"/>
        <v xml:space="preserve">Группа потребителей</v>
      </c>
      <c r="AB24" s="130"/>
      <c r="AC24" s="130"/>
      <c r="AD24" s="50">
        <v>82</v>
      </c>
    </row>
    <row r="25" ht="11.5" customHeight="1">
      <c r="A25" s="480" t="s">
        <v>164</v>
      </c>
      <c r="B25" s="480" t="s">
        <v>165</v>
      </c>
      <c r="C25" s="480" t="s">
        <v>166</v>
      </c>
      <c r="D25" s="480" t="s">
        <v>167</v>
      </c>
      <c r="E25" s="480"/>
      <c r="F25" s="114"/>
      <c r="G25" s="114"/>
      <c r="H25" s="114" t="str">
        <f>G24&amp;".1"</f>
        <v>....1.1.1</v>
      </c>
      <c r="I25" s="133"/>
      <c r="J25" s="133"/>
      <c r="K25" s="505">
        <v>1</v>
      </c>
      <c r="L25" s="485" t="str">
        <f>$H$25</f>
        <v>....1.1.1</v>
      </c>
      <c r="M25" s="507"/>
      <c r="N25" s="487"/>
      <c r="O25" s="508"/>
      <c r="P25" s="509"/>
      <c r="Q25" s="508"/>
      <c r="R25" s="510"/>
      <c r="S25" s="511"/>
      <c r="T25" s="225" t="s">
        <v>64</v>
      </c>
      <c r="U25" s="511"/>
      <c r="V25" s="225" t="s">
        <v>19</v>
      </c>
      <c r="W25" s="509"/>
      <c r="X25" s="512" t="s">
        <v>404</v>
      </c>
      <c r="Y25" s="57" t="e">
        <f>STRCHECKDATE(O26:W26)</f>
        <v>#NAME?</v>
      </c>
      <c r="Z25" s="130"/>
      <c r="AA25" s="130" t="str">
        <f t="shared" si="85"/>
        <v/>
      </c>
      <c r="AB25" s="130"/>
      <c r="AC25" s="130"/>
      <c r="AD25" s="50">
        <v>11</v>
      </c>
    </row>
    <row r="26" ht="11.5" customHeight="1">
      <c r="A26" s="480" t="s">
        <v>164</v>
      </c>
      <c r="B26" s="480" t="s">
        <v>165</v>
      </c>
      <c r="C26" s="480" t="s">
        <v>166</v>
      </c>
      <c r="D26" s="480" t="s">
        <v>167</v>
      </c>
      <c r="E26" s="480"/>
      <c r="F26" s="114"/>
      <c r="G26" s="114"/>
      <c r="H26" s="114"/>
      <c r="I26" s="133"/>
      <c r="J26" s="133"/>
      <c r="K26" s="505"/>
      <c r="L26" s="459"/>
      <c r="M26" s="487"/>
      <c r="N26" s="487"/>
      <c r="O26" s="509"/>
      <c r="P26" s="509"/>
      <c r="Q26" s="509"/>
      <c r="R26" s="513" t="str">
        <f>S25&amp;"-"&amp;U25</f>
        <v>-</v>
      </c>
      <c r="S26" s="514"/>
      <c r="T26" s="225"/>
      <c r="U26" s="514"/>
      <c r="V26" s="225"/>
      <c r="W26" s="509"/>
      <c r="X26" s="515"/>
      <c r="Z26" s="130"/>
      <c r="AA26" s="130" t="str">
        <f t="shared" si="85"/>
        <v/>
      </c>
      <c r="AB26" s="130"/>
      <c r="AC26" s="130"/>
      <c r="AD26" s="50">
        <v>11</v>
      </c>
    </row>
    <row r="27" ht="15.75" customHeight="1">
      <c r="A27" s="480" t="s">
        <v>164</v>
      </c>
      <c r="B27" s="480" t="s">
        <v>165</v>
      </c>
      <c r="C27" s="480" t="s">
        <v>166</v>
      </c>
      <c r="D27" s="480" t="s">
        <v>167</v>
      </c>
      <c r="E27" s="480"/>
      <c r="F27" s="114"/>
      <c r="G27" s="114"/>
      <c r="I27" s="133"/>
      <c r="J27" s="133"/>
      <c r="K27" s="500"/>
      <c r="L27" s="516"/>
      <c r="M27" s="517" t="s">
        <v>405</v>
      </c>
      <c r="N27" s="215"/>
      <c r="O27" s="215"/>
      <c r="P27" s="215"/>
      <c r="Q27" s="215"/>
      <c r="R27" s="215"/>
      <c r="S27" s="215"/>
      <c r="T27" s="215"/>
      <c r="U27" s="215"/>
      <c r="V27" s="215"/>
      <c r="W27" s="518"/>
      <c r="X27" s="519"/>
      <c r="Z27" s="130"/>
      <c r="AA27" s="130" t="str">
        <f t="shared" si="85"/>
        <v xml:space="preserve">Добавить вид теплоносителя (параметры теплоносителя)</v>
      </c>
      <c r="AB27" s="130"/>
      <c r="AC27" s="130"/>
      <c r="AD27" s="50">
        <v>15</v>
      </c>
    </row>
    <row r="28" ht="15.75" customHeight="1">
      <c r="A28" s="480" t="s">
        <v>164</v>
      </c>
      <c r="B28" s="480" t="s">
        <v>165</v>
      </c>
      <c r="C28" s="480" t="s">
        <v>166</v>
      </c>
      <c r="D28" s="480" t="s">
        <v>167</v>
      </c>
      <c r="E28" s="480"/>
      <c r="F28" s="114"/>
      <c r="I28" s="133"/>
      <c r="J28" s="133"/>
      <c r="K28" s="500"/>
      <c r="L28" s="516"/>
      <c r="M28" s="520" t="s">
        <v>406</v>
      </c>
      <c r="N28" s="215"/>
      <c r="O28" s="215"/>
      <c r="P28" s="215"/>
      <c r="Q28" s="215"/>
      <c r="R28" s="215"/>
      <c r="S28" s="215"/>
      <c r="T28" s="215"/>
      <c r="U28" s="215"/>
      <c r="V28" s="521"/>
      <c r="W28" s="215"/>
      <c r="X28" s="522"/>
      <c r="Z28" s="130"/>
      <c r="AA28" s="130" t="str">
        <f t="shared" si="85"/>
        <v xml:space="preserve">Добавить группу потребителей</v>
      </c>
      <c r="AB28" s="130"/>
      <c r="AC28" s="130"/>
      <c r="AD28" s="50">
        <v>15</v>
      </c>
    </row>
    <row r="29" ht="14.65" customHeight="1">
      <c r="A29" s="480" t="s">
        <v>164</v>
      </c>
      <c r="B29" s="480" t="s">
        <v>165</v>
      </c>
      <c r="C29" s="480" t="s">
        <v>166</v>
      </c>
      <c r="D29" s="480" t="s">
        <v>167</v>
      </c>
      <c r="E29" s="480"/>
      <c r="F29" s="483"/>
      <c r="G29" s="483"/>
      <c r="H29" s="53"/>
      <c r="I29" s="144"/>
      <c r="J29" s="523"/>
      <c r="K29" s="484"/>
      <c r="L29" s="516"/>
      <c r="M29" s="524" t="s">
        <v>407</v>
      </c>
      <c r="N29" s="215"/>
      <c r="O29" s="215"/>
      <c r="P29" s="215"/>
      <c r="Q29" s="215"/>
      <c r="R29" s="215"/>
      <c r="S29" s="215"/>
      <c r="T29" s="215"/>
      <c r="U29" s="215"/>
      <c r="V29" s="521"/>
      <c r="W29" s="215"/>
      <c r="X29" s="522"/>
      <c r="Z29" s="130"/>
      <c r="AA29" s="130" t="str">
        <f t="shared" si="85"/>
        <v xml:space="preserve">Добавить схему подключения</v>
      </c>
      <c r="AB29" s="130"/>
      <c r="AC29" s="130"/>
      <c r="AD29" s="50">
        <v>14</v>
      </c>
    </row>
    <row r="30" ht="14.65" customHeight="1">
      <c r="A30" s="480" t="s">
        <v>164</v>
      </c>
      <c r="B30" s="480" t="s">
        <v>165</v>
      </c>
      <c r="C30" s="480" t="s">
        <v>166</v>
      </c>
      <c r="D30" s="480"/>
      <c r="E30" s="480" t="s">
        <v>580</v>
      </c>
      <c r="F30" s="483"/>
      <c r="G30" s="483"/>
      <c r="H30" s="53"/>
      <c r="I30" s="144"/>
      <c r="J30" s="523"/>
      <c r="K30" s="484"/>
      <c r="L30" s="1373"/>
      <c r="M30" s="1374"/>
      <c r="N30" s="1375"/>
      <c r="O30" s="1375"/>
      <c r="P30" s="1375"/>
      <c r="Q30" s="1375"/>
      <c r="R30" s="1375"/>
      <c r="S30" s="1375"/>
      <c r="T30" s="1375"/>
      <c r="U30" s="1375"/>
      <c r="V30" s="1376"/>
      <c r="W30" s="1375"/>
      <c r="X30" s="1377"/>
      <c r="Z30" s="130"/>
      <c r="AA30" s="130" t="str">
        <f t="shared" si="85"/>
        <v/>
      </c>
      <c r="AB30" s="130"/>
      <c r="AC30" s="130"/>
      <c r="AD30" s="50">
        <v>14</v>
      </c>
    </row>
    <row r="31" ht="14.65" customHeight="1">
      <c r="A31" s="480" t="s">
        <v>164</v>
      </c>
      <c r="B31" s="480" t="s">
        <v>165</v>
      </c>
      <c r="C31" s="480"/>
      <c r="D31" s="480"/>
      <c r="E31" s="480" t="s">
        <v>2251</v>
      </c>
      <c r="F31" s="657"/>
      <c r="G31" s="657"/>
      <c r="H31" s="53"/>
      <c r="I31" s="295"/>
      <c r="J31" s="523"/>
      <c r="K31" s="1277"/>
      <c r="L31" s="1373"/>
      <c r="M31" s="1378"/>
      <c r="N31" s="1375"/>
      <c r="O31" s="1375"/>
      <c r="P31" s="1375"/>
      <c r="Q31" s="1375"/>
      <c r="R31" s="1375"/>
      <c r="S31" s="1375"/>
      <c r="T31" s="1375"/>
      <c r="U31" s="1375"/>
      <c r="V31" s="1376"/>
      <c r="W31" s="1375"/>
      <c r="X31" s="1377"/>
      <c r="Z31" s="130"/>
      <c r="AA31" s="130" t="str">
        <f t="shared" si="85"/>
        <v/>
      </c>
      <c r="AB31" s="130"/>
      <c r="AC31" s="130"/>
      <c r="AD31" s="50">
        <v>14</v>
      </c>
    </row>
    <row r="32" ht="14.65" customHeight="1">
      <c r="A32" s="480" t="s">
        <v>2252</v>
      </c>
      <c r="B32" s="480"/>
      <c r="C32" s="480"/>
      <c r="D32" s="480"/>
      <c r="E32" s="480" t="s">
        <v>100</v>
      </c>
      <c r="F32" s="657"/>
      <c r="G32" s="657"/>
      <c r="H32" s="53"/>
      <c r="I32" s="144"/>
      <c r="J32" s="523"/>
      <c r="K32" s="484"/>
      <c r="L32" s="1373"/>
      <c r="M32" s="1379"/>
      <c r="N32" s="1375"/>
      <c r="O32" s="1375"/>
      <c r="P32" s="1375"/>
      <c r="Q32" s="1375"/>
      <c r="R32" s="1375"/>
      <c r="S32" s="1375"/>
      <c r="T32" s="1375"/>
      <c r="U32" s="1375"/>
      <c r="V32" s="1376"/>
      <c r="W32" s="1375"/>
      <c r="X32" s="1377"/>
      <c r="Z32" s="130"/>
      <c r="AA32" s="130" t="str">
        <f t="shared" si="85"/>
        <v/>
      </c>
      <c r="AB32" s="130"/>
      <c r="AC32" s="130"/>
      <c r="AD32" s="50">
        <v>14</v>
      </c>
    </row>
    <row r="33" s="63" customFormat="1" ht="11.5" customHeight="1">
      <c r="A33" s="480"/>
      <c r="B33" s="480"/>
      <c r="C33" s="480"/>
      <c r="D33" s="480"/>
      <c r="E33" s="480" t="s">
        <v>442</v>
      </c>
      <c r="F33" s="657"/>
      <c r="G33" s="1380"/>
      <c r="H33" s="53"/>
      <c r="L33" s="1381"/>
      <c r="M33" s="1382"/>
      <c r="N33" s="1375"/>
      <c r="O33" s="1375"/>
      <c r="P33" s="1375"/>
      <c r="Q33" s="1375"/>
      <c r="R33" s="1375"/>
      <c r="S33" s="1375"/>
      <c r="T33" s="1375"/>
      <c r="U33" s="1375"/>
      <c r="V33" s="1376"/>
      <c r="W33" s="1375"/>
      <c r="X33" s="1377"/>
      <c r="Y33" s="168"/>
      <c r="Z33" s="168"/>
      <c r="AA33" s="168"/>
      <c r="AB33" s="168"/>
      <c r="AC33" s="168"/>
      <c r="AD33" s="63">
        <v>11</v>
      </c>
    </row>
    <row r="34" ht="11.5" customHeight="1">
      <c r="F34" s="53"/>
      <c r="G34" s="53"/>
      <c r="H34" s="53"/>
      <c r="I34" s="50"/>
      <c r="J34" s="50"/>
      <c r="K34" s="50"/>
      <c r="Y34" s="50"/>
      <c r="Z34" s="50"/>
      <c r="AA34" s="50"/>
      <c r="AB34" s="50"/>
      <c r="AC34" s="50"/>
      <c r="AD34" s="50">
        <v>11</v>
      </c>
    </row>
    <row r="35" ht="28.5" customHeight="1">
      <c r="H35" s="53"/>
      <c r="L35" s="575" t="s">
        <v>798</v>
      </c>
      <c r="M35" s="575" t="s">
        <v>2253</v>
      </c>
      <c r="N35" s="575"/>
      <c r="O35" s="575"/>
      <c r="P35" s="575"/>
      <c r="Q35" s="575"/>
      <c r="R35" s="575"/>
      <c r="S35" s="575"/>
      <c r="T35" s="575"/>
      <c r="U35" s="575"/>
      <c r="V35" s="575"/>
      <c r="W35" s="575"/>
      <c r="X35" s="575"/>
      <c r="AD35" s="50">
        <v>27</v>
      </c>
    </row>
    <row r="36" ht="109.2" customHeight="1">
      <c r="H36" s="53"/>
      <c r="I36" s="60"/>
      <c r="M36" s="575" t="s">
        <v>2254</v>
      </c>
      <c r="N36" s="575"/>
      <c r="O36" s="575"/>
      <c r="P36" s="575"/>
      <c r="Q36" s="575"/>
      <c r="R36" s="575"/>
      <c r="S36" s="575"/>
      <c r="T36" s="575"/>
      <c r="U36" s="575"/>
      <c r="V36" s="575"/>
      <c r="W36" s="575"/>
      <c r="X36" s="575"/>
      <c r="AD36" s="50">
        <v>104</v>
      </c>
    </row>
    <row r="37" ht="14.65" customHeight="1">
      <c r="H37" s="53"/>
      <c r="AD37" s="50">
        <v>14</v>
      </c>
    </row>
    <row r="38" ht="14.65" customHeight="1">
      <c r="H38" s="53"/>
      <c r="AD38" s="50">
        <v>14</v>
      </c>
    </row>
    <row r="39" ht="14.65" customHeight="1">
      <c r="H39" s="53"/>
      <c r="AD39" s="50">
        <v>14</v>
      </c>
    </row>
    <row r="40" ht="14.65" customHeight="1">
      <c r="H40" s="53"/>
      <c r="AD40" s="50">
        <v>14</v>
      </c>
    </row>
    <row r="41" ht="22.5" hidden="1" customHeight="1">
      <c r="A41" s="53" t="s">
        <v>81</v>
      </c>
      <c r="B41" s="53">
        <v>0</v>
      </c>
      <c r="C41" s="53">
        <v>0</v>
      </c>
      <c r="D41" s="53">
        <v>0</v>
      </c>
      <c r="E41" s="53">
        <v>0</v>
      </c>
      <c r="F41" s="61">
        <v>0</v>
      </c>
      <c r="G41" s="61">
        <v>0</v>
      </c>
      <c r="H41" s="61">
        <v>0</v>
      </c>
      <c r="I41" s="60">
        <v>3</v>
      </c>
      <c r="J41" s="479">
        <v>3</v>
      </c>
      <c r="K41" s="479">
        <v>3</v>
      </c>
      <c r="L41" s="86">
        <v>12</v>
      </c>
      <c r="M41" s="50">
        <v>31</v>
      </c>
      <c r="N41" s="50">
        <v>1</v>
      </c>
      <c r="O41" s="50">
        <v>24</v>
      </c>
      <c r="P41" s="50">
        <v>24</v>
      </c>
      <c r="Q41" s="50">
        <v>24</v>
      </c>
      <c r="R41" s="50">
        <v>24</v>
      </c>
      <c r="S41" s="50">
        <v>11</v>
      </c>
      <c r="T41" s="50">
        <v>3</v>
      </c>
      <c r="U41" s="50">
        <v>11</v>
      </c>
      <c r="V41" s="50">
        <v>8</v>
      </c>
      <c r="W41" s="50">
        <v>4</v>
      </c>
      <c r="X41" s="50">
        <v>115</v>
      </c>
      <c r="Y41" s="57">
        <v>10</v>
      </c>
      <c r="Z41" s="57">
        <v>10</v>
      </c>
      <c r="AA41" s="57">
        <v>10</v>
      </c>
      <c r="AB41" s="57">
        <v>10</v>
      </c>
      <c r="AC41" s="57">
        <v>10</v>
      </c>
      <c r="AD41" s="50">
        <v>23</v>
      </c>
    </row>
  </sheetData>
  <sheetProtection autoFilter="0" deleteColumns="1" deleteRows="1" formatCells="1" formatColumns="0" formatRows="0" insertColumns="1" insertHyperlinks="1" insertRows="1" objects="0" pivotTables="1" scenarios="0" selectLockedCells="0" selectUnlockedCells="0" sheet="1" sort="1"/>
  <mergeCells count="39">
    <mergeCell ref="L5:U5"/>
    <mergeCell ref="L6:U6"/>
    <mergeCell ref="O8:U8"/>
    <mergeCell ref="O9:U9"/>
    <mergeCell ref="O10:U10"/>
    <mergeCell ref="O11:U11"/>
    <mergeCell ref="L12:M12"/>
    <mergeCell ref="O13:V13"/>
    <mergeCell ref="L14:W14"/>
    <mergeCell ref="X14:X17"/>
    <mergeCell ref="L15:L17"/>
    <mergeCell ref="M15:M17"/>
    <mergeCell ref="O15:U15"/>
    <mergeCell ref="V15:V17"/>
    <mergeCell ref="W15:W17"/>
    <mergeCell ref="O16:O17"/>
    <mergeCell ref="P16:P17"/>
    <mergeCell ref="Q16:R16"/>
    <mergeCell ref="S16:U16"/>
    <mergeCell ref="T17:U17"/>
    <mergeCell ref="T18:U18"/>
    <mergeCell ref="O19:W19"/>
    <mergeCell ref="O20:W20"/>
    <mergeCell ref="O21:W21"/>
    <mergeCell ref="O22:W22"/>
    <mergeCell ref="F23:F28"/>
    <mergeCell ref="I23:I28"/>
    <mergeCell ref="O23:W23"/>
    <mergeCell ref="G24:G27"/>
    <mergeCell ref="J24:J27"/>
    <mergeCell ref="O24:W24"/>
    <mergeCell ref="H25:H26"/>
    <mergeCell ref="S25:S26"/>
    <mergeCell ref="T25:T26"/>
    <mergeCell ref="U25:U26"/>
    <mergeCell ref="V25:V26"/>
    <mergeCell ref="X25:X27"/>
    <mergeCell ref="M35:X35"/>
    <mergeCell ref="M36:X36"/>
  </mergeCells>
  <dataValidations count="4" disablePrompts="0">
    <dataValidation sqref="S65561 S131097 S196633 S262169 S327705 S393241 S458777 S524313 S589849 S655385 S720921 S786457 S851993 S917529 S983065 U65561 U131097 U196633 U262169 U327705 U393241 U458777 U524313 U589849 U655385 U720921 U786457 U851993 U917529 U983065 U25 S25"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 sqref="T65561 T131097 T196633 T262169 T327705 T393241 T458777 T524313 T589849 T655385 T720921 T786457 T851993 T917529 T983065 V589849 V655385 V720921 V786457 V851993 V917529 V983065 V65561 V131097 V458777 V196633 V262169 V327705 V393241 V25 T25 V524313" type="none" allowBlank="1" errorStyle="stop" imeMode="noControl" operator="between" prompt="Для выбора выполните двойной щелчок левой клавиши мыши по соответствующей ячейке." showDropDown="0" showErrorMessage="1" showInputMessage="1"/>
    <dataValidation sqref="R26 R65562 R131098 R196634 R262170 R327706 R393242 R458778 R524314 R589850 R655386 R720922 R786458 R851994 R917530 R983066" type="none" allowBlank="1" errorStyle="stop" imeMode="noControl" operator="between" promptTitle="checkPeriodRange" showDropDown="0" showErrorMessage="0" showInputMessage="0"/>
    <dataValidation sqref="L131099:X131105 L196635:X196641 L262171:X262177 L327707:X327713 L393243:X393249 L458779:X458785 L524315:X524321 L589851:X589857 L655387:X655393 L720923:X720929 L786459:X786465 L851995:X852001 L917531:X917537 L983067:X983073 L65563:X65569" type="none" allowBlank="1" errorStyle="stop" imeMode="noControl" operator="between" showDropDown="0" showErrorMessage="0"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2500B5-00D1-4D80-AE9E-00090025007A}" type="list" allowBlank="1" error="Выберите значение из списка" errorStyle="stop" errorTitle="Ошибка" imeMode="noControl" operator="between" showDropDown="0" showErrorMessage="1" showInputMessage="1">
          <x14:formula1>
            <xm:f>kind_of_scheme_in</xm:f>
          </x14:formula1>
          <xm:sqref>O983063:P983063 O65559:P65559 O131095:P131095 O196631:P196631 O262167:P262167 O327703:P327703 O393239:P393239 O458775:P458775 O524311:P524311 O589847:P589847 O655383:P655383 O720919:P720919 O786455:P786455 O851991:P851991 O917527:P917527</xm:sqref>
        </x14:dataValidation>
        <x14:dataValidation xr:uid="{00EA006A-002A-43BE-A0DB-00A8002C00D3}" type="textLength" allowBlank="1" error="Допускается ввод не более 900 символов!" errorStyle="stop" errorTitle="Ошибка" imeMode="noControl" operator="lessThanOrEqual" showDropDown="0" showErrorMessage="1" showInputMessage="1">
          <x14:formula1>
            <xm:f>900</xm:f>
          </x14:formula1>
          <xm:sqref>X65555:X65562 X131091:X131098 X196627:X196634 X262163:X262170 X327699:X327706 X393235:X393242 X458771:X458778 X524307:X524314 X589843:X589850 X655379:X655386 X720915:X720922 X786451:X786458 X851987:X851994 X917523:X917530 X983059:X983066</xm:sqref>
        </x14:dataValidation>
        <x14:dataValidation xr:uid="{00B900FD-0060-4EA5-A33C-004700750026}" type="list" allowBlank="1" error="Выберите значение из списка" errorStyle="stop" errorTitle="Ошибка" imeMode="noControl" operator="between" prompt="Выберите значение из списка" showDropDown="0" showErrorMessage="0" showInputMessage="1">
          <x14:formula1>
            <xm:f>kind_of_cons</xm:f>
          </x14:formula1>
          <xm:sqref>O983064:W983064 O65560:W65560 O131096:W131096 O196632:W196632 O262168:W262168 O327704:W327704 O393240:W393240 O458776:W458776 O524312:W524312 O589848:W589848 O655384:W655384 O720920:W720920 O786456:W786456 O851992:W851992 O917528:W917528</xm:sqref>
        </x14:dataValidation>
        <x14:dataValidation xr:uid="{001500C9-009F-429A-8EFC-00E700430049}" type="list" allowBlank="1" error="Выберите значение из списка" errorStyle="stop" errorTitle="Ошибка" imeMode="noControl" operator="between" showDropDown="0" showErrorMessage="1" showInputMessage="1">
          <x14:formula1>
            <xm:f>kind_of_heat_transfer</xm:f>
          </x14:formula1>
          <xm:sqref>M65561 M131097 M196633 M262169 M327705 M393241 M458777 M524313 M589849 M655385 M720921 M786457 M851993 M917529 M983065</xm:sqref>
        </x14:dataValidation>
      </x14:dataValidations>
    </ext>
  </extLst>
</worksheet>
</file>

<file path=xl/worksheets/sheet6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sheetProtection autoFilter="0" deleteColumns="1" deleteRows="1" formatCells="1" formatColumns="1" formatRows="1" insertColumns="1" insertHyperlinks="1" insertRows="1" objects="0" pivotTables="1" scenarios="0" selectLockedCells="0" selectUnlockedCells="0" sheet="1" sort="1"/>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sheetProtection autoFilter="0" deleteColumns="1" deleteRows="1" formatCells="1" formatColumns="1" formatRows="1" insertColumns="1" insertHyperlinks="1" insertRows="1" objects="0" pivotTables="1" scenarios="0" selectLockedCells="0" selectUnlockedCells="0" sheet="1" sort="1"/>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sheetProtection autoFilter="0" deleteColumns="1" deleteRows="1" formatCells="1" formatColumns="1" formatRows="1" insertColumns="1" insertHyperlinks="1" insertRows="1" objects="0" pivotTables="1" scenarios="0" selectLockedCells="0" selectUnlockedCells="0" sheet="1" sort="1"/>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sheetProtection autoFilter="0" deleteColumns="1" deleteRows="1" formatCells="1" formatColumns="1" formatRows="1" insertColumns="1" insertHyperlinks="1" insertRows="1" objects="0" pivotTables="1" scenarios="0" selectLockedCells="0" selectUnlockedCells="0" sheet="1" sort="1"/>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sheetProtection autoFilter="0" deleteColumns="1" deleteRows="1" formatCells="1" formatColumns="1" formatRows="1" insertColumns="1" insertHyperlinks="1" insertRows="1" objects="0" pivotTables="1" scenarios="0" selectLockedCells="0" selectUnlockedCells="0" sheet="1" sort="1"/>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3" tint="0.59999999999999998"/>
    <outlinePr applyStyles="0" summaryBelow="1" summaryRight="1" showOutlineSymbols="1"/>
    <pageSetUpPr autoPageBreaks="1" fitToPage="0"/>
  </sheetPr>
  <sheetViews>
    <sheetView showGridLines="0" zoomScale="90" workbookViewId="0">
      <pane xSplit="5" ySplit="12" topLeftCell="F13" activePane="bottomRight" state="frozen"/>
      <selection activeCell="A1" activeCellId="0" sqref="A1"/>
    </sheetView>
  </sheetViews>
  <sheetFormatPr defaultColWidth="9.140625" defaultRowHeight="11.25" customHeight="1"/>
  <cols>
    <col customWidth="1" hidden="1" min="1" max="1" style="334" width="15.00390625"/>
    <col customWidth="1" hidden="1" min="2" max="2" style="335" width="15.00390625"/>
    <col customWidth="1" min="3" max="3" style="336" width="3.00390625"/>
    <col customWidth="1" min="4" max="4" style="337" width="6.00390625"/>
    <col customWidth="1" min="5" max="5" style="336" width="52.00390625"/>
    <col customWidth="1" min="6" max="6" style="336" width="48.00390625"/>
    <col customWidth="1" min="7" max="7" style="336" width="121.00390625"/>
    <col customWidth="1" min="8" max="8" style="336" width="8.00390625"/>
    <col customWidth="1" min="9" max="9" style="336" width="64.00390625"/>
    <col hidden="1" min="10" max="10" style="336" width="9.140625"/>
  </cols>
  <sheetData>
    <row r="1" ht="11.25" hidden="1" customHeight="1">
      <c r="A1" s="334" t="s">
        <v>293</v>
      </c>
      <c r="J1" s="336" t="s">
        <v>14</v>
      </c>
    </row>
    <row r="2" ht="11.25" hidden="1" customHeight="1">
      <c r="J2" s="336">
        <v>0</v>
      </c>
    </row>
    <row r="3" s="338" customFormat="1" ht="11.5" customHeight="1">
      <c r="A3" s="334"/>
      <c r="B3" s="335"/>
      <c r="D3" s="339"/>
      <c r="J3" s="338">
        <v>11</v>
      </c>
    </row>
    <row r="4" ht="27.300000000000001" customHeight="1">
      <c r="D4" s="237" t="str">
        <f>ORG_INFO_NAME_FORM</f>
        <v xml:space="preserve">Форма 1. Информация об организации, осуществляющей горячее водоснабжение (общая информация)</v>
      </c>
      <c r="E4" s="238"/>
      <c r="F4" s="239"/>
      <c r="I4" s="340"/>
      <c r="J4" s="336">
        <v>26</v>
      </c>
    </row>
    <row r="5" ht="18" customHeight="1">
      <c r="D5" s="304" t="str">
        <f>IF(org=0,"Не определено",org)</f>
        <v xml:space="preserve">АО "ДГК" СП "Биробиджанская ТЭЦ"</v>
      </c>
      <c r="E5" s="304"/>
      <c r="F5" s="304"/>
      <c r="I5" s="340"/>
      <c r="J5" s="336">
        <v>17</v>
      </c>
    </row>
    <row r="6" s="338" customFormat="1" ht="11.5" customHeight="1">
      <c r="A6" s="334"/>
      <c r="B6" s="335"/>
      <c r="D6" s="341"/>
      <c r="E6" s="341"/>
      <c r="F6" s="342"/>
      <c r="G6" s="341"/>
      <c r="J6" s="338">
        <v>11</v>
      </c>
    </row>
    <row r="7" ht="11.25" hidden="1" customHeight="1">
      <c r="A7" s="91"/>
      <c r="B7" s="343"/>
      <c r="C7" s="91"/>
      <c r="D7" s="83"/>
      <c r="E7" s="344"/>
      <c r="F7" s="344"/>
      <c r="J7" s="336">
        <v>0</v>
      </c>
    </row>
    <row r="8" ht="11.5" customHeight="1">
      <c r="A8" s="91"/>
      <c r="B8" s="343"/>
      <c r="C8" s="91"/>
      <c r="D8" s="345" t="s">
        <v>294</v>
      </c>
      <c r="E8" s="346"/>
      <c r="F8" s="346"/>
      <c r="G8" s="347" t="s">
        <v>295</v>
      </c>
      <c r="J8" s="336">
        <v>11</v>
      </c>
    </row>
    <row r="9" ht="11.5" customHeight="1">
      <c r="A9" s="91"/>
      <c r="B9" s="343"/>
      <c r="C9" s="91"/>
      <c r="D9" s="346" t="s">
        <v>87</v>
      </c>
      <c r="E9" s="347" t="s">
        <v>296</v>
      </c>
      <c r="F9" s="347" t="s">
        <v>297</v>
      </c>
      <c r="G9" s="348"/>
      <c r="J9" s="336">
        <v>11</v>
      </c>
    </row>
    <row r="10" ht="12" hidden="1" customHeight="1">
      <c r="A10" s="91"/>
      <c r="B10" s="343"/>
      <c r="C10" s="91"/>
      <c r="D10" s="349"/>
      <c r="E10" s="349"/>
      <c r="F10" s="349"/>
      <c r="G10" s="349"/>
      <c r="J10" s="336">
        <v>0</v>
      </c>
    </row>
    <row r="11" ht="22.5" hidden="1" customHeight="1">
      <c r="A11" s="91"/>
      <c r="B11" s="343"/>
      <c r="C11" s="91"/>
      <c r="D11" s="350" t="s">
        <v>105</v>
      </c>
      <c r="E11" s="351" t="s">
        <v>298</v>
      </c>
      <c r="F11" s="352" t="str">
        <f>IF(region_name="","",region_name)</f>
        <v xml:space="preserve">Еврейская автономная область</v>
      </c>
      <c r="G11" s="351" t="s">
        <v>299</v>
      </c>
      <c r="H11" s="353"/>
      <c r="J11" s="336">
        <v>0</v>
      </c>
    </row>
    <row r="12" ht="22.5" hidden="1" customHeight="1">
      <c r="A12" s="91"/>
      <c r="B12" s="343"/>
      <c r="C12" s="91"/>
      <c r="D12" s="354" t="s">
        <v>105</v>
      </c>
      <c r="E12" s="35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v>
      </c>
      <c r="F12" s="247" t="s">
        <v>300</v>
      </c>
      <c r="G12" s="356"/>
      <c r="H12" s="353"/>
      <c r="J12" s="336">
        <v>0</v>
      </c>
    </row>
    <row r="13" ht="23.25" customHeight="1">
      <c r="A13" s="91"/>
      <c r="B13" s="343"/>
      <c r="C13" s="91"/>
      <c r="D13" s="354" t="s">
        <v>105</v>
      </c>
      <c r="E13" s="357" t="str">
        <f>"Наименование юридического лица"&amp;IF(TEMPLATE_SPHERE="TKO"," (индивидуального предпринимателя)","")</f>
        <v xml:space="preserve">Наименование юридического лица</v>
      </c>
      <c r="F13" s="358"/>
      <c r="G13" s="35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 xml:space="preserve">Наименование юридического лица указывается согласно уставу регулируемой организации.</v>
      </c>
      <c r="H13" s="353"/>
      <c r="J13" s="336">
        <v>22</v>
      </c>
    </row>
    <row r="14" ht="22.5" hidden="1" customHeight="1">
      <c r="A14" s="91"/>
      <c r="B14" s="343"/>
      <c r="C14" s="91"/>
      <c r="D14" s="350" t="s">
        <v>301</v>
      </c>
      <c r="E14" s="359" t="s">
        <v>302</v>
      </c>
      <c r="F14" s="352" t="str">
        <f>IF(inn="","",inn)</f>
        <v>1434031363</v>
      </c>
      <c r="G14" s="351" t="s">
        <v>303</v>
      </c>
      <c r="H14" s="353"/>
      <c r="J14" s="336">
        <v>0</v>
      </c>
    </row>
    <row r="15" ht="22.5" hidden="1" customHeight="1">
      <c r="A15" s="91"/>
      <c r="B15" s="343"/>
      <c r="C15" s="91"/>
      <c r="D15" s="350" t="s">
        <v>304</v>
      </c>
      <c r="E15" s="359" t="s">
        <v>305</v>
      </c>
      <c r="F15" s="352" t="str">
        <f>IF(kpp="","",kpp)</f>
        <v>790145002</v>
      </c>
      <c r="G15" s="351" t="s">
        <v>306</v>
      </c>
      <c r="H15" s="353"/>
      <c r="J15" s="336">
        <v>0</v>
      </c>
    </row>
    <row r="16" ht="39" customHeight="1">
      <c r="A16" s="91"/>
      <c r="B16" s="343"/>
      <c r="C16" s="91"/>
      <c r="D16" s="354" t="s">
        <v>106</v>
      </c>
      <c r="E16" s="35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 xml:space="preserve">Основной государственный регистрационный номер (ОГРН) (основной государственный регистрационный номер индивидуального предпринимателя (ОГРНИП)</v>
      </c>
      <c r="F16" s="358"/>
      <c r="G16" s="355" t="str">
        <f>"Указывается основной государственный регистрационный номер юридического лица"&amp;IF(TEMPLATE_SPHERE="TKO",""," (индивидуального предпринимателя)")&amp;"."</f>
        <v xml:space="preserve">Указывается основной государственный регистрационный номер юридического лица (индивидуального предпринимателя).</v>
      </c>
      <c r="H16" s="353"/>
      <c r="J16" s="336">
        <v>37</v>
      </c>
    </row>
    <row r="17" ht="23.25" customHeight="1">
      <c r="A17" s="91"/>
      <c r="B17" s="343"/>
      <c r="C17" s="91"/>
      <c r="D17" s="354" t="s">
        <v>89</v>
      </c>
      <c r="E17" s="357" t="str">
        <f>"Дата присвоения ОГРН"&amp;IF(TEMPLATE_SPHERE="TKO",""," (ОГРНИП)")</f>
        <v xml:space="preserve">Дата присвоения ОГРН (ОГРНИП)</v>
      </c>
      <c r="F17" s="89" t="s">
        <v>22</v>
      </c>
      <c r="G17" s="355" t="str">
        <f>"Дата присвоения ОГРН"&amp;IF(TEMPLATE_SPHERE="TKO",""," (ОГРНИП)")&amp;" указывается в виде «ДД.ММ.ГГГГ»."</f>
        <v xml:space="preserve">Дата присвоения ОГРН (ОГРНИП) указывается в виде «ДД.ММ.ГГГГ».</v>
      </c>
      <c r="H17" s="353"/>
      <c r="J17" s="336">
        <v>22</v>
      </c>
    </row>
    <row r="18" ht="71.25" customHeight="1">
      <c r="A18" s="91"/>
      <c r="B18" s="343"/>
      <c r="C18" s="91"/>
      <c r="D18" s="354" t="s">
        <v>90</v>
      </c>
      <c r="E18" s="35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 xml:space="preserve">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58"/>
      <c r="G18" s="356"/>
      <c r="H18" s="353"/>
      <c r="J18" s="336">
        <v>68</v>
      </c>
    </row>
    <row r="19" ht="22.5" hidden="1" customHeight="1">
      <c r="A19" s="360" t="s">
        <v>307</v>
      </c>
      <c r="B19" s="343"/>
      <c r="C19" s="361"/>
      <c r="D19" s="354" t="str">
        <f>A19</f>
        <v>5.1</v>
      </c>
      <c r="E19" s="357" t="s">
        <v>308</v>
      </c>
      <c r="F19" s="247" t="s">
        <v>300</v>
      </c>
      <c r="G19" s="355" t="s">
        <v>309</v>
      </c>
      <c r="H19" s="353"/>
      <c r="I19" s="362"/>
      <c r="J19" s="336">
        <v>0</v>
      </c>
    </row>
    <row r="20" ht="24" hidden="1" customHeight="1">
      <c r="A20" s="360"/>
      <c r="B20" s="343"/>
      <c r="C20" s="361"/>
      <c r="D20" s="363" t="str">
        <f>D19&amp;".1"</f>
        <v>5.1.1</v>
      </c>
      <c r="E20" s="364" t="s">
        <v>310</v>
      </c>
      <c r="F20" s="365" t="s">
        <v>22</v>
      </c>
      <c r="G20" s="356"/>
      <c r="H20" s="353"/>
      <c r="I20" s="362"/>
      <c r="J20" s="336">
        <v>0</v>
      </c>
    </row>
    <row r="21" ht="22.5" hidden="1" customHeight="1">
      <c r="A21" s="360"/>
      <c r="B21" s="343"/>
      <c r="C21" s="361"/>
      <c r="D21" s="363" t="str">
        <f>D19&amp;".2"</f>
        <v>5.1.2</v>
      </c>
      <c r="E21" s="364" t="s">
        <v>311</v>
      </c>
      <c r="F21" s="96" t="s">
        <v>22</v>
      </c>
      <c r="G21" s="355" t="s">
        <v>312</v>
      </c>
      <c r="H21" s="353"/>
      <c r="I21" s="362"/>
      <c r="J21" s="336">
        <v>0</v>
      </c>
    </row>
    <row r="22" ht="22.5" hidden="1" customHeight="1">
      <c r="A22" s="360"/>
      <c r="B22" s="343"/>
      <c r="C22" s="361"/>
      <c r="D22" s="363" t="str">
        <f>D19&amp;".3"</f>
        <v>5.1.3</v>
      </c>
      <c r="E22" s="364" t="s">
        <v>313</v>
      </c>
      <c r="F22" s="365" t="s">
        <v>22</v>
      </c>
      <c r="G22" s="356"/>
      <c r="H22" s="353"/>
      <c r="I22" s="362"/>
      <c r="J22" s="336">
        <v>0</v>
      </c>
    </row>
    <row r="23" ht="22.5" hidden="1" customHeight="1">
      <c r="A23" s="360"/>
      <c r="B23" s="343"/>
      <c r="C23" s="361"/>
      <c r="D23" s="363" t="str">
        <f>D19&amp;".4"</f>
        <v>5.1.4</v>
      </c>
      <c r="E23" s="364" t="s">
        <v>314</v>
      </c>
      <c r="F23" s="365" t="s">
        <v>22</v>
      </c>
      <c r="G23" s="355" t="s">
        <v>315</v>
      </c>
      <c r="H23" s="353"/>
      <c r="I23" s="362"/>
      <c r="J23" s="336">
        <v>0</v>
      </c>
    </row>
    <row r="24" ht="22.5" hidden="1" customHeight="1">
      <c r="A24" s="366"/>
      <c r="B24" s="343"/>
      <c r="C24" s="367"/>
      <c r="D24" s="368"/>
      <c r="E24" s="173" t="s">
        <v>316</v>
      </c>
      <c r="F24" s="369"/>
      <c r="G24" s="370"/>
      <c r="H24" s="353"/>
      <c r="I24" s="362"/>
      <c r="J24" s="336">
        <v>0</v>
      </c>
    </row>
    <row r="25" s="335" customFormat="1" ht="24.75" hidden="1" customHeight="1">
      <c r="A25" s="91"/>
      <c r="B25" s="343"/>
      <c r="C25" s="343"/>
      <c r="D25" s="371" t="s">
        <v>89</v>
      </c>
      <c r="E25" s="372" t="s">
        <v>317</v>
      </c>
      <c r="F25" s="159" t="s">
        <v>300</v>
      </c>
      <c r="G25" s="372"/>
      <c r="J25" s="335">
        <v>0</v>
      </c>
    </row>
    <row r="26" s="335" customFormat="1" ht="11.25" hidden="1" customHeight="1">
      <c r="A26" s="91"/>
      <c r="B26" s="343"/>
      <c r="C26" s="343"/>
      <c r="D26" s="371" t="s">
        <v>318</v>
      </c>
      <c r="E26" s="373" t="s">
        <v>319</v>
      </c>
      <c r="F26" s="159" t="s">
        <v>300</v>
      </c>
      <c r="G26" s="372"/>
      <c r="J26" s="335">
        <v>0</v>
      </c>
    </row>
    <row r="27" s="335" customFormat="1" ht="11.25" hidden="1" customHeight="1">
      <c r="A27" s="91"/>
      <c r="B27" s="343"/>
      <c r="C27" s="343"/>
      <c r="D27" s="371" t="s">
        <v>320</v>
      </c>
      <c r="E27" s="374" t="s">
        <v>321</v>
      </c>
      <c r="F27" s="375"/>
      <c r="G27" s="37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 xml:space="preserve">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335">
        <v>0</v>
      </c>
    </row>
    <row r="28" s="335" customFormat="1" ht="11.25" hidden="1" customHeight="1">
      <c r="A28" s="91"/>
      <c r="B28" s="343"/>
      <c r="C28" s="343"/>
      <c r="D28" s="371" t="s">
        <v>322</v>
      </c>
      <c r="E28" s="374" t="s">
        <v>323</v>
      </c>
      <c r="F28" s="375"/>
      <c r="G28" s="37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 xml:space="preserve">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335">
        <v>0</v>
      </c>
    </row>
    <row r="29" s="335" customFormat="1" ht="11.25" hidden="1" customHeight="1">
      <c r="A29" s="91"/>
      <c r="B29" s="343"/>
      <c r="C29" s="343"/>
      <c r="D29" s="371" t="s">
        <v>324</v>
      </c>
      <c r="E29" s="374" t="s">
        <v>325</v>
      </c>
      <c r="F29" s="375"/>
      <c r="G29" s="37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 xml:space="preserve">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335">
        <v>0</v>
      </c>
    </row>
    <row r="30" s="335" customFormat="1" ht="11.25" hidden="1" customHeight="1">
      <c r="A30" s="91"/>
      <c r="B30" s="343"/>
      <c r="C30" s="343"/>
      <c r="D30" s="371" t="s">
        <v>326</v>
      </c>
      <c r="E30" s="373" t="s">
        <v>327</v>
      </c>
      <c r="F30" s="375"/>
      <c r="G30" s="372"/>
      <c r="J30" s="335">
        <v>0</v>
      </c>
    </row>
    <row r="31" s="335" customFormat="1" ht="11.25" hidden="1" customHeight="1">
      <c r="A31" s="91"/>
      <c r="B31" s="343"/>
      <c r="C31" s="343"/>
      <c r="D31" s="371" t="s">
        <v>328</v>
      </c>
      <c r="E31" s="373" t="s">
        <v>329</v>
      </c>
      <c r="F31" s="375"/>
      <c r="G31" s="372"/>
      <c r="J31" s="335">
        <v>0</v>
      </c>
    </row>
    <row r="32" s="335" customFormat="1" ht="11.25" hidden="1" customHeight="1">
      <c r="A32" s="91"/>
      <c r="B32" s="343"/>
      <c r="C32" s="343"/>
      <c r="D32" s="371" t="s">
        <v>330</v>
      </c>
      <c r="E32" s="373" t="s">
        <v>331</v>
      </c>
      <c r="F32" s="375"/>
      <c r="G32" s="372"/>
      <c r="J32" s="335">
        <v>0</v>
      </c>
    </row>
    <row r="33" ht="24" customHeight="1">
      <c r="A33" s="91" t="str">
        <f>IF(TEMPLATE_SPHERE="HEAT","6","5")</f>
        <v>5</v>
      </c>
      <c r="B33" s="343"/>
      <c r="C33" s="91"/>
      <c r="D33" s="363" t="str">
        <f>A33</f>
        <v>5</v>
      </c>
      <c r="E33" s="376"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 xml:space="preserve">Фамилия, имя и отчество руководителя регулируемой организации (индивидуального предпринимателя):</v>
      </c>
      <c r="F33" s="247" t="s">
        <v>300</v>
      </c>
      <c r="G33" s="356"/>
      <c r="H33" s="353"/>
      <c r="J33" s="336">
        <v>23</v>
      </c>
    </row>
    <row r="34" ht="23.25" customHeight="1">
      <c r="A34" s="91"/>
      <c r="B34" s="343"/>
      <c r="C34" s="91"/>
      <c r="D34" s="363" t="str">
        <f>D33&amp;".1"</f>
        <v>5.1</v>
      </c>
      <c r="E34" s="357" t="str">
        <f>"фамилия"&amp;IF(TEMPLATE_SPHERE&lt;&gt;"HEAT"," руководителя","")</f>
        <v xml:space="preserve">фамилия руководителя</v>
      </c>
      <c r="F34" s="358"/>
      <c r="G34" s="35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 xml:space="preserve">Указывается фамилия руководителя регулируемой организации в соответствии с паспортными данными физического лица.</v>
      </c>
      <c r="H34" s="353"/>
      <c r="J34" s="336">
        <v>22</v>
      </c>
    </row>
    <row r="35" ht="23.25" customHeight="1">
      <c r="A35" s="91"/>
      <c r="B35" s="343"/>
      <c r="C35" s="91"/>
      <c r="D35" s="363" t="str">
        <f>D33&amp;".2"</f>
        <v>5.2</v>
      </c>
      <c r="E35" s="357" t="str">
        <f>"имя"&amp;IF(TEMPLATE_SPHERE&lt;&gt;"HEAT"," руководителя","")</f>
        <v xml:space="preserve">имя руководителя</v>
      </c>
      <c r="F35" s="358"/>
      <c r="G35" s="35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 xml:space="preserve">Указывается имя руководителя регулируемой организации в соответствии с паспортными данными физического лица.</v>
      </c>
      <c r="H35" s="353"/>
      <c r="J35" s="336">
        <v>22</v>
      </c>
    </row>
    <row r="36" ht="24" customHeight="1">
      <c r="A36" s="91"/>
      <c r="B36" s="343"/>
      <c r="C36" s="91"/>
      <c r="D36" s="363" t="str">
        <f>D33&amp;".3"</f>
        <v>5.3</v>
      </c>
      <c r="E36" s="357" t="str">
        <f>"отчество"&amp;IF(TEMPLATE_SPHERE&lt;&gt;"HEAT"," руководителя","")</f>
        <v xml:space="preserve">отчество руководителя</v>
      </c>
      <c r="F36" s="377"/>
      <c r="G36" s="35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 xml:space="preserve">Указывается отчество руководителя регулируемой организации в соответствии с паспортными данными физического лица (при наличии).</v>
      </c>
      <c r="H36" s="353"/>
      <c r="J36" s="336">
        <v>23</v>
      </c>
    </row>
    <row r="37" ht="35.649999999999999" customHeight="1">
      <c r="A37" s="91"/>
      <c r="B37" s="343"/>
      <c r="C37" s="91"/>
      <c r="D37" s="363">
        <f>D33+1</f>
        <v>6</v>
      </c>
      <c r="E37" s="376" t="str">
        <f>"Почтовый адрес органов управления"&amp;IF(TEMPLATE_SPHERE&lt;&gt;"TKO"," регулируемой","")&amp;" организации"&amp;IF(TEMPLATE_SPHERE="HEAT",", ЕТО, ТО","")</f>
        <v xml:space="preserve">Почтовый адрес органов управления регулируемой организации</v>
      </c>
      <c r="F37" s="358"/>
      <c r="G37" s="355" t="s">
        <v>332</v>
      </c>
      <c r="H37" s="353"/>
      <c r="J37" s="336">
        <v>34</v>
      </c>
    </row>
    <row r="38" ht="35.649999999999999" customHeight="1">
      <c r="A38" s="91"/>
      <c r="B38" s="343"/>
      <c r="C38" s="91"/>
      <c r="D38" s="363">
        <f t="shared" ref="D38:D39" si="0">D37+1</f>
        <v>7</v>
      </c>
      <c r="E38" s="376" t="str">
        <f>"Адрес места нахождения органов управления"&amp;IF(TEMPLATE_SPHERE&lt;&gt;"TKO"," регулируемой","")&amp;" организации"&amp;IF(TEMPLATE_SPHERE="HEAT",", ЕТО, ТО","")</f>
        <v xml:space="preserve">Адрес места нахождения органов управления регулируемой организации</v>
      </c>
      <c r="F38" s="358"/>
      <c r="G38" s="355" t="s">
        <v>332</v>
      </c>
      <c r="H38" s="353"/>
      <c r="J38" s="336">
        <v>34</v>
      </c>
    </row>
    <row r="39" ht="23.25" customHeight="1">
      <c r="A39" s="91"/>
      <c r="B39" s="343"/>
      <c r="C39" s="91"/>
      <c r="D39" s="363">
        <f t="shared" si="0"/>
        <v>8</v>
      </c>
      <c r="E39" s="378" t="str">
        <f>"Контактные телефоны "&amp;IF(TEMPLATE_SPHERE="TKO","","регулируемой ")&amp;"организации"&amp;IF(TEMPLATE_SPHERE="HEAT",", ЕТО, ТО",IF(TEMPLATE_SPHERE="TKO"," (индивидуального предпринимателя)",""))</f>
        <v xml:space="preserve">Контактные телефоны регулируемой организации</v>
      </c>
      <c r="F39" s="247" t="s">
        <v>300</v>
      </c>
      <c r="G39" s="379"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 xml:space="preserve">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353"/>
      <c r="J39" s="336">
        <v>22</v>
      </c>
    </row>
    <row r="40" ht="22.5" hidden="1" customHeight="1">
      <c r="A40" s="91"/>
      <c r="B40" s="343"/>
      <c r="C40" s="91"/>
      <c r="D40" s="363" t="str">
        <f>D39&amp;".0"</f>
        <v>8.0</v>
      </c>
      <c r="E40" s="380"/>
      <c r="F40" s="365"/>
      <c r="G40" s="381"/>
      <c r="H40" s="353"/>
      <c r="J40" s="336">
        <v>0</v>
      </c>
    </row>
    <row r="41" ht="23.25" customHeight="1">
      <c r="A41" s="91"/>
      <c r="B41" s="91"/>
      <c r="C41" s="382"/>
      <c r="D41" s="363" t="str">
        <f>D39&amp;".1"</f>
        <v>8.1</v>
      </c>
      <c r="E41" s="383"/>
      <c r="F41" s="384"/>
      <c r="G41" s="381"/>
      <c r="H41" s="353"/>
      <c r="J41" s="336">
        <v>22</v>
      </c>
    </row>
    <row r="42" ht="15.75" customHeight="1">
      <c r="A42" s="91"/>
      <c r="B42" s="343"/>
      <c r="C42" s="91"/>
      <c r="D42" s="368"/>
      <c r="E42" s="173" t="s">
        <v>333</v>
      </c>
      <c r="F42" s="370"/>
      <c r="G42" s="385"/>
      <c r="H42" s="386"/>
      <c r="J42" s="336">
        <v>15</v>
      </c>
    </row>
    <row r="43" ht="27.300000000000001" customHeight="1">
      <c r="A43" s="91"/>
      <c r="B43" s="343"/>
      <c r="C43" s="91"/>
      <c r="D43" s="363">
        <f>D39+1</f>
        <v>9</v>
      </c>
      <c r="E43" s="376" t="str">
        <f>IF(TEMPLATE_SPHERE="TKO","Адрес официального сайта организации в сети «Интернет»","Официальный сайт регулируемой организации"&amp;IF(TEMPLATE_SPHERE="HEAT",", ЕТО, ТО","")&amp;" в сети «Интернет»")</f>
        <v xml:space="preserve">Официальный сайт регулируемой организации в сети «Интернет»</v>
      </c>
      <c r="F43" s="387"/>
      <c r="G43" s="35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 xml:space="preserve">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353"/>
      <c r="J43" s="336">
        <v>26</v>
      </c>
    </row>
    <row r="44" ht="23.25" customHeight="1">
      <c r="A44" s="91"/>
      <c r="B44" s="343"/>
      <c r="C44" s="91"/>
      <c r="D44" s="363">
        <f t="shared" ref="D44:D45" si="1">D43+1</f>
        <v>10</v>
      </c>
      <c r="E44" s="376" t="str">
        <f>"Адрес электронной почты "&amp;IF(TEMPLATE_SPHERE="TKO","","регулируемой ")&amp;"организации"&amp;IF(TEMPLATE_SPHERE="HEAT",", ЕТО, ТО",IF(TEMPLATE_SPHERE="TKO"," (индивидуального предпринимателя)",""))</f>
        <v xml:space="preserve">Адрес электронной почты регулируемой организации</v>
      </c>
      <c r="F44" s="388"/>
      <c r="G44" s="356" t="s">
        <v>334</v>
      </c>
      <c r="H44" s="353"/>
      <c r="J44" s="336">
        <v>22</v>
      </c>
    </row>
    <row r="45" ht="23.25" customHeight="1">
      <c r="A45" s="91"/>
      <c r="B45" s="343"/>
      <c r="C45" s="91"/>
      <c r="D45" s="363">
        <f t="shared" si="1"/>
        <v>11</v>
      </c>
      <c r="E45" s="376" t="s">
        <v>335</v>
      </c>
      <c r="F45" s="247" t="s">
        <v>300</v>
      </c>
      <c r="G45" s="378" t="str">
        <f>IF(TEMPLATE_SPHERE="TKO","Указывается режим работы организации.","")</f>
        <v/>
      </c>
      <c r="H45" s="353"/>
      <c r="J45" s="336">
        <v>22</v>
      </c>
    </row>
    <row r="46" ht="24" customHeight="1">
      <c r="A46" s="91"/>
      <c r="B46" s="343"/>
      <c r="C46" s="91"/>
      <c r="D46" s="363" t="str">
        <f>D45&amp;".1"</f>
        <v>11.1</v>
      </c>
      <c r="E46" s="357" t="str">
        <f>"режим работы регулируемой организации"&amp;IF(TEMPLATE_SPHERE="HEAT",", ЕТО, ТО","")</f>
        <v xml:space="preserve">режим работы регулируемой организации</v>
      </c>
      <c r="F46" s="389"/>
      <c r="G46" s="378" t="s">
        <v>336</v>
      </c>
      <c r="H46" s="353"/>
      <c r="J46" s="336">
        <v>23</v>
      </c>
    </row>
    <row r="47" ht="24" customHeight="1">
      <c r="A47" s="360"/>
      <c r="B47" s="343"/>
      <c r="C47" s="367"/>
      <c r="D47" s="363" t="str">
        <f>D45&amp;".2"</f>
        <v>11.2</v>
      </c>
      <c r="E47" s="357" t="s">
        <v>337</v>
      </c>
      <c r="F47" s="389"/>
      <c r="G47" s="378" t="s">
        <v>338</v>
      </c>
      <c r="H47" s="353"/>
      <c r="J47" s="336">
        <v>23</v>
      </c>
    </row>
    <row r="48" ht="24" customHeight="1">
      <c r="A48" s="360"/>
      <c r="B48" s="343"/>
      <c r="C48" s="367"/>
      <c r="D48" s="363" t="str">
        <f>D45&amp;".3"</f>
        <v>11.3</v>
      </c>
      <c r="E48" s="357" t="s">
        <v>339</v>
      </c>
      <c r="F48" s="389"/>
      <c r="G48" s="378" t="s">
        <v>340</v>
      </c>
      <c r="H48" s="353"/>
      <c r="J48" s="336">
        <v>23</v>
      </c>
    </row>
    <row r="49" ht="24" customHeight="1">
      <c r="A49" s="360"/>
      <c r="B49" s="343"/>
      <c r="C49" s="367"/>
      <c r="D49" s="363" t="str">
        <f>IF(TEMPLATE_SPHERE="TKO",D45&amp;".0",D45&amp;".4")</f>
        <v>11.4</v>
      </c>
      <c r="E49" s="390" t="s">
        <v>341</v>
      </c>
      <c r="F49" s="391"/>
      <c r="G49" s="392" t="s">
        <v>342</v>
      </c>
      <c r="H49" s="353"/>
      <c r="J49" s="336">
        <v>23</v>
      </c>
    </row>
    <row r="50" ht="24" customHeight="1">
      <c r="A50" s="91"/>
      <c r="B50" s="343"/>
      <c r="C50" s="91"/>
      <c r="D50" s="368"/>
      <c r="E50" s="173" t="s">
        <v>343</v>
      </c>
      <c r="F50" s="369"/>
      <c r="G50" s="392" t="s">
        <v>344</v>
      </c>
      <c r="H50" s="386"/>
      <c r="J50" s="336">
        <v>23</v>
      </c>
    </row>
    <row r="51" ht="24" customHeight="1">
      <c r="A51" s="360"/>
      <c r="B51" s="343"/>
      <c r="C51" s="367"/>
      <c r="D51" s="363">
        <f>D45+1</f>
        <v>12</v>
      </c>
      <c r="E51" s="393" t="s">
        <v>345</v>
      </c>
      <c r="F51" s="389"/>
      <c r="G51" s="39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 xml:space="preserve">Указывается наличие «да» или отсутствие «нет» утвержденной в установленном порядке инвестиционной программы</v>
      </c>
      <c r="H51" s="353"/>
      <c r="J51" s="336">
        <v>23</v>
      </c>
    </row>
    <row r="52" ht="11.5" customHeight="1">
      <c r="A52" s="91"/>
      <c r="B52" s="343"/>
      <c r="C52" s="91"/>
      <c r="J52" s="336">
        <v>11</v>
      </c>
    </row>
    <row r="53" s="395" customFormat="1" ht="31.5" customHeight="1">
      <c r="A53" s="396"/>
      <c r="B53" s="57"/>
      <c r="C53" s="397"/>
      <c r="D53" s="39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 xml:space="preserve">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398"/>
      <c r="F53" s="398"/>
      <c r="G53" s="398"/>
      <c r="H53" s="181"/>
      <c r="I53" s="181"/>
      <c r="J53" s="395">
        <v>30</v>
      </c>
    </row>
    <row r="54" s="395" customFormat="1" ht="42" customHeight="1">
      <c r="A54" s="91"/>
      <c r="B54" s="343"/>
      <c r="C54" s="397"/>
      <c r="D54" s="398" t="str">
        <f>IF(ORG_INFO_P_NOTE_MAIN=0,"",ORG_INFO_P_NOTE_MAIN)</f>
        <v xml:space="preserve">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398"/>
      <c r="F54" s="398"/>
      <c r="G54" s="398"/>
      <c r="J54" s="395">
        <v>40</v>
      </c>
    </row>
    <row r="55" ht="11.5" customHeight="1">
      <c r="D55" s="399"/>
      <c r="E55" s="400"/>
      <c r="F55" s="400"/>
      <c r="G55" s="400"/>
      <c r="J55" s="336">
        <v>11</v>
      </c>
    </row>
    <row r="56" ht="28.5" customHeight="1">
      <c r="D56" s="401"/>
      <c r="E56" s="399"/>
      <c r="F56" s="402"/>
      <c r="G56" s="402"/>
      <c r="J56" s="336">
        <v>27</v>
      </c>
    </row>
    <row r="57" ht="11.5" customHeight="1">
      <c r="D57" s="399"/>
      <c r="E57" s="399"/>
      <c r="F57" s="400"/>
      <c r="G57" s="400"/>
      <c r="J57" s="336">
        <v>11</v>
      </c>
    </row>
    <row r="58" ht="40.899999999999999" customHeight="1">
      <c r="D58" s="403"/>
      <c r="E58" s="404"/>
      <c r="F58" s="404"/>
      <c r="G58" s="404"/>
      <c r="J58" s="336">
        <v>39</v>
      </c>
    </row>
    <row r="59" ht="28.5" customHeight="1">
      <c r="D59" s="403"/>
      <c r="E59" s="404"/>
      <c r="F59" s="404"/>
      <c r="G59" s="404"/>
      <c r="J59" s="336">
        <v>27</v>
      </c>
    </row>
    <row r="60" ht="11.25" hidden="1" customHeight="1">
      <c r="A60" s="334" t="s">
        <v>81</v>
      </c>
      <c r="B60" s="335">
        <v>0</v>
      </c>
      <c r="C60" s="336">
        <v>3</v>
      </c>
      <c r="D60" s="337">
        <v>6</v>
      </c>
      <c r="E60" s="336">
        <v>52</v>
      </c>
      <c r="F60" s="336">
        <v>48</v>
      </c>
      <c r="G60" s="336">
        <v>121</v>
      </c>
      <c r="H60" s="336">
        <v>8</v>
      </c>
      <c r="I60" s="336">
        <v>64</v>
      </c>
      <c r="J60" s="336">
        <v>11</v>
      </c>
    </row>
  </sheetData>
  <sheetProtection autoFilter="0" deleteColumns="1" deleteRows="1" formatCells="1" formatColumns="0" formatRows="0" insertColumns="1" insertHyperlinks="1" insertRows="1" objects="0" pivotTables="1" scenarios="0" selectLockedCells="0" selectUnlockedCells="0" sheet="1" sort="1"/>
  <mergeCells count="12">
    <mergeCell ref="D4:F4"/>
    <mergeCell ref="D5:F5"/>
    <mergeCell ref="E7:F7"/>
    <mergeCell ref="D8:F8"/>
    <mergeCell ref="G8:G9"/>
    <mergeCell ref="A19:A23"/>
    <mergeCell ref="C19:C23"/>
    <mergeCell ref="G39:G42"/>
    <mergeCell ref="A47:A49"/>
    <mergeCell ref="C53:C54"/>
    <mergeCell ref="D53:G53"/>
    <mergeCell ref="D54:G54"/>
  </mergeCells>
  <dataValidations count="1" disablePrompts="0">
    <dataValidation sqref="F21 F17" type="none" allowBlank="1" errorStyle="stop" imeMode="noControl" operator="between" prompt="Выберите дату из календаря (иконка справа от указанной ячейки), либо введите дату непосредственно в ячейку в формате - 'ДД.ММ.ГГГГ'."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2" disablePrompts="0">
        <x14:dataValidation xr:uid="{000A0059-0010-4D0B-BFD3-003A00E900EA}" type="list" allowBlank="1" error="для выбора выполните двойной щелчок по ячейке" errorStyle="stop" imeMode="noControl" operator="between" prompt="Для выбора выполните двойной щелчок левой клавиши мыши по соответствующей ячейке." showDropDown="1" showErrorMessage="1" showInputMessage="1">
          <x14:formula1>
            <xm:f>"a"</xm:f>
          </x14:formula1>
          <xm:sqref>F51 F46:F49</xm:sqref>
        </x14:dataValidation>
        <x14:dataValidation xr:uid="{00670065-0064-40AB-A9C1-005C005D00B3}" type="textLength" allowBlank="1" error="Допускается ввод не более 900 символов!" errorStyle="stop" errorTitle="Ошибка" imeMode="noControl" operator="lessThanOrEqual" showDropDown="0" showErrorMessage="1" showInputMessage="1">
          <x14:formula1>
            <xm:f>900</xm:f>
          </x14:formula1>
          <xm:sqref>F13 F43:F44 F27:F32 F16 E40:F41 F18 F20 F34:F38 F22:F23</xm:sqref>
        </x14:dataValidation>
      </x14:dataValidations>
    </ext>
  </extLst>
</worksheet>
</file>

<file path=xl/worksheets/sheet7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sheetProtection autoFilter="0" deleteColumns="1" deleteRows="1" formatCells="1" formatColumns="1" formatRows="1" insertColumns="1" insertHyperlinks="1" insertRows="1" objects="0" pivotTables="1" scenarios="0" selectLockedCells="0" selectUnlockedCells="0" sheet="1" sort="1"/>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sheetProtection autoFilter="0" deleteColumns="1" deleteRows="1" formatCells="1" formatColumns="1" formatRows="1" insertColumns="1" insertHyperlinks="1" insertRows="1" objects="0" pivotTables="1" scenarios="0" selectLockedCells="0" selectUnlockedCells="0" sheet="1" sort="1"/>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row r="1" ht="11.25" customHeight="1">
      <c r="A1" s="63"/>
    </row>
  </sheetData>
  <sheetProtection autoFilter="0" deleteColumns="1" deleteRows="1" formatCells="1" formatColumns="1" formatRows="1" insertColumns="1" insertHyperlinks="1" insertRows="1" objects="0" pivotTables="1" scenarios="0" selectLockedCells="0" selectUnlockedCells="0" sheet="1" sort="1"/>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Views>
    <sheetView showGridLines="0" topLeftCell="A1" zoomScale="100" workbookViewId="0">
      <selection activeCell="A1" activeCellId="0" sqref="A1"/>
    </sheetView>
  </sheetViews>
  <sheetFormatPr defaultRowHeight="11.25" customHeight="1"/>
  <cols>
    <col customWidth="1" min="1" max="1" style="184" width="10.57421875"/>
    <col customWidth="1" min="2" max="2" style="184" width="8.7109375"/>
    <col customWidth="1" min="3" max="3" style="184" width="18.140625"/>
    <col customWidth="1" min="4" max="4" style="184" width="12.57421875"/>
  </cols>
  <sheetData>
    <row r="1" ht="11.25" customHeight="1">
      <c r="A1" s="1383" t="s">
        <v>2255</v>
      </c>
      <c r="B1" s="1384" t="s">
        <v>2256</v>
      </c>
      <c r="C1" s="1385" t="s">
        <v>2257</v>
      </c>
      <c r="D1" s="1386"/>
      <c r="E1" s="275" t="s">
        <v>2258</v>
      </c>
    </row>
    <row r="2" ht="11.25" customHeight="1">
      <c r="A2" s="1387"/>
      <c r="B2" s="1388" t="s">
        <v>27</v>
      </c>
      <c r="C2" s="275"/>
      <c r="D2" s="1109"/>
      <c r="E2" s="275"/>
    </row>
    <row r="3" ht="11.25" customHeight="1">
      <c r="A3" s="1389"/>
      <c r="B3" s="1390" t="s">
        <v>33</v>
      </c>
      <c r="C3" s="275"/>
      <c r="D3" s="1109"/>
      <c r="E3" s="275"/>
    </row>
    <row r="4" ht="11.25" customHeight="1">
      <c r="A4" s="1391"/>
      <c r="B4" s="1392" t="s">
        <v>1684</v>
      </c>
      <c r="C4" s="275"/>
      <c r="D4" s="1109"/>
      <c r="E4" s="275"/>
    </row>
    <row r="5" ht="11.25" customHeight="1">
      <c r="A5" s="1393"/>
      <c r="B5" s="1392" t="s">
        <v>1678</v>
      </c>
      <c r="C5" s="1394" t="s">
        <v>2022</v>
      </c>
      <c r="D5" s="1395" t="s">
        <v>2259</v>
      </c>
      <c r="E5" s="275"/>
    </row>
    <row r="6" s="63" customFormat="1" ht="11.25" customHeight="1">
      <c r="A6" s="1396"/>
      <c r="B6" s="1392" t="s">
        <v>1688</v>
      </c>
      <c r="C6" s="275"/>
      <c r="D6" s="1109"/>
      <c r="E6" s="275"/>
    </row>
    <row r="7" ht="11.25" customHeight="1">
      <c r="A7" s="1397"/>
      <c r="B7" s="1392" t="s">
        <v>1696</v>
      </c>
      <c r="C7" s="275"/>
      <c r="D7" s="1109"/>
      <c r="E7" s="275"/>
    </row>
    <row r="8" ht="11.25" customHeight="1">
      <c r="A8" s="1398"/>
      <c r="B8" s="1392" t="s">
        <v>1691</v>
      </c>
      <c r="C8" s="275"/>
      <c r="D8" s="1109"/>
      <c r="E8" s="275"/>
    </row>
  </sheetData>
  <sheetProtection autoFilter="0" deleteColumns="1" deleteRows="1" formatCells="1" formatColumns="0" formatRows="0" insertColumns="1" insertHyperlinks="1" insertRows="1" objects="0" pivotTables="1" scenarios="0" selectLockedCells="0" selectUnlockedCells="0" sheet="1" sort="1"/>
  <mergeCells count="1">
    <mergeCell ref="C1:D1"/>
  </mergeCell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sheetProtection autoFilter="0" deleteColumns="1" deleteRows="1" formatCells="1" formatColumns="1" formatRows="1" insertColumns="1" insertHyperlinks="1" insertRows="1" objects="0" pivotTables="1" scenarios="0" selectLockedCells="0" selectUnlockedCells="0" sheet="1" sort="1"/>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sheetProtection autoFilter="0" deleteColumns="1" deleteRows="1" formatCells="1" formatColumns="1" formatRows="1" insertColumns="1" insertHyperlinks="1" insertRows="1" objects="0" pivotTables="1" scenarios="0" selectLockedCells="0" selectUnlockedCells="0" sheet="1" sort="1"/>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1.25" customHeight="1"/>
  <cols>
    <col min="1" max="2" style="63" width="9.140625"/>
    <col customWidth="1" min="3" max="3" style="63" width="20.7109375"/>
    <col customWidth="1" min="4" max="4" style="63" width="25.140625"/>
    <col min="5" max="9" style="63" width="9.140625"/>
  </cols>
  <sheetData>
    <row r="1" ht="11.25" customHeight="1">
      <c r="A1" s="63" t="s">
        <v>2260</v>
      </c>
      <c r="B1" s="63" t="s">
        <v>2261</v>
      </c>
      <c r="C1" s="63" t="s">
        <v>2262</v>
      </c>
      <c r="D1" s="63" t="s">
        <v>2263</v>
      </c>
      <c r="E1" s="63" t="s">
        <v>2264</v>
      </c>
      <c r="F1" s="63" t="s">
        <v>2265</v>
      </c>
      <c r="G1" s="63" t="s">
        <v>2266</v>
      </c>
      <c r="H1" s="63" t="s">
        <v>2267</v>
      </c>
      <c r="I1" s="63" t="s">
        <v>2268</v>
      </c>
    </row>
    <row r="2" ht="11.25" customHeight="1">
      <c r="A2" s="63" t="s">
        <v>2269</v>
      </c>
      <c r="B2" s="63" t="s">
        <v>16</v>
      </c>
      <c r="C2" s="63" t="s">
        <v>2270</v>
      </c>
      <c r="D2" s="63" t="s">
        <v>2271</v>
      </c>
      <c r="E2" s="63" t="s">
        <v>2272</v>
      </c>
      <c r="F2" s="63" t="s">
        <v>2273</v>
      </c>
      <c r="G2" s="63" t="s">
        <v>2274</v>
      </c>
      <c r="H2" s="63" t="s">
        <v>22</v>
      </c>
      <c r="I2" s="63" t="s">
        <v>802</v>
      </c>
    </row>
    <row r="3" ht="11.25" customHeight="1">
      <c r="A3" s="63" t="s">
        <v>2269</v>
      </c>
      <c r="B3" s="63" t="s">
        <v>16</v>
      </c>
      <c r="C3" s="63" t="s">
        <v>13</v>
      </c>
      <c r="D3" s="63" t="s">
        <v>45</v>
      </c>
      <c r="E3" s="63" t="s">
        <v>48</v>
      </c>
      <c r="F3" s="63" t="s">
        <v>50</v>
      </c>
      <c r="G3" s="63" t="s">
        <v>22</v>
      </c>
      <c r="H3" s="63" t="s">
        <v>22</v>
      </c>
      <c r="I3" s="63" t="s">
        <v>802</v>
      </c>
    </row>
    <row r="4" ht="11.25" customHeight="1">
      <c r="A4" s="63" t="s">
        <v>2269</v>
      </c>
      <c r="B4" s="63" t="s">
        <v>16</v>
      </c>
      <c r="C4" s="63" t="s">
        <v>2275</v>
      </c>
      <c r="D4" s="63" t="s">
        <v>2276</v>
      </c>
      <c r="E4" s="63" t="s">
        <v>2277</v>
      </c>
      <c r="F4" s="63" t="s">
        <v>2278</v>
      </c>
      <c r="G4" s="63" t="s">
        <v>2279</v>
      </c>
      <c r="H4" s="63" t="s">
        <v>22</v>
      </c>
      <c r="I4" s="63" t="s">
        <v>802</v>
      </c>
    </row>
    <row r="5" ht="11.25" customHeight="1">
      <c r="A5" s="63" t="s">
        <v>2269</v>
      </c>
      <c r="B5" s="63" t="s">
        <v>16</v>
      </c>
      <c r="C5" s="63" t="s">
        <v>2280</v>
      </c>
      <c r="D5" s="63" t="s">
        <v>2281</v>
      </c>
      <c r="E5" s="63" t="s">
        <v>2282</v>
      </c>
      <c r="F5" s="63" t="s">
        <v>2283</v>
      </c>
      <c r="G5" s="63" t="s">
        <v>2284</v>
      </c>
      <c r="H5" s="63" t="s">
        <v>22</v>
      </c>
      <c r="I5" s="63" t="s">
        <v>802</v>
      </c>
    </row>
    <row r="6" ht="11.25" customHeight="1">
      <c r="A6" s="63" t="s">
        <v>2269</v>
      </c>
      <c r="B6" s="63" t="s">
        <v>16</v>
      </c>
      <c r="C6" s="63" t="s">
        <v>2285</v>
      </c>
      <c r="D6" s="63" t="s">
        <v>2286</v>
      </c>
      <c r="E6" s="63" t="s">
        <v>2287</v>
      </c>
      <c r="F6" s="63" t="s">
        <v>2288</v>
      </c>
      <c r="G6" s="63" t="s">
        <v>2289</v>
      </c>
      <c r="H6" s="63" t="s">
        <v>22</v>
      </c>
      <c r="I6" s="63" t="s">
        <v>802</v>
      </c>
    </row>
    <row r="7" ht="11.25" customHeight="1">
      <c r="A7" s="63" t="s">
        <v>2269</v>
      </c>
      <c r="B7" s="63" t="s">
        <v>16</v>
      </c>
      <c r="C7" s="63" t="s">
        <v>2290</v>
      </c>
      <c r="D7" s="63" t="s">
        <v>2291</v>
      </c>
      <c r="E7" s="63" t="s">
        <v>2292</v>
      </c>
      <c r="F7" s="63" t="s">
        <v>2288</v>
      </c>
      <c r="G7" s="63" t="s">
        <v>2293</v>
      </c>
      <c r="H7" s="63" t="s">
        <v>2294</v>
      </c>
      <c r="I7" s="63" t="s">
        <v>802</v>
      </c>
    </row>
    <row r="8" ht="11.25" customHeight="1">
      <c r="A8" s="63" t="s">
        <v>2269</v>
      </c>
      <c r="B8" s="63" t="s">
        <v>16</v>
      </c>
      <c r="C8" s="63" t="s">
        <v>2295</v>
      </c>
      <c r="D8" s="63" t="s">
        <v>2296</v>
      </c>
      <c r="E8" s="63" t="s">
        <v>2297</v>
      </c>
      <c r="F8" s="63" t="s">
        <v>2298</v>
      </c>
      <c r="G8" s="63" t="s">
        <v>2299</v>
      </c>
      <c r="H8" s="63" t="s">
        <v>22</v>
      </c>
      <c r="I8" s="63" t="s">
        <v>802</v>
      </c>
    </row>
    <row r="9" ht="11.25" customHeight="1">
      <c r="A9" s="63" t="s">
        <v>2269</v>
      </c>
      <c r="B9" s="63" t="s">
        <v>16</v>
      </c>
      <c r="C9" s="63" t="s">
        <v>22</v>
      </c>
      <c r="D9" s="63" t="s">
        <v>2300</v>
      </c>
      <c r="E9" s="63" t="s">
        <v>2301</v>
      </c>
      <c r="F9" s="63" t="s">
        <v>2288</v>
      </c>
      <c r="G9" s="63" t="s">
        <v>22</v>
      </c>
      <c r="H9" s="63" t="s">
        <v>22</v>
      </c>
      <c r="I9" s="63" t="s">
        <v>802</v>
      </c>
    </row>
    <row r="10" ht="11.25" customHeight="1">
      <c r="A10" s="63" t="s">
        <v>2269</v>
      </c>
      <c r="B10" s="63" t="s">
        <v>16</v>
      </c>
      <c r="C10" s="63" t="s">
        <v>2302</v>
      </c>
      <c r="D10" s="63" t="s">
        <v>2303</v>
      </c>
      <c r="E10" s="63" t="s">
        <v>2304</v>
      </c>
      <c r="F10" s="63" t="s">
        <v>2283</v>
      </c>
      <c r="G10" s="63" t="s">
        <v>2305</v>
      </c>
      <c r="H10" s="63" t="s">
        <v>22</v>
      </c>
      <c r="I10" s="63" t="s">
        <v>802</v>
      </c>
    </row>
    <row r="11" ht="11.25" customHeight="1">
      <c r="A11" s="63" t="s">
        <v>2269</v>
      </c>
      <c r="B11" s="63" t="s">
        <v>16</v>
      </c>
      <c r="C11" s="63" t="s">
        <v>2306</v>
      </c>
      <c r="D11" s="63" t="s">
        <v>2307</v>
      </c>
      <c r="E11" s="63" t="s">
        <v>2308</v>
      </c>
      <c r="F11" s="63" t="s">
        <v>2309</v>
      </c>
      <c r="G11" s="63" t="s">
        <v>2310</v>
      </c>
      <c r="H11" s="63" t="s">
        <v>22</v>
      </c>
      <c r="I11" s="63" t="s">
        <v>802</v>
      </c>
    </row>
    <row r="12" ht="11.25" customHeight="1">
      <c r="A12" s="63" t="s">
        <v>2269</v>
      </c>
      <c r="B12" s="63" t="s">
        <v>16</v>
      </c>
      <c r="C12" s="63" t="s">
        <v>2311</v>
      </c>
      <c r="D12" s="63" t="s">
        <v>2312</v>
      </c>
      <c r="E12" s="63" t="s">
        <v>2313</v>
      </c>
      <c r="F12" s="63" t="s">
        <v>2283</v>
      </c>
      <c r="G12" s="63" t="s">
        <v>2314</v>
      </c>
      <c r="H12" s="63" t="s">
        <v>22</v>
      </c>
      <c r="I12" s="63" t="s">
        <v>802</v>
      </c>
    </row>
    <row r="13" ht="11.25" customHeight="1">
      <c r="A13" s="63" t="s">
        <v>2269</v>
      </c>
      <c r="B13" s="63" t="s">
        <v>16</v>
      </c>
      <c r="C13" s="63" t="s">
        <v>2315</v>
      </c>
      <c r="D13" s="63" t="s">
        <v>2316</v>
      </c>
      <c r="E13" s="63" t="s">
        <v>2317</v>
      </c>
      <c r="F13" s="63" t="s">
        <v>2298</v>
      </c>
      <c r="G13" s="63" t="s">
        <v>2318</v>
      </c>
      <c r="H13" s="63" t="s">
        <v>22</v>
      </c>
      <c r="I13" s="63" t="s">
        <v>802</v>
      </c>
    </row>
    <row r="14" ht="11.25" customHeight="1">
      <c r="A14" s="63" t="s">
        <v>2269</v>
      </c>
      <c r="B14" s="63" t="s">
        <v>16</v>
      </c>
      <c r="C14" s="63" t="s">
        <v>2319</v>
      </c>
      <c r="D14" s="63" t="s">
        <v>2320</v>
      </c>
      <c r="E14" s="63" t="s">
        <v>2321</v>
      </c>
      <c r="F14" s="63" t="s">
        <v>2322</v>
      </c>
      <c r="G14" s="63" t="s">
        <v>2323</v>
      </c>
      <c r="H14" s="63" t="s">
        <v>22</v>
      </c>
      <c r="I14" s="63" t="s">
        <v>802</v>
      </c>
    </row>
    <row r="15" ht="11.25" customHeight="1">
      <c r="A15" s="63" t="s">
        <v>2269</v>
      </c>
      <c r="B15" s="63" t="s">
        <v>16</v>
      </c>
      <c r="C15" s="63" t="s">
        <v>2324</v>
      </c>
      <c r="D15" s="63" t="s">
        <v>2325</v>
      </c>
      <c r="E15" s="63" t="s">
        <v>2326</v>
      </c>
      <c r="F15" s="63" t="s">
        <v>2327</v>
      </c>
      <c r="G15" s="63" t="s">
        <v>22</v>
      </c>
      <c r="H15" s="63" t="s">
        <v>22</v>
      </c>
      <c r="I15" s="63" t="s">
        <v>802</v>
      </c>
    </row>
    <row r="16" ht="11.25" customHeight="1">
      <c r="A16" s="63" t="s">
        <v>2269</v>
      </c>
      <c r="B16" s="63" t="s">
        <v>16</v>
      </c>
      <c r="C16" s="63" t="s">
        <v>2328</v>
      </c>
      <c r="D16" s="63" t="s">
        <v>2329</v>
      </c>
      <c r="E16" s="63" t="s">
        <v>2326</v>
      </c>
      <c r="F16" s="63" t="s">
        <v>2330</v>
      </c>
      <c r="G16" s="63" t="s">
        <v>2331</v>
      </c>
      <c r="H16" s="63" t="s">
        <v>22</v>
      </c>
      <c r="I16" s="63" t="s">
        <v>802</v>
      </c>
    </row>
    <row r="17" ht="11.25" customHeight="1">
      <c r="A17" s="63" t="s">
        <v>2269</v>
      </c>
      <c r="B17" s="63" t="s">
        <v>16</v>
      </c>
      <c r="C17" s="63" t="s">
        <v>2332</v>
      </c>
      <c r="D17" s="63" t="s">
        <v>2333</v>
      </c>
      <c r="E17" s="63" t="s">
        <v>2334</v>
      </c>
      <c r="F17" s="63" t="s">
        <v>2298</v>
      </c>
      <c r="G17" s="63" t="s">
        <v>2335</v>
      </c>
      <c r="H17" s="63" t="s">
        <v>22</v>
      </c>
      <c r="I17" s="63" t="s">
        <v>802</v>
      </c>
    </row>
    <row r="18" ht="11.25" customHeight="1">
      <c r="A18" s="63" t="s">
        <v>2269</v>
      </c>
      <c r="B18" s="63" t="s">
        <v>16</v>
      </c>
      <c r="C18" s="63" t="s">
        <v>2336</v>
      </c>
      <c r="D18" s="63" t="s">
        <v>2337</v>
      </c>
      <c r="E18" s="63" t="s">
        <v>2338</v>
      </c>
      <c r="F18" s="63" t="s">
        <v>2339</v>
      </c>
      <c r="G18" s="63" t="s">
        <v>2340</v>
      </c>
      <c r="H18" s="63" t="s">
        <v>22</v>
      </c>
      <c r="I18" s="63" t="s">
        <v>802</v>
      </c>
    </row>
    <row r="19" ht="11.25" customHeight="1">
      <c r="A19" s="63" t="s">
        <v>2269</v>
      </c>
      <c r="B19" s="63" t="s">
        <v>16</v>
      </c>
      <c r="C19" s="63" t="s">
        <v>2341</v>
      </c>
      <c r="D19" s="63" t="s">
        <v>2342</v>
      </c>
      <c r="E19" s="63" t="s">
        <v>2343</v>
      </c>
      <c r="F19" s="63" t="s">
        <v>2283</v>
      </c>
      <c r="G19" s="63" t="s">
        <v>2344</v>
      </c>
      <c r="H19" s="63" t="s">
        <v>22</v>
      </c>
      <c r="I19" s="63" t="s">
        <v>802</v>
      </c>
    </row>
    <row r="20" ht="11.25" customHeight="1">
      <c r="A20" s="63" t="s">
        <v>2269</v>
      </c>
      <c r="B20" s="63" t="s">
        <v>16</v>
      </c>
      <c r="C20" s="63" t="s">
        <v>2345</v>
      </c>
      <c r="D20" s="63" t="s">
        <v>2346</v>
      </c>
      <c r="E20" s="63" t="s">
        <v>2347</v>
      </c>
      <c r="F20" s="63" t="s">
        <v>2348</v>
      </c>
      <c r="G20" s="63" t="s">
        <v>2349</v>
      </c>
      <c r="H20" s="63" t="s">
        <v>22</v>
      </c>
      <c r="I20" s="63" t="s">
        <v>802</v>
      </c>
    </row>
    <row r="21" ht="11.25" customHeight="1">
      <c r="A21" s="63" t="s">
        <v>2269</v>
      </c>
      <c r="B21" s="63" t="s">
        <v>16</v>
      </c>
      <c r="C21" s="63" t="s">
        <v>2350</v>
      </c>
      <c r="D21" s="63" t="s">
        <v>2351</v>
      </c>
      <c r="E21" s="63" t="s">
        <v>2352</v>
      </c>
      <c r="F21" s="63" t="s">
        <v>2288</v>
      </c>
      <c r="G21" s="63" t="s">
        <v>2353</v>
      </c>
      <c r="H21" s="63" t="s">
        <v>22</v>
      </c>
      <c r="I21" s="63" t="s">
        <v>802</v>
      </c>
    </row>
    <row r="22" ht="11.25" customHeight="1">
      <c r="A22" s="63" t="s">
        <v>2269</v>
      </c>
      <c r="B22" s="63" t="s">
        <v>16</v>
      </c>
      <c r="C22" s="63" t="s">
        <v>2354</v>
      </c>
      <c r="D22" s="63" t="s">
        <v>2355</v>
      </c>
      <c r="E22" s="63" t="s">
        <v>2356</v>
      </c>
      <c r="F22" s="63" t="s">
        <v>2283</v>
      </c>
      <c r="G22" s="63" t="s">
        <v>2357</v>
      </c>
      <c r="H22" s="63" t="s">
        <v>22</v>
      </c>
      <c r="I22" s="63" t="s">
        <v>802</v>
      </c>
    </row>
    <row r="23" ht="11.25" customHeight="1">
      <c r="A23" s="63" t="s">
        <v>2269</v>
      </c>
      <c r="B23" s="63" t="s">
        <v>16</v>
      </c>
      <c r="C23" s="63" t="s">
        <v>2358</v>
      </c>
      <c r="D23" s="63" t="s">
        <v>2359</v>
      </c>
      <c r="E23" s="63" t="s">
        <v>2360</v>
      </c>
      <c r="F23" s="63" t="s">
        <v>2348</v>
      </c>
      <c r="G23" s="63" t="s">
        <v>2361</v>
      </c>
      <c r="H23" s="63" t="s">
        <v>22</v>
      </c>
      <c r="I23" s="63" t="s">
        <v>802</v>
      </c>
    </row>
    <row r="24" ht="11.25" customHeight="1">
      <c r="A24" s="63" t="s">
        <v>2269</v>
      </c>
      <c r="B24" s="63" t="s">
        <v>16</v>
      </c>
      <c r="C24" s="63" t="s">
        <v>2362</v>
      </c>
      <c r="D24" s="63" t="s">
        <v>2363</v>
      </c>
      <c r="E24" s="63" t="s">
        <v>2364</v>
      </c>
      <c r="F24" s="63" t="s">
        <v>2298</v>
      </c>
      <c r="G24" s="63" t="s">
        <v>2365</v>
      </c>
      <c r="H24" s="63" t="s">
        <v>22</v>
      </c>
      <c r="I24" s="63" t="s">
        <v>802</v>
      </c>
    </row>
    <row r="25" ht="11.25" customHeight="1">
      <c r="A25" s="63" t="s">
        <v>2269</v>
      </c>
      <c r="B25" s="63" t="s">
        <v>16</v>
      </c>
      <c r="C25" s="63" t="s">
        <v>2366</v>
      </c>
      <c r="D25" s="63" t="s">
        <v>2367</v>
      </c>
      <c r="E25" s="63" t="s">
        <v>2368</v>
      </c>
      <c r="F25" s="63" t="s">
        <v>2348</v>
      </c>
      <c r="G25" s="63" t="s">
        <v>22</v>
      </c>
      <c r="H25" s="63" t="s">
        <v>22</v>
      </c>
      <c r="I25" s="63" t="s">
        <v>802</v>
      </c>
    </row>
    <row r="26" ht="11.25" customHeight="1">
      <c r="A26" s="63" t="s">
        <v>2269</v>
      </c>
      <c r="B26" s="63" t="s">
        <v>16</v>
      </c>
      <c r="C26" s="63" t="s">
        <v>2369</v>
      </c>
      <c r="D26" s="63" t="s">
        <v>2370</v>
      </c>
      <c r="E26" s="63" t="s">
        <v>2371</v>
      </c>
      <c r="F26" s="63" t="s">
        <v>2372</v>
      </c>
      <c r="G26" s="63" t="s">
        <v>2373</v>
      </c>
      <c r="H26" s="63" t="s">
        <v>22</v>
      </c>
      <c r="I26" s="63" t="s">
        <v>802</v>
      </c>
    </row>
    <row r="27" ht="11.25" customHeight="1">
      <c r="A27" s="63" t="s">
        <v>2269</v>
      </c>
      <c r="B27" s="63" t="s">
        <v>16</v>
      </c>
      <c r="C27" s="63" t="s">
        <v>2374</v>
      </c>
      <c r="D27" s="63" t="s">
        <v>2375</v>
      </c>
      <c r="E27" s="63" t="s">
        <v>2376</v>
      </c>
      <c r="F27" s="63" t="s">
        <v>2298</v>
      </c>
      <c r="G27" s="63" t="s">
        <v>2377</v>
      </c>
      <c r="H27" s="63" t="s">
        <v>22</v>
      </c>
      <c r="I27" s="63" t="s">
        <v>802</v>
      </c>
    </row>
    <row r="28" ht="11.25" customHeight="1">
      <c r="A28" s="63" t="s">
        <v>2269</v>
      </c>
      <c r="B28" s="63" t="s">
        <v>16</v>
      </c>
      <c r="C28" s="63" t="s">
        <v>2378</v>
      </c>
      <c r="D28" s="63" t="s">
        <v>2379</v>
      </c>
      <c r="E28" s="63" t="s">
        <v>2380</v>
      </c>
      <c r="F28" s="63" t="s">
        <v>2348</v>
      </c>
      <c r="G28" s="63" t="s">
        <v>2381</v>
      </c>
      <c r="H28" s="63" t="s">
        <v>22</v>
      </c>
      <c r="I28" s="63" t="s">
        <v>802</v>
      </c>
    </row>
    <row r="29" ht="11.25" customHeight="1">
      <c r="A29" s="63" t="s">
        <v>2269</v>
      </c>
      <c r="B29" s="63" t="s">
        <v>16</v>
      </c>
      <c r="C29" s="63" t="s">
        <v>2382</v>
      </c>
      <c r="D29" s="63" t="s">
        <v>2383</v>
      </c>
      <c r="E29" s="63" t="s">
        <v>2384</v>
      </c>
      <c r="F29" s="63" t="s">
        <v>2283</v>
      </c>
      <c r="G29" s="63" t="s">
        <v>2385</v>
      </c>
      <c r="H29" s="63" t="s">
        <v>22</v>
      </c>
      <c r="I29" s="63" t="s">
        <v>802</v>
      </c>
    </row>
    <row r="30" ht="11.25" customHeight="1">
      <c r="A30" s="63" t="s">
        <v>2269</v>
      </c>
      <c r="B30" s="63" t="s">
        <v>16</v>
      </c>
      <c r="C30" s="63" t="s">
        <v>2386</v>
      </c>
      <c r="D30" s="63" t="s">
        <v>2387</v>
      </c>
      <c r="E30" s="63" t="s">
        <v>2326</v>
      </c>
      <c r="F30" s="63" t="s">
        <v>2388</v>
      </c>
      <c r="G30" s="63" t="s">
        <v>22</v>
      </c>
      <c r="H30" s="63" t="s">
        <v>22</v>
      </c>
      <c r="I30" s="63" t="s">
        <v>802</v>
      </c>
    </row>
    <row r="31" ht="11.25" customHeight="1">
      <c r="A31" s="63" t="s">
        <v>2269</v>
      </c>
      <c r="B31" s="63" t="s">
        <v>16</v>
      </c>
      <c r="C31" s="63" t="s">
        <v>2389</v>
      </c>
      <c r="D31" s="63" t="s">
        <v>2390</v>
      </c>
      <c r="E31" s="63" t="s">
        <v>2391</v>
      </c>
      <c r="F31" s="63" t="s">
        <v>2392</v>
      </c>
      <c r="G31" s="63" t="s">
        <v>22</v>
      </c>
      <c r="H31" s="63" t="s">
        <v>22</v>
      </c>
      <c r="I31" s="63" t="s">
        <v>802</v>
      </c>
    </row>
    <row r="32" ht="11.25" customHeight="1">
      <c r="A32" s="63" t="s">
        <v>2269</v>
      </c>
      <c r="B32" s="63" t="s">
        <v>16</v>
      </c>
      <c r="C32" s="63" t="s">
        <v>2393</v>
      </c>
      <c r="D32" s="63" t="s">
        <v>2394</v>
      </c>
      <c r="E32" s="63" t="s">
        <v>2395</v>
      </c>
      <c r="F32" s="63" t="s">
        <v>2396</v>
      </c>
      <c r="G32" s="63" t="s">
        <v>22</v>
      </c>
      <c r="H32" s="63" t="s">
        <v>22</v>
      </c>
      <c r="I32" s="63" t="s">
        <v>802</v>
      </c>
    </row>
    <row r="33" ht="11.25" customHeight="1">
      <c r="A33" s="63" t="s">
        <v>2269</v>
      </c>
      <c r="B33" s="63" t="s">
        <v>16</v>
      </c>
      <c r="C33" s="63" t="s">
        <v>2397</v>
      </c>
      <c r="D33" s="63" t="s">
        <v>2398</v>
      </c>
      <c r="E33" s="63" t="s">
        <v>2395</v>
      </c>
      <c r="F33" s="63" t="s">
        <v>2399</v>
      </c>
      <c r="G33" s="63" t="s">
        <v>2400</v>
      </c>
      <c r="H33" s="63" t="s">
        <v>22</v>
      </c>
      <c r="I33" s="63" t="s">
        <v>802</v>
      </c>
    </row>
    <row r="34" ht="11.25" customHeight="1">
      <c r="A34" s="63" t="s">
        <v>2269</v>
      </c>
      <c r="B34" s="63" t="s">
        <v>16</v>
      </c>
      <c r="C34" s="63" t="s">
        <v>2401</v>
      </c>
      <c r="D34" s="63" t="s">
        <v>2402</v>
      </c>
      <c r="E34" s="63" t="s">
        <v>2403</v>
      </c>
      <c r="F34" s="63" t="s">
        <v>2404</v>
      </c>
      <c r="G34" s="63" t="s">
        <v>22</v>
      </c>
      <c r="H34" s="63" t="s">
        <v>22</v>
      </c>
      <c r="I34" s="63" t="s">
        <v>802</v>
      </c>
    </row>
    <row r="35" ht="11.25" customHeight="1">
      <c r="A35" s="63" t="s">
        <v>2269</v>
      </c>
      <c r="B35" s="63" t="s">
        <v>16</v>
      </c>
      <c r="C35" s="63" t="s">
        <v>2405</v>
      </c>
      <c r="D35" s="63" t="s">
        <v>2406</v>
      </c>
      <c r="E35" s="63" t="s">
        <v>2407</v>
      </c>
      <c r="F35" s="63" t="s">
        <v>2288</v>
      </c>
      <c r="G35" s="63" t="s">
        <v>2408</v>
      </c>
      <c r="H35" s="63" t="s">
        <v>22</v>
      </c>
      <c r="I35" s="63" t="s">
        <v>802</v>
      </c>
    </row>
    <row r="36" ht="11.25" customHeight="1">
      <c r="A36" s="63" t="s">
        <v>2269</v>
      </c>
      <c r="B36" s="63" t="s">
        <v>16</v>
      </c>
      <c r="C36" s="63" t="s">
        <v>2409</v>
      </c>
      <c r="D36" s="63" t="s">
        <v>2410</v>
      </c>
      <c r="E36" s="63" t="s">
        <v>2411</v>
      </c>
      <c r="F36" s="63" t="s">
        <v>2288</v>
      </c>
      <c r="G36" s="63" t="s">
        <v>2412</v>
      </c>
      <c r="H36" s="63" t="s">
        <v>22</v>
      </c>
      <c r="I36" s="63" t="s">
        <v>802</v>
      </c>
    </row>
    <row r="37" ht="11.25" customHeight="1">
      <c r="A37" s="63" t="s">
        <v>2269</v>
      </c>
      <c r="B37" s="63" t="s">
        <v>16</v>
      </c>
      <c r="C37" s="63" t="s">
        <v>2413</v>
      </c>
      <c r="D37" s="63" t="s">
        <v>2414</v>
      </c>
      <c r="E37" s="63" t="s">
        <v>2415</v>
      </c>
      <c r="F37" s="63" t="s">
        <v>2416</v>
      </c>
      <c r="G37" s="63" t="s">
        <v>22</v>
      </c>
      <c r="H37" s="63" t="s">
        <v>22</v>
      </c>
      <c r="I37" s="63" t="s">
        <v>802</v>
      </c>
    </row>
    <row r="38" ht="11.25" customHeight="1">
      <c r="A38" s="63" t="s">
        <v>2269</v>
      </c>
      <c r="B38" s="63" t="s">
        <v>16</v>
      </c>
      <c r="C38" s="63" t="s">
        <v>2417</v>
      </c>
      <c r="D38" s="63" t="s">
        <v>2418</v>
      </c>
      <c r="E38" s="63" t="s">
        <v>2326</v>
      </c>
      <c r="F38" s="63" t="s">
        <v>2419</v>
      </c>
      <c r="G38" s="63" t="s">
        <v>2420</v>
      </c>
      <c r="H38" s="63" t="s">
        <v>22</v>
      </c>
      <c r="I38" s="63" t="s">
        <v>802</v>
      </c>
    </row>
    <row r="39" ht="11.25" customHeight="1">
      <c r="A39" s="63" t="s">
        <v>2269</v>
      </c>
      <c r="B39" s="63" t="s">
        <v>16</v>
      </c>
      <c r="C39" s="63" t="s">
        <v>2270</v>
      </c>
      <c r="D39" s="63" t="s">
        <v>2271</v>
      </c>
      <c r="E39" s="63" t="s">
        <v>2272</v>
      </c>
      <c r="F39" s="63" t="s">
        <v>2273</v>
      </c>
      <c r="G39" s="63" t="s">
        <v>2274</v>
      </c>
      <c r="H39" s="63" t="s">
        <v>22</v>
      </c>
      <c r="I39" s="63" t="s">
        <v>888</v>
      </c>
    </row>
    <row r="40" ht="11.25" customHeight="1">
      <c r="A40" s="63" t="s">
        <v>2269</v>
      </c>
      <c r="B40" s="63" t="s">
        <v>16</v>
      </c>
      <c r="C40" s="63" t="s">
        <v>13</v>
      </c>
      <c r="D40" s="63" t="s">
        <v>45</v>
      </c>
      <c r="E40" s="63" t="s">
        <v>48</v>
      </c>
      <c r="F40" s="63" t="s">
        <v>50</v>
      </c>
      <c r="G40" s="63" t="s">
        <v>22</v>
      </c>
      <c r="H40" s="63" t="s">
        <v>22</v>
      </c>
      <c r="I40" s="63" t="s">
        <v>888</v>
      </c>
    </row>
    <row r="41" ht="11.25" customHeight="1">
      <c r="A41" s="63" t="s">
        <v>2269</v>
      </c>
      <c r="B41" s="63" t="s">
        <v>16</v>
      </c>
      <c r="C41" s="63" t="s">
        <v>2285</v>
      </c>
      <c r="D41" s="63" t="s">
        <v>2286</v>
      </c>
      <c r="E41" s="63" t="s">
        <v>2287</v>
      </c>
      <c r="F41" s="63" t="s">
        <v>2288</v>
      </c>
      <c r="G41" s="63" t="s">
        <v>2289</v>
      </c>
      <c r="H41" s="63" t="s">
        <v>22</v>
      </c>
      <c r="I41" s="63" t="s">
        <v>888</v>
      </c>
    </row>
    <row r="42" ht="11.25" customHeight="1">
      <c r="A42" s="63" t="s">
        <v>2269</v>
      </c>
      <c r="B42" s="63" t="s">
        <v>16</v>
      </c>
      <c r="C42" s="63" t="s">
        <v>2290</v>
      </c>
      <c r="D42" s="63" t="s">
        <v>2291</v>
      </c>
      <c r="E42" s="63" t="s">
        <v>2292</v>
      </c>
      <c r="F42" s="63" t="s">
        <v>2288</v>
      </c>
      <c r="G42" s="63" t="s">
        <v>2293</v>
      </c>
      <c r="H42" s="63" t="s">
        <v>2294</v>
      </c>
      <c r="I42" s="63" t="s">
        <v>888</v>
      </c>
    </row>
    <row r="43" ht="11.25" customHeight="1">
      <c r="A43" s="63" t="s">
        <v>2269</v>
      </c>
      <c r="B43" s="63" t="s">
        <v>16</v>
      </c>
      <c r="C43" s="63" t="s">
        <v>22</v>
      </c>
      <c r="D43" s="63" t="s">
        <v>2300</v>
      </c>
      <c r="E43" s="63" t="s">
        <v>2301</v>
      </c>
      <c r="F43" s="63" t="s">
        <v>2288</v>
      </c>
      <c r="G43" s="63" t="s">
        <v>22</v>
      </c>
      <c r="H43" s="63" t="s">
        <v>22</v>
      </c>
      <c r="I43" s="63" t="s">
        <v>888</v>
      </c>
    </row>
    <row r="44" ht="11.25" customHeight="1">
      <c r="A44" s="63" t="s">
        <v>2269</v>
      </c>
      <c r="B44" s="63" t="s">
        <v>16</v>
      </c>
      <c r="C44" s="63" t="s">
        <v>2311</v>
      </c>
      <c r="D44" s="63" t="s">
        <v>2312</v>
      </c>
      <c r="E44" s="63" t="s">
        <v>2313</v>
      </c>
      <c r="F44" s="63" t="s">
        <v>2283</v>
      </c>
      <c r="G44" s="63" t="s">
        <v>2314</v>
      </c>
      <c r="H44" s="63" t="s">
        <v>22</v>
      </c>
      <c r="I44" s="63" t="s">
        <v>888</v>
      </c>
    </row>
    <row r="45" ht="11.25" customHeight="1">
      <c r="A45" s="63" t="s">
        <v>2269</v>
      </c>
      <c r="B45" s="63" t="s">
        <v>16</v>
      </c>
      <c r="C45" s="63" t="s">
        <v>2319</v>
      </c>
      <c r="D45" s="63" t="s">
        <v>2320</v>
      </c>
      <c r="E45" s="63" t="s">
        <v>2321</v>
      </c>
      <c r="F45" s="63" t="s">
        <v>2322</v>
      </c>
      <c r="G45" s="63" t="s">
        <v>2323</v>
      </c>
      <c r="H45" s="63" t="s">
        <v>22</v>
      </c>
      <c r="I45" s="63" t="s">
        <v>888</v>
      </c>
    </row>
    <row r="46" ht="11.25" customHeight="1">
      <c r="A46" s="63" t="s">
        <v>2269</v>
      </c>
      <c r="B46" s="63" t="s">
        <v>16</v>
      </c>
      <c r="C46" s="63" t="s">
        <v>2328</v>
      </c>
      <c r="D46" s="63" t="s">
        <v>2329</v>
      </c>
      <c r="E46" s="63" t="s">
        <v>2326</v>
      </c>
      <c r="F46" s="63" t="s">
        <v>2330</v>
      </c>
      <c r="G46" s="63" t="s">
        <v>2331</v>
      </c>
      <c r="H46" s="63" t="s">
        <v>22</v>
      </c>
      <c r="I46" s="63" t="s">
        <v>888</v>
      </c>
    </row>
    <row r="47" ht="11.25" customHeight="1">
      <c r="A47" s="63" t="s">
        <v>2269</v>
      </c>
      <c r="B47" s="63" t="s">
        <v>16</v>
      </c>
      <c r="C47" s="63" t="s">
        <v>2378</v>
      </c>
      <c r="D47" s="63" t="s">
        <v>2379</v>
      </c>
      <c r="E47" s="63" t="s">
        <v>2380</v>
      </c>
      <c r="F47" s="63" t="s">
        <v>2348</v>
      </c>
      <c r="G47" s="63" t="s">
        <v>2381</v>
      </c>
      <c r="H47" s="63" t="s">
        <v>22</v>
      </c>
      <c r="I47" s="63" t="s">
        <v>888</v>
      </c>
    </row>
    <row r="48" ht="11.25" customHeight="1">
      <c r="A48" s="63" t="s">
        <v>2269</v>
      </c>
      <c r="B48" s="63" t="s">
        <v>16</v>
      </c>
      <c r="C48" s="63" t="s">
        <v>2393</v>
      </c>
      <c r="D48" s="63" t="s">
        <v>2394</v>
      </c>
      <c r="E48" s="63" t="s">
        <v>2395</v>
      </c>
      <c r="F48" s="63" t="s">
        <v>2396</v>
      </c>
      <c r="G48" s="63" t="s">
        <v>22</v>
      </c>
      <c r="H48" s="63" t="s">
        <v>22</v>
      </c>
      <c r="I48" s="63" t="s">
        <v>888</v>
      </c>
    </row>
    <row r="49" ht="11.25" customHeight="1">
      <c r="A49" s="63" t="s">
        <v>2269</v>
      </c>
      <c r="B49" s="63" t="s">
        <v>16</v>
      </c>
      <c r="C49" s="63" t="s">
        <v>2397</v>
      </c>
      <c r="D49" s="63" t="s">
        <v>2398</v>
      </c>
      <c r="E49" s="63" t="s">
        <v>2395</v>
      </c>
      <c r="F49" s="63" t="s">
        <v>2399</v>
      </c>
      <c r="G49" s="63" t="s">
        <v>2400</v>
      </c>
      <c r="H49" s="63" t="s">
        <v>22</v>
      </c>
      <c r="I49" s="63" t="s">
        <v>888</v>
      </c>
    </row>
    <row r="50" ht="11.25" customHeight="1">
      <c r="A50" s="63" t="s">
        <v>2269</v>
      </c>
      <c r="B50" s="63" t="s">
        <v>16</v>
      </c>
      <c r="C50" s="63" t="s">
        <v>2413</v>
      </c>
      <c r="D50" s="63" t="s">
        <v>2414</v>
      </c>
      <c r="E50" s="63" t="s">
        <v>2415</v>
      </c>
      <c r="F50" s="63" t="s">
        <v>2416</v>
      </c>
      <c r="G50" s="63" t="s">
        <v>22</v>
      </c>
      <c r="H50" s="63" t="s">
        <v>22</v>
      </c>
      <c r="I50" s="63" t="s">
        <v>888</v>
      </c>
    </row>
    <row r="51" ht="11.25" customHeight="1">
      <c r="A51" s="63" t="s">
        <v>2269</v>
      </c>
      <c r="B51" s="63" t="s">
        <v>16</v>
      </c>
      <c r="C51" s="63" t="s">
        <v>2270</v>
      </c>
      <c r="D51" s="63" t="s">
        <v>2271</v>
      </c>
      <c r="E51" s="63" t="s">
        <v>2272</v>
      </c>
      <c r="F51" s="63" t="s">
        <v>2273</v>
      </c>
      <c r="G51" s="63" t="s">
        <v>2274</v>
      </c>
      <c r="H51" s="63" t="s">
        <v>22</v>
      </c>
      <c r="I51" s="63" t="s">
        <v>848</v>
      </c>
    </row>
    <row r="52" ht="11.25" customHeight="1">
      <c r="A52" s="63" t="s">
        <v>2269</v>
      </c>
      <c r="B52" s="63" t="s">
        <v>16</v>
      </c>
      <c r="C52" s="63" t="s">
        <v>2280</v>
      </c>
      <c r="D52" s="63" t="s">
        <v>2281</v>
      </c>
      <c r="E52" s="63" t="s">
        <v>2282</v>
      </c>
      <c r="F52" s="63" t="s">
        <v>2283</v>
      </c>
      <c r="G52" s="63" t="s">
        <v>2284</v>
      </c>
      <c r="H52" s="63" t="s">
        <v>22</v>
      </c>
      <c r="I52" s="63" t="s">
        <v>848</v>
      </c>
    </row>
    <row r="53" ht="11.25" customHeight="1">
      <c r="A53" s="63" t="s">
        <v>2269</v>
      </c>
      <c r="B53" s="63" t="s">
        <v>16</v>
      </c>
      <c r="C53" s="63" t="s">
        <v>2285</v>
      </c>
      <c r="D53" s="63" t="s">
        <v>2286</v>
      </c>
      <c r="E53" s="63" t="s">
        <v>2287</v>
      </c>
      <c r="F53" s="63" t="s">
        <v>2288</v>
      </c>
      <c r="G53" s="63" t="s">
        <v>2289</v>
      </c>
      <c r="H53" s="63" t="s">
        <v>22</v>
      </c>
      <c r="I53" s="63" t="s">
        <v>848</v>
      </c>
    </row>
    <row r="54" ht="11.25" customHeight="1">
      <c r="A54" s="63" t="s">
        <v>2269</v>
      </c>
      <c r="B54" s="63" t="s">
        <v>16</v>
      </c>
      <c r="C54" s="63" t="s">
        <v>2290</v>
      </c>
      <c r="D54" s="63" t="s">
        <v>2291</v>
      </c>
      <c r="E54" s="63" t="s">
        <v>2292</v>
      </c>
      <c r="F54" s="63" t="s">
        <v>2288</v>
      </c>
      <c r="G54" s="63" t="s">
        <v>2293</v>
      </c>
      <c r="H54" s="63" t="s">
        <v>2294</v>
      </c>
      <c r="I54" s="63" t="s">
        <v>848</v>
      </c>
    </row>
    <row r="55" ht="11.25" customHeight="1">
      <c r="A55" s="63" t="s">
        <v>2269</v>
      </c>
      <c r="B55" s="63" t="s">
        <v>16</v>
      </c>
      <c r="C55" s="63" t="s">
        <v>2295</v>
      </c>
      <c r="D55" s="63" t="s">
        <v>2296</v>
      </c>
      <c r="E55" s="63" t="s">
        <v>2297</v>
      </c>
      <c r="F55" s="63" t="s">
        <v>2298</v>
      </c>
      <c r="G55" s="63" t="s">
        <v>2299</v>
      </c>
      <c r="H55" s="63" t="s">
        <v>22</v>
      </c>
      <c r="I55" s="63" t="s">
        <v>848</v>
      </c>
    </row>
    <row r="56" ht="11.25" customHeight="1">
      <c r="A56" s="63" t="s">
        <v>2269</v>
      </c>
      <c r="B56" s="63" t="s">
        <v>16</v>
      </c>
      <c r="C56" s="63" t="s">
        <v>22</v>
      </c>
      <c r="D56" s="63" t="s">
        <v>2300</v>
      </c>
      <c r="E56" s="63" t="s">
        <v>2301</v>
      </c>
      <c r="F56" s="63" t="s">
        <v>2288</v>
      </c>
      <c r="G56" s="63" t="s">
        <v>22</v>
      </c>
      <c r="H56" s="63" t="s">
        <v>22</v>
      </c>
      <c r="I56" s="63" t="s">
        <v>848</v>
      </c>
    </row>
    <row r="57" ht="11.25" customHeight="1">
      <c r="A57" s="63" t="s">
        <v>2269</v>
      </c>
      <c r="B57" s="63" t="s">
        <v>16</v>
      </c>
      <c r="C57" s="63" t="s">
        <v>2421</v>
      </c>
      <c r="D57" s="63" t="s">
        <v>2422</v>
      </c>
      <c r="E57" s="63" t="s">
        <v>2423</v>
      </c>
      <c r="F57" s="63" t="s">
        <v>569</v>
      </c>
      <c r="G57" s="63" t="s">
        <v>22</v>
      </c>
      <c r="H57" s="63" t="s">
        <v>22</v>
      </c>
      <c r="I57" s="63" t="s">
        <v>848</v>
      </c>
    </row>
    <row r="58" ht="11.25" customHeight="1">
      <c r="A58" s="63" t="s">
        <v>2269</v>
      </c>
      <c r="B58" s="63" t="s">
        <v>16</v>
      </c>
      <c r="C58" s="63" t="s">
        <v>2424</v>
      </c>
      <c r="D58" s="63" t="s">
        <v>2425</v>
      </c>
      <c r="E58" s="63" t="s">
        <v>2426</v>
      </c>
      <c r="F58" s="63" t="s">
        <v>2288</v>
      </c>
      <c r="G58" s="63" t="s">
        <v>2427</v>
      </c>
      <c r="H58" s="63" t="s">
        <v>2428</v>
      </c>
      <c r="I58" s="63" t="s">
        <v>848</v>
      </c>
    </row>
    <row r="59" ht="11.25" customHeight="1">
      <c r="A59" s="63" t="s">
        <v>2269</v>
      </c>
      <c r="B59" s="63" t="s">
        <v>16</v>
      </c>
      <c r="C59" s="63" t="s">
        <v>2302</v>
      </c>
      <c r="D59" s="63" t="s">
        <v>2303</v>
      </c>
      <c r="E59" s="63" t="s">
        <v>2304</v>
      </c>
      <c r="F59" s="63" t="s">
        <v>2283</v>
      </c>
      <c r="G59" s="63" t="s">
        <v>2305</v>
      </c>
      <c r="H59" s="63" t="s">
        <v>22</v>
      </c>
      <c r="I59" s="63" t="s">
        <v>848</v>
      </c>
    </row>
    <row r="60" ht="11.25" customHeight="1">
      <c r="A60" s="63" t="s">
        <v>2269</v>
      </c>
      <c r="B60" s="63" t="s">
        <v>16</v>
      </c>
      <c r="C60" s="63" t="s">
        <v>2306</v>
      </c>
      <c r="D60" s="63" t="s">
        <v>2307</v>
      </c>
      <c r="E60" s="63" t="s">
        <v>2308</v>
      </c>
      <c r="F60" s="63" t="s">
        <v>2309</v>
      </c>
      <c r="G60" s="63" t="s">
        <v>2310</v>
      </c>
      <c r="H60" s="63" t="s">
        <v>22</v>
      </c>
      <c r="I60" s="63" t="s">
        <v>848</v>
      </c>
    </row>
    <row r="61" ht="11.25" customHeight="1">
      <c r="A61" s="63" t="s">
        <v>2269</v>
      </c>
      <c r="B61" s="63" t="s">
        <v>16</v>
      </c>
      <c r="C61" s="63" t="s">
        <v>2429</v>
      </c>
      <c r="D61" s="63" t="s">
        <v>2430</v>
      </c>
      <c r="E61" s="63" t="s">
        <v>2431</v>
      </c>
      <c r="F61" s="63" t="s">
        <v>2309</v>
      </c>
      <c r="G61" s="63" t="s">
        <v>22</v>
      </c>
      <c r="H61" s="63" t="s">
        <v>2432</v>
      </c>
      <c r="I61" s="63" t="s">
        <v>848</v>
      </c>
    </row>
    <row r="62" ht="11.25" customHeight="1">
      <c r="A62" s="63" t="s">
        <v>2269</v>
      </c>
      <c r="B62" s="63" t="s">
        <v>16</v>
      </c>
      <c r="C62" s="63" t="s">
        <v>2311</v>
      </c>
      <c r="D62" s="63" t="s">
        <v>2312</v>
      </c>
      <c r="E62" s="63" t="s">
        <v>2313</v>
      </c>
      <c r="F62" s="63" t="s">
        <v>2283</v>
      </c>
      <c r="G62" s="63" t="s">
        <v>2314</v>
      </c>
      <c r="H62" s="63" t="s">
        <v>22</v>
      </c>
      <c r="I62" s="63" t="s">
        <v>848</v>
      </c>
    </row>
    <row r="63" ht="11.25" customHeight="1">
      <c r="A63" s="63" t="s">
        <v>2269</v>
      </c>
      <c r="B63" s="63" t="s">
        <v>16</v>
      </c>
      <c r="C63" s="63" t="s">
        <v>2315</v>
      </c>
      <c r="D63" s="63" t="s">
        <v>2316</v>
      </c>
      <c r="E63" s="63" t="s">
        <v>2317</v>
      </c>
      <c r="F63" s="63" t="s">
        <v>2298</v>
      </c>
      <c r="G63" s="63" t="s">
        <v>2318</v>
      </c>
      <c r="H63" s="63" t="s">
        <v>22</v>
      </c>
      <c r="I63" s="63" t="s">
        <v>848</v>
      </c>
    </row>
    <row r="64" ht="11.25" customHeight="1">
      <c r="A64" s="63" t="s">
        <v>2269</v>
      </c>
      <c r="B64" s="63" t="s">
        <v>16</v>
      </c>
      <c r="C64" s="63" t="s">
        <v>2319</v>
      </c>
      <c r="D64" s="63" t="s">
        <v>2320</v>
      </c>
      <c r="E64" s="63" t="s">
        <v>2321</v>
      </c>
      <c r="F64" s="63" t="s">
        <v>2322</v>
      </c>
      <c r="G64" s="63" t="s">
        <v>2323</v>
      </c>
      <c r="H64" s="63" t="s">
        <v>22</v>
      </c>
      <c r="I64" s="63" t="s">
        <v>848</v>
      </c>
    </row>
    <row r="65" ht="11.25" customHeight="1">
      <c r="A65" s="63" t="s">
        <v>2269</v>
      </c>
      <c r="B65" s="63" t="s">
        <v>16</v>
      </c>
      <c r="C65" s="63" t="s">
        <v>2328</v>
      </c>
      <c r="D65" s="63" t="s">
        <v>2329</v>
      </c>
      <c r="E65" s="63" t="s">
        <v>2326</v>
      </c>
      <c r="F65" s="63" t="s">
        <v>2330</v>
      </c>
      <c r="G65" s="63" t="s">
        <v>2331</v>
      </c>
      <c r="H65" s="63" t="s">
        <v>22</v>
      </c>
      <c r="I65" s="63" t="s">
        <v>848</v>
      </c>
    </row>
    <row r="66" ht="11.25" customHeight="1">
      <c r="A66" s="63" t="s">
        <v>2269</v>
      </c>
      <c r="B66" s="63" t="s">
        <v>16</v>
      </c>
      <c r="C66" s="63" t="s">
        <v>2332</v>
      </c>
      <c r="D66" s="63" t="s">
        <v>2333</v>
      </c>
      <c r="E66" s="63" t="s">
        <v>2334</v>
      </c>
      <c r="F66" s="63" t="s">
        <v>2298</v>
      </c>
      <c r="G66" s="63" t="s">
        <v>2335</v>
      </c>
      <c r="H66" s="63" t="s">
        <v>22</v>
      </c>
      <c r="I66" s="63" t="s">
        <v>848</v>
      </c>
    </row>
    <row r="67" ht="11.25" customHeight="1">
      <c r="A67" s="63" t="s">
        <v>2269</v>
      </c>
      <c r="B67" s="63" t="s">
        <v>16</v>
      </c>
      <c r="C67" s="63" t="s">
        <v>2433</v>
      </c>
      <c r="D67" s="63" t="s">
        <v>2434</v>
      </c>
      <c r="E67" s="63" t="s">
        <v>2435</v>
      </c>
      <c r="F67" s="63" t="s">
        <v>2436</v>
      </c>
      <c r="G67" s="63" t="s">
        <v>22</v>
      </c>
      <c r="H67" s="63" t="s">
        <v>22</v>
      </c>
      <c r="I67" s="63" t="s">
        <v>848</v>
      </c>
    </row>
    <row r="68" ht="11.25" customHeight="1">
      <c r="A68" s="63" t="s">
        <v>2269</v>
      </c>
      <c r="B68" s="63" t="s">
        <v>16</v>
      </c>
      <c r="C68" s="63" t="s">
        <v>2437</v>
      </c>
      <c r="D68" s="63" t="s">
        <v>2438</v>
      </c>
      <c r="E68" s="63" t="s">
        <v>2439</v>
      </c>
      <c r="F68" s="63" t="s">
        <v>2283</v>
      </c>
      <c r="G68" s="63" t="s">
        <v>2440</v>
      </c>
      <c r="H68" s="63" t="s">
        <v>22</v>
      </c>
      <c r="I68" s="63" t="s">
        <v>848</v>
      </c>
    </row>
    <row r="69" ht="11.25" customHeight="1">
      <c r="A69" s="63" t="s">
        <v>2269</v>
      </c>
      <c r="B69" s="63" t="s">
        <v>16</v>
      </c>
      <c r="C69" s="63" t="s">
        <v>2336</v>
      </c>
      <c r="D69" s="63" t="s">
        <v>2337</v>
      </c>
      <c r="E69" s="63" t="s">
        <v>2338</v>
      </c>
      <c r="F69" s="63" t="s">
        <v>2339</v>
      </c>
      <c r="G69" s="63" t="s">
        <v>2340</v>
      </c>
      <c r="H69" s="63" t="s">
        <v>22</v>
      </c>
      <c r="I69" s="63" t="s">
        <v>848</v>
      </c>
    </row>
    <row r="70" ht="11.25" customHeight="1">
      <c r="A70" s="63" t="s">
        <v>2269</v>
      </c>
      <c r="B70" s="63" t="s">
        <v>16</v>
      </c>
      <c r="C70" s="63" t="s">
        <v>2441</v>
      </c>
      <c r="D70" s="63" t="s">
        <v>2442</v>
      </c>
      <c r="E70" s="63" t="s">
        <v>2443</v>
      </c>
      <c r="F70" s="63" t="s">
        <v>2444</v>
      </c>
      <c r="G70" s="63" t="s">
        <v>22</v>
      </c>
      <c r="H70" s="63" t="s">
        <v>22</v>
      </c>
      <c r="I70" s="63" t="s">
        <v>848</v>
      </c>
    </row>
    <row r="71" ht="11.25" customHeight="1">
      <c r="A71" s="63" t="s">
        <v>2269</v>
      </c>
      <c r="B71" s="63" t="s">
        <v>16</v>
      </c>
      <c r="C71" s="63" t="s">
        <v>2341</v>
      </c>
      <c r="D71" s="63" t="s">
        <v>2342</v>
      </c>
      <c r="E71" s="63" t="s">
        <v>2343</v>
      </c>
      <c r="F71" s="63" t="s">
        <v>2283</v>
      </c>
      <c r="G71" s="63" t="s">
        <v>2344</v>
      </c>
      <c r="H71" s="63" t="s">
        <v>22</v>
      </c>
      <c r="I71" s="63" t="s">
        <v>848</v>
      </c>
    </row>
    <row r="72" ht="11.25" customHeight="1">
      <c r="A72" s="63" t="s">
        <v>2269</v>
      </c>
      <c r="B72" s="63" t="s">
        <v>16</v>
      </c>
      <c r="C72" s="63" t="s">
        <v>2345</v>
      </c>
      <c r="D72" s="63" t="s">
        <v>2346</v>
      </c>
      <c r="E72" s="63" t="s">
        <v>2347</v>
      </c>
      <c r="F72" s="63" t="s">
        <v>2348</v>
      </c>
      <c r="G72" s="63" t="s">
        <v>2349</v>
      </c>
      <c r="H72" s="63" t="s">
        <v>22</v>
      </c>
      <c r="I72" s="63" t="s">
        <v>848</v>
      </c>
    </row>
    <row r="73" ht="11.25" customHeight="1">
      <c r="A73" s="63" t="s">
        <v>2269</v>
      </c>
      <c r="B73" s="63" t="s">
        <v>16</v>
      </c>
      <c r="C73" s="63" t="s">
        <v>2445</v>
      </c>
      <c r="D73" s="63" t="s">
        <v>2446</v>
      </c>
      <c r="E73" s="63" t="s">
        <v>2447</v>
      </c>
      <c r="F73" s="63" t="s">
        <v>2348</v>
      </c>
      <c r="G73" s="63" t="s">
        <v>2448</v>
      </c>
      <c r="H73" s="63" t="s">
        <v>22</v>
      </c>
      <c r="I73" s="63" t="s">
        <v>848</v>
      </c>
    </row>
    <row r="74" ht="11.25" customHeight="1">
      <c r="A74" s="63" t="s">
        <v>2269</v>
      </c>
      <c r="B74" s="63" t="s">
        <v>16</v>
      </c>
      <c r="C74" s="63" t="s">
        <v>2449</v>
      </c>
      <c r="D74" s="63" t="s">
        <v>2450</v>
      </c>
      <c r="E74" s="63" t="s">
        <v>2451</v>
      </c>
      <c r="F74" s="63" t="s">
        <v>2372</v>
      </c>
      <c r="G74" s="63" t="s">
        <v>2452</v>
      </c>
      <c r="H74" s="63" t="s">
        <v>22</v>
      </c>
      <c r="I74" s="63" t="s">
        <v>848</v>
      </c>
    </row>
    <row r="75" ht="11.25" customHeight="1">
      <c r="A75" s="63" t="s">
        <v>2269</v>
      </c>
      <c r="B75" s="63" t="s">
        <v>16</v>
      </c>
      <c r="C75" s="63" t="s">
        <v>2354</v>
      </c>
      <c r="D75" s="63" t="s">
        <v>2355</v>
      </c>
      <c r="E75" s="63" t="s">
        <v>2356</v>
      </c>
      <c r="F75" s="63" t="s">
        <v>2283</v>
      </c>
      <c r="G75" s="63" t="s">
        <v>2357</v>
      </c>
      <c r="H75" s="63" t="s">
        <v>22</v>
      </c>
      <c r="I75" s="63" t="s">
        <v>848</v>
      </c>
    </row>
    <row r="76" ht="11.25" customHeight="1">
      <c r="A76" s="63" t="s">
        <v>2269</v>
      </c>
      <c r="B76" s="63" t="s">
        <v>16</v>
      </c>
      <c r="C76" s="63" t="s">
        <v>2453</v>
      </c>
      <c r="D76" s="63" t="s">
        <v>2454</v>
      </c>
      <c r="E76" s="63" t="s">
        <v>2455</v>
      </c>
      <c r="F76" s="63" t="s">
        <v>2436</v>
      </c>
      <c r="G76" s="63" t="s">
        <v>2456</v>
      </c>
      <c r="H76" s="63" t="s">
        <v>22</v>
      </c>
      <c r="I76" s="63" t="s">
        <v>848</v>
      </c>
    </row>
    <row r="77" ht="11.25" customHeight="1">
      <c r="A77" s="63" t="s">
        <v>2269</v>
      </c>
      <c r="B77" s="63" t="s">
        <v>16</v>
      </c>
      <c r="C77" s="63" t="s">
        <v>2358</v>
      </c>
      <c r="D77" s="63" t="s">
        <v>2359</v>
      </c>
      <c r="E77" s="63" t="s">
        <v>2360</v>
      </c>
      <c r="F77" s="63" t="s">
        <v>2348</v>
      </c>
      <c r="G77" s="63" t="s">
        <v>2361</v>
      </c>
      <c r="H77" s="63" t="s">
        <v>22</v>
      </c>
      <c r="I77" s="63" t="s">
        <v>848</v>
      </c>
    </row>
    <row r="78" ht="11.25" customHeight="1">
      <c r="A78" s="63" t="s">
        <v>2269</v>
      </c>
      <c r="B78" s="63" t="s">
        <v>16</v>
      </c>
      <c r="C78" s="63" t="s">
        <v>2457</v>
      </c>
      <c r="D78" s="63" t="s">
        <v>2458</v>
      </c>
      <c r="E78" s="63" t="s">
        <v>2459</v>
      </c>
      <c r="F78" s="63" t="s">
        <v>2288</v>
      </c>
      <c r="G78" s="63" t="s">
        <v>22</v>
      </c>
      <c r="H78" s="63" t="s">
        <v>22</v>
      </c>
      <c r="I78" s="63" t="s">
        <v>848</v>
      </c>
    </row>
    <row r="79" ht="11.25" customHeight="1">
      <c r="A79" s="63" t="s">
        <v>2269</v>
      </c>
      <c r="B79" s="63" t="s">
        <v>16</v>
      </c>
      <c r="C79" s="63" t="s">
        <v>2362</v>
      </c>
      <c r="D79" s="63" t="s">
        <v>2363</v>
      </c>
      <c r="E79" s="63" t="s">
        <v>2364</v>
      </c>
      <c r="F79" s="63" t="s">
        <v>2298</v>
      </c>
      <c r="G79" s="63" t="s">
        <v>2365</v>
      </c>
      <c r="H79" s="63" t="s">
        <v>22</v>
      </c>
      <c r="I79" s="63" t="s">
        <v>848</v>
      </c>
    </row>
    <row r="80" ht="11.25" customHeight="1">
      <c r="A80" s="63" t="s">
        <v>2269</v>
      </c>
      <c r="B80" s="63" t="s">
        <v>16</v>
      </c>
      <c r="C80" s="63" t="s">
        <v>2369</v>
      </c>
      <c r="D80" s="63" t="s">
        <v>2370</v>
      </c>
      <c r="E80" s="63" t="s">
        <v>2371</v>
      </c>
      <c r="F80" s="63" t="s">
        <v>2372</v>
      </c>
      <c r="G80" s="63" t="s">
        <v>2373</v>
      </c>
      <c r="H80" s="63" t="s">
        <v>22</v>
      </c>
      <c r="I80" s="63" t="s">
        <v>848</v>
      </c>
    </row>
    <row r="81" ht="11.25" customHeight="1">
      <c r="A81" s="63" t="s">
        <v>2269</v>
      </c>
      <c r="B81" s="63" t="s">
        <v>16</v>
      </c>
      <c r="C81" s="63" t="s">
        <v>2374</v>
      </c>
      <c r="D81" s="63" t="s">
        <v>2375</v>
      </c>
      <c r="E81" s="63" t="s">
        <v>2376</v>
      </c>
      <c r="F81" s="63" t="s">
        <v>2298</v>
      </c>
      <c r="G81" s="63" t="s">
        <v>2377</v>
      </c>
      <c r="H81" s="63" t="s">
        <v>22</v>
      </c>
      <c r="I81" s="63" t="s">
        <v>848</v>
      </c>
    </row>
    <row r="82" ht="11.25" customHeight="1">
      <c r="A82" s="63" t="s">
        <v>2269</v>
      </c>
      <c r="B82" s="63" t="s">
        <v>16</v>
      </c>
      <c r="C82" s="63" t="s">
        <v>2389</v>
      </c>
      <c r="D82" s="63" t="s">
        <v>2390</v>
      </c>
      <c r="E82" s="63" t="s">
        <v>2391</v>
      </c>
      <c r="F82" s="63" t="s">
        <v>2392</v>
      </c>
      <c r="G82" s="63" t="s">
        <v>22</v>
      </c>
      <c r="H82" s="63" t="s">
        <v>22</v>
      </c>
      <c r="I82" s="63" t="s">
        <v>848</v>
      </c>
    </row>
    <row r="83" ht="11.25" customHeight="1">
      <c r="A83" s="63" t="s">
        <v>2269</v>
      </c>
      <c r="B83" s="63" t="s">
        <v>16</v>
      </c>
      <c r="C83" s="63" t="s">
        <v>2393</v>
      </c>
      <c r="D83" s="63" t="s">
        <v>2394</v>
      </c>
      <c r="E83" s="63" t="s">
        <v>2395</v>
      </c>
      <c r="F83" s="63" t="s">
        <v>2396</v>
      </c>
      <c r="G83" s="63" t="s">
        <v>22</v>
      </c>
      <c r="H83" s="63" t="s">
        <v>22</v>
      </c>
      <c r="I83" s="63" t="s">
        <v>848</v>
      </c>
    </row>
    <row r="84" ht="11.25" customHeight="1">
      <c r="A84" s="63" t="s">
        <v>2269</v>
      </c>
      <c r="B84" s="63" t="s">
        <v>16</v>
      </c>
      <c r="C84" s="63" t="s">
        <v>2397</v>
      </c>
      <c r="D84" s="63" t="s">
        <v>2398</v>
      </c>
      <c r="E84" s="63" t="s">
        <v>2395</v>
      </c>
      <c r="F84" s="63" t="s">
        <v>2399</v>
      </c>
      <c r="G84" s="63" t="s">
        <v>2400</v>
      </c>
      <c r="H84" s="63" t="s">
        <v>22</v>
      </c>
      <c r="I84" s="63" t="s">
        <v>848</v>
      </c>
    </row>
    <row r="85" ht="11.25" customHeight="1">
      <c r="A85" s="63" t="s">
        <v>2269</v>
      </c>
      <c r="B85" s="63" t="s">
        <v>16</v>
      </c>
      <c r="C85" s="63" t="s">
        <v>2270</v>
      </c>
      <c r="D85" s="63" t="s">
        <v>2271</v>
      </c>
      <c r="E85" s="63" t="s">
        <v>2272</v>
      </c>
      <c r="F85" s="63" t="s">
        <v>2273</v>
      </c>
      <c r="G85" s="63" t="s">
        <v>2274</v>
      </c>
      <c r="H85" s="63" t="s">
        <v>22</v>
      </c>
      <c r="I85" s="63" t="s">
        <v>901</v>
      </c>
    </row>
    <row r="86" ht="11.25" customHeight="1">
      <c r="A86" s="63" t="s">
        <v>2269</v>
      </c>
      <c r="B86" s="63" t="s">
        <v>16</v>
      </c>
      <c r="C86" s="63" t="s">
        <v>2285</v>
      </c>
      <c r="D86" s="63" t="s">
        <v>2286</v>
      </c>
      <c r="E86" s="63" t="s">
        <v>2287</v>
      </c>
      <c r="F86" s="63" t="s">
        <v>2288</v>
      </c>
      <c r="G86" s="63" t="s">
        <v>2289</v>
      </c>
      <c r="H86" s="63" t="s">
        <v>22</v>
      </c>
      <c r="I86" s="63" t="s">
        <v>901</v>
      </c>
    </row>
    <row r="87" ht="11.25" customHeight="1">
      <c r="A87" s="63" t="s">
        <v>2269</v>
      </c>
      <c r="B87" s="63" t="s">
        <v>16</v>
      </c>
      <c r="C87" s="63" t="s">
        <v>2290</v>
      </c>
      <c r="D87" s="63" t="s">
        <v>2291</v>
      </c>
      <c r="E87" s="63" t="s">
        <v>2292</v>
      </c>
      <c r="F87" s="63" t="s">
        <v>2288</v>
      </c>
      <c r="G87" s="63" t="s">
        <v>2293</v>
      </c>
      <c r="H87" s="63" t="s">
        <v>2294</v>
      </c>
      <c r="I87" s="63" t="s">
        <v>901</v>
      </c>
    </row>
    <row r="88" ht="11.25" customHeight="1">
      <c r="A88" s="63" t="s">
        <v>2269</v>
      </c>
      <c r="B88" s="63" t="s">
        <v>16</v>
      </c>
      <c r="C88" s="63" t="s">
        <v>2295</v>
      </c>
      <c r="D88" s="63" t="s">
        <v>2296</v>
      </c>
      <c r="E88" s="63" t="s">
        <v>2297</v>
      </c>
      <c r="F88" s="63" t="s">
        <v>2298</v>
      </c>
      <c r="G88" s="63" t="s">
        <v>2299</v>
      </c>
      <c r="H88" s="63" t="s">
        <v>22</v>
      </c>
      <c r="I88" s="63" t="s">
        <v>901</v>
      </c>
    </row>
    <row r="89" ht="11.25" customHeight="1">
      <c r="A89" s="63" t="s">
        <v>2269</v>
      </c>
      <c r="B89" s="63" t="s">
        <v>16</v>
      </c>
      <c r="C89" s="63" t="s">
        <v>22</v>
      </c>
      <c r="D89" s="63" t="s">
        <v>2300</v>
      </c>
      <c r="E89" s="63" t="s">
        <v>2301</v>
      </c>
      <c r="F89" s="63" t="s">
        <v>2288</v>
      </c>
      <c r="G89" s="63" t="s">
        <v>22</v>
      </c>
      <c r="H89" s="63" t="s">
        <v>22</v>
      </c>
      <c r="I89" s="63" t="s">
        <v>901</v>
      </c>
    </row>
    <row r="90" ht="11.25" customHeight="1">
      <c r="A90" s="63" t="s">
        <v>2269</v>
      </c>
      <c r="B90" s="63" t="s">
        <v>16</v>
      </c>
      <c r="C90" s="63" t="s">
        <v>2424</v>
      </c>
      <c r="D90" s="63" t="s">
        <v>2425</v>
      </c>
      <c r="E90" s="63" t="s">
        <v>2426</v>
      </c>
      <c r="F90" s="63" t="s">
        <v>2288</v>
      </c>
      <c r="G90" s="63" t="s">
        <v>2427</v>
      </c>
      <c r="H90" s="63" t="s">
        <v>2428</v>
      </c>
      <c r="I90" s="63" t="s">
        <v>901</v>
      </c>
    </row>
    <row r="91" ht="11.25" customHeight="1">
      <c r="A91" s="63" t="s">
        <v>2269</v>
      </c>
      <c r="B91" s="63" t="s">
        <v>16</v>
      </c>
      <c r="C91" s="63" t="s">
        <v>2302</v>
      </c>
      <c r="D91" s="63" t="s">
        <v>2303</v>
      </c>
      <c r="E91" s="63" t="s">
        <v>2304</v>
      </c>
      <c r="F91" s="63" t="s">
        <v>2283</v>
      </c>
      <c r="G91" s="63" t="s">
        <v>2305</v>
      </c>
      <c r="H91" s="63" t="s">
        <v>22</v>
      </c>
      <c r="I91" s="63" t="s">
        <v>901</v>
      </c>
    </row>
    <row r="92" ht="11.25" customHeight="1">
      <c r="A92" s="63" t="s">
        <v>2269</v>
      </c>
      <c r="B92" s="63" t="s">
        <v>16</v>
      </c>
      <c r="C92" s="63" t="s">
        <v>2306</v>
      </c>
      <c r="D92" s="63" t="s">
        <v>2307</v>
      </c>
      <c r="E92" s="63" t="s">
        <v>2308</v>
      </c>
      <c r="F92" s="63" t="s">
        <v>2309</v>
      </c>
      <c r="G92" s="63" t="s">
        <v>2310</v>
      </c>
      <c r="H92" s="63" t="s">
        <v>22</v>
      </c>
      <c r="I92" s="63" t="s">
        <v>901</v>
      </c>
    </row>
    <row r="93" ht="11.25" customHeight="1">
      <c r="A93" s="63" t="s">
        <v>2269</v>
      </c>
      <c r="B93" s="63" t="s">
        <v>16</v>
      </c>
      <c r="C93" s="63" t="s">
        <v>2429</v>
      </c>
      <c r="D93" s="63" t="s">
        <v>2430</v>
      </c>
      <c r="E93" s="63" t="s">
        <v>2431</v>
      </c>
      <c r="F93" s="63" t="s">
        <v>2309</v>
      </c>
      <c r="G93" s="63" t="s">
        <v>22</v>
      </c>
      <c r="H93" s="63" t="s">
        <v>2432</v>
      </c>
      <c r="I93" s="63" t="s">
        <v>901</v>
      </c>
    </row>
    <row r="94" ht="11.25" customHeight="1">
      <c r="A94" s="63" t="s">
        <v>2269</v>
      </c>
      <c r="B94" s="63" t="s">
        <v>16</v>
      </c>
      <c r="C94" s="63" t="s">
        <v>2311</v>
      </c>
      <c r="D94" s="63" t="s">
        <v>2312</v>
      </c>
      <c r="E94" s="63" t="s">
        <v>2313</v>
      </c>
      <c r="F94" s="63" t="s">
        <v>2283</v>
      </c>
      <c r="G94" s="63" t="s">
        <v>2314</v>
      </c>
      <c r="H94" s="63" t="s">
        <v>22</v>
      </c>
      <c r="I94" s="63" t="s">
        <v>901</v>
      </c>
    </row>
    <row r="95" ht="11.25" customHeight="1">
      <c r="A95" s="63" t="s">
        <v>2269</v>
      </c>
      <c r="B95" s="63" t="s">
        <v>16</v>
      </c>
      <c r="C95" s="63" t="s">
        <v>2315</v>
      </c>
      <c r="D95" s="63" t="s">
        <v>2316</v>
      </c>
      <c r="E95" s="63" t="s">
        <v>2317</v>
      </c>
      <c r="F95" s="63" t="s">
        <v>2298</v>
      </c>
      <c r="G95" s="63" t="s">
        <v>2318</v>
      </c>
      <c r="H95" s="63" t="s">
        <v>22</v>
      </c>
      <c r="I95" s="63" t="s">
        <v>901</v>
      </c>
    </row>
    <row r="96" ht="11.25" customHeight="1">
      <c r="A96" s="63" t="s">
        <v>2269</v>
      </c>
      <c r="B96" s="63" t="s">
        <v>16</v>
      </c>
      <c r="C96" s="63" t="s">
        <v>2319</v>
      </c>
      <c r="D96" s="63" t="s">
        <v>2320</v>
      </c>
      <c r="E96" s="63" t="s">
        <v>2321</v>
      </c>
      <c r="F96" s="63" t="s">
        <v>2322</v>
      </c>
      <c r="G96" s="63" t="s">
        <v>2323</v>
      </c>
      <c r="H96" s="63" t="s">
        <v>22</v>
      </c>
      <c r="I96" s="63" t="s">
        <v>901</v>
      </c>
    </row>
    <row r="97" ht="11.25" customHeight="1">
      <c r="A97" s="63" t="s">
        <v>2269</v>
      </c>
      <c r="B97" s="63" t="s">
        <v>16</v>
      </c>
      <c r="C97" s="63" t="s">
        <v>2332</v>
      </c>
      <c r="D97" s="63" t="s">
        <v>2333</v>
      </c>
      <c r="E97" s="63" t="s">
        <v>2334</v>
      </c>
      <c r="F97" s="63" t="s">
        <v>2298</v>
      </c>
      <c r="G97" s="63" t="s">
        <v>2335</v>
      </c>
      <c r="H97" s="63" t="s">
        <v>22</v>
      </c>
      <c r="I97" s="63" t="s">
        <v>901</v>
      </c>
    </row>
    <row r="98" ht="11.25" customHeight="1">
      <c r="A98" s="63" t="s">
        <v>2269</v>
      </c>
      <c r="B98" s="63" t="s">
        <v>16</v>
      </c>
      <c r="C98" s="63" t="s">
        <v>2433</v>
      </c>
      <c r="D98" s="63" t="s">
        <v>2434</v>
      </c>
      <c r="E98" s="63" t="s">
        <v>2435</v>
      </c>
      <c r="F98" s="63" t="s">
        <v>2436</v>
      </c>
      <c r="G98" s="63" t="s">
        <v>22</v>
      </c>
      <c r="H98" s="63" t="s">
        <v>22</v>
      </c>
      <c r="I98" s="63" t="s">
        <v>901</v>
      </c>
    </row>
    <row r="99" ht="11.25" customHeight="1">
      <c r="A99" s="63" t="s">
        <v>2269</v>
      </c>
      <c r="B99" s="63" t="s">
        <v>16</v>
      </c>
      <c r="C99" s="63" t="s">
        <v>2336</v>
      </c>
      <c r="D99" s="63" t="s">
        <v>2337</v>
      </c>
      <c r="E99" s="63" t="s">
        <v>2338</v>
      </c>
      <c r="F99" s="63" t="s">
        <v>2339</v>
      </c>
      <c r="G99" s="63" t="s">
        <v>2340</v>
      </c>
      <c r="H99" s="63" t="s">
        <v>22</v>
      </c>
      <c r="I99" s="63" t="s">
        <v>901</v>
      </c>
    </row>
    <row r="100" ht="11.25" customHeight="1">
      <c r="A100" s="63" t="s">
        <v>2269</v>
      </c>
      <c r="B100" s="63" t="s">
        <v>16</v>
      </c>
      <c r="C100" s="63" t="s">
        <v>2441</v>
      </c>
      <c r="D100" s="63" t="s">
        <v>2442</v>
      </c>
      <c r="E100" s="63" t="s">
        <v>2443</v>
      </c>
      <c r="F100" s="63" t="s">
        <v>2444</v>
      </c>
      <c r="G100" s="63" t="s">
        <v>22</v>
      </c>
      <c r="H100" s="63" t="s">
        <v>22</v>
      </c>
      <c r="I100" s="63" t="s">
        <v>901</v>
      </c>
    </row>
    <row r="101" ht="11.25" customHeight="1">
      <c r="A101" s="63" t="s">
        <v>2269</v>
      </c>
      <c r="B101" s="63" t="s">
        <v>16</v>
      </c>
      <c r="C101" s="63" t="s">
        <v>2341</v>
      </c>
      <c r="D101" s="63" t="s">
        <v>2342</v>
      </c>
      <c r="E101" s="63" t="s">
        <v>2343</v>
      </c>
      <c r="F101" s="63" t="s">
        <v>2283</v>
      </c>
      <c r="G101" s="63" t="s">
        <v>2344</v>
      </c>
      <c r="H101" s="63" t="s">
        <v>22</v>
      </c>
      <c r="I101" s="63" t="s">
        <v>901</v>
      </c>
    </row>
    <row r="102" ht="11.25" customHeight="1">
      <c r="A102" s="63" t="s">
        <v>2269</v>
      </c>
      <c r="B102" s="63" t="s">
        <v>16</v>
      </c>
      <c r="C102" s="63" t="s">
        <v>2345</v>
      </c>
      <c r="D102" s="63" t="s">
        <v>2346</v>
      </c>
      <c r="E102" s="63" t="s">
        <v>2347</v>
      </c>
      <c r="F102" s="63" t="s">
        <v>2348</v>
      </c>
      <c r="G102" s="63" t="s">
        <v>2349</v>
      </c>
      <c r="H102" s="63" t="s">
        <v>22</v>
      </c>
      <c r="I102" s="63" t="s">
        <v>901</v>
      </c>
    </row>
    <row r="103" ht="11.25" customHeight="1">
      <c r="A103" s="63" t="s">
        <v>2269</v>
      </c>
      <c r="B103" s="63" t="s">
        <v>16</v>
      </c>
      <c r="C103" s="63" t="s">
        <v>2449</v>
      </c>
      <c r="D103" s="63" t="s">
        <v>2450</v>
      </c>
      <c r="E103" s="63" t="s">
        <v>2451</v>
      </c>
      <c r="F103" s="63" t="s">
        <v>2372</v>
      </c>
      <c r="G103" s="63" t="s">
        <v>2452</v>
      </c>
      <c r="H103" s="63" t="s">
        <v>22</v>
      </c>
      <c r="I103" s="63" t="s">
        <v>901</v>
      </c>
    </row>
    <row r="104" ht="11.25" customHeight="1">
      <c r="A104" s="63" t="s">
        <v>2269</v>
      </c>
      <c r="B104" s="63" t="s">
        <v>16</v>
      </c>
      <c r="C104" s="63" t="s">
        <v>2453</v>
      </c>
      <c r="D104" s="63" t="s">
        <v>2454</v>
      </c>
      <c r="E104" s="63" t="s">
        <v>2455</v>
      </c>
      <c r="F104" s="63" t="s">
        <v>2436</v>
      </c>
      <c r="G104" s="63" t="s">
        <v>2456</v>
      </c>
      <c r="H104" s="63" t="s">
        <v>22</v>
      </c>
      <c r="I104" s="63" t="s">
        <v>901</v>
      </c>
    </row>
    <row r="105" ht="11.25" customHeight="1">
      <c r="A105" s="63" t="s">
        <v>2269</v>
      </c>
      <c r="B105" s="63" t="s">
        <v>16</v>
      </c>
      <c r="C105" s="63" t="s">
        <v>2358</v>
      </c>
      <c r="D105" s="63" t="s">
        <v>2359</v>
      </c>
      <c r="E105" s="63" t="s">
        <v>2360</v>
      </c>
      <c r="F105" s="63" t="s">
        <v>2348</v>
      </c>
      <c r="G105" s="63" t="s">
        <v>2361</v>
      </c>
      <c r="H105" s="63" t="s">
        <v>22</v>
      </c>
      <c r="I105" s="63" t="s">
        <v>901</v>
      </c>
    </row>
    <row r="106" ht="11.25" customHeight="1">
      <c r="A106" s="63" t="s">
        <v>2269</v>
      </c>
      <c r="B106" s="63" t="s">
        <v>16</v>
      </c>
      <c r="C106" s="63" t="s">
        <v>2457</v>
      </c>
      <c r="D106" s="63" t="s">
        <v>2458</v>
      </c>
      <c r="E106" s="63" t="s">
        <v>2459</v>
      </c>
      <c r="F106" s="63" t="s">
        <v>2288</v>
      </c>
      <c r="G106" s="63" t="s">
        <v>22</v>
      </c>
      <c r="H106" s="63" t="s">
        <v>22</v>
      </c>
      <c r="I106" s="63" t="s">
        <v>901</v>
      </c>
    </row>
    <row r="107" ht="11.25" customHeight="1">
      <c r="A107" s="63" t="s">
        <v>2269</v>
      </c>
      <c r="B107" s="63" t="s">
        <v>16</v>
      </c>
      <c r="C107" s="63" t="s">
        <v>2362</v>
      </c>
      <c r="D107" s="63" t="s">
        <v>2363</v>
      </c>
      <c r="E107" s="63" t="s">
        <v>2364</v>
      </c>
      <c r="F107" s="63" t="s">
        <v>2298</v>
      </c>
      <c r="G107" s="63" t="s">
        <v>2365</v>
      </c>
      <c r="H107" s="63" t="s">
        <v>22</v>
      </c>
      <c r="I107" s="63" t="s">
        <v>901</v>
      </c>
    </row>
    <row r="108" ht="11.25" customHeight="1">
      <c r="A108" s="63" t="s">
        <v>2269</v>
      </c>
      <c r="B108" s="63" t="s">
        <v>16</v>
      </c>
      <c r="C108" s="63" t="s">
        <v>2369</v>
      </c>
      <c r="D108" s="63" t="s">
        <v>2370</v>
      </c>
      <c r="E108" s="63" t="s">
        <v>2371</v>
      </c>
      <c r="F108" s="63" t="s">
        <v>2372</v>
      </c>
      <c r="G108" s="63" t="s">
        <v>2373</v>
      </c>
      <c r="H108" s="63" t="s">
        <v>22</v>
      </c>
      <c r="I108" s="63" t="s">
        <v>901</v>
      </c>
    </row>
    <row r="109" ht="11.25" customHeight="1">
      <c r="A109" s="63" t="s">
        <v>2269</v>
      </c>
      <c r="B109" s="63" t="s">
        <v>16</v>
      </c>
      <c r="C109" s="63" t="s">
        <v>2374</v>
      </c>
      <c r="D109" s="63" t="s">
        <v>2375</v>
      </c>
      <c r="E109" s="63" t="s">
        <v>2376</v>
      </c>
      <c r="F109" s="63" t="s">
        <v>2298</v>
      </c>
      <c r="G109" s="63" t="s">
        <v>2377</v>
      </c>
      <c r="H109" s="63" t="s">
        <v>22</v>
      </c>
      <c r="I109" s="63" t="s">
        <v>901</v>
      </c>
    </row>
    <row r="110" ht="11.25" customHeight="1">
      <c r="A110" s="63" t="s">
        <v>2269</v>
      </c>
      <c r="B110" s="63" t="s">
        <v>16</v>
      </c>
      <c r="C110" s="63" t="s">
        <v>2389</v>
      </c>
      <c r="D110" s="63" t="s">
        <v>2390</v>
      </c>
      <c r="E110" s="63" t="s">
        <v>2391</v>
      </c>
      <c r="F110" s="63" t="s">
        <v>2392</v>
      </c>
      <c r="G110" s="63" t="s">
        <v>22</v>
      </c>
      <c r="H110" s="63" t="s">
        <v>22</v>
      </c>
      <c r="I110" s="63" t="s">
        <v>901</v>
      </c>
    </row>
    <row r="111" ht="11.25" customHeight="1">
      <c r="A111" s="63" t="s">
        <v>2269</v>
      </c>
      <c r="B111" s="63" t="s">
        <v>16</v>
      </c>
      <c r="C111" s="63" t="s">
        <v>2393</v>
      </c>
      <c r="D111" s="63" t="s">
        <v>2394</v>
      </c>
      <c r="E111" s="63" t="s">
        <v>2395</v>
      </c>
      <c r="F111" s="63" t="s">
        <v>2396</v>
      </c>
      <c r="G111" s="63" t="s">
        <v>22</v>
      </c>
      <c r="H111" s="63" t="s">
        <v>22</v>
      </c>
      <c r="I111" s="63" t="s">
        <v>901</v>
      </c>
    </row>
    <row r="112" ht="11.25" customHeight="1">
      <c r="A112" s="63" t="s">
        <v>2269</v>
      </c>
      <c r="B112" s="63" t="s">
        <v>16</v>
      </c>
      <c r="C112" s="63" t="s">
        <v>2397</v>
      </c>
      <c r="D112" s="63" t="s">
        <v>2398</v>
      </c>
      <c r="E112" s="63" t="s">
        <v>2395</v>
      </c>
      <c r="F112" s="63" t="s">
        <v>2399</v>
      </c>
      <c r="G112" s="63" t="s">
        <v>2400</v>
      </c>
      <c r="H112" s="63" t="s">
        <v>22</v>
      </c>
      <c r="I112" s="63" t="s">
        <v>901</v>
      </c>
    </row>
    <row r="113" ht="11.25" customHeight="1">
      <c r="A113" s="63" t="s">
        <v>2269</v>
      </c>
      <c r="B113" s="63" t="s">
        <v>16</v>
      </c>
      <c r="C113" s="63" t="s">
        <v>2460</v>
      </c>
      <c r="D113" s="63" t="s">
        <v>2461</v>
      </c>
      <c r="E113" s="63" t="s">
        <v>2462</v>
      </c>
      <c r="F113" s="63" t="s">
        <v>2283</v>
      </c>
      <c r="G113" s="63" t="s">
        <v>2463</v>
      </c>
      <c r="H113" s="63" t="s">
        <v>2464</v>
      </c>
      <c r="I113" s="63" t="s">
        <v>901</v>
      </c>
    </row>
    <row r="114" ht="11.25" customHeight="1">
      <c r="A114" s="63" t="s">
        <v>2269</v>
      </c>
      <c r="B114" s="63" t="s">
        <v>16</v>
      </c>
      <c r="C114" s="63" t="s">
        <v>2465</v>
      </c>
      <c r="D114" s="63" t="s">
        <v>2466</v>
      </c>
      <c r="E114" s="63" t="s">
        <v>2467</v>
      </c>
      <c r="F114" s="63" t="s">
        <v>2298</v>
      </c>
      <c r="G114" s="63" t="s">
        <v>22</v>
      </c>
      <c r="H114" s="63" t="s">
        <v>22</v>
      </c>
      <c r="I114" s="63" t="s">
        <v>1643</v>
      </c>
    </row>
    <row r="115" ht="11.25" customHeight="1">
      <c r="A115" s="63" t="s">
        <v>2269</v>
      </c>
      <c r="B115" s="63" t="s">
        <v>16</v>
      </c>
      <c r="C115" s="63" t="s">
        <v>22</v>
      </c>
      <c r="D115" s="63" t="s">
        <v>2300</v>
      </c>
      <c r="E115" s="63" t="s">
        <v>2301</v>
      </c>
      <c r="F115" s="63" t="s">
        <v>2288</v>
      </c>
      <c r="G115" s="63" t="s">
        <v>22</v>
      </c>
      <c r="H115" s="63" t="s">
        <v>22</v>
      </c>
      <c r="I115" s="63" t="s">
        <v>1643</v>
      </c>
    </row>
    <row r="116" ht="11.25" customHeight="1">
      <c r="A116" s="63" t="s">
        <v>2269</v>
      </c>
      <c r="B116" s="63" t="s">
        <v>16</v>
      </c>
      <c r="C116" s="63" t="s">
        <v>2468</v>
      </c>
      <c r="D116" s="63" t="s">
        <v>2469</v>
      </c>
      <c r="E116" s="63" t="s">
        <v>2470</v>
      </c>
      <c r="F116" s="63" t="s">
        <v>2288</v>
      </c>
      <c r="G116" s="63" t="s">
        <v>22</v>
      </c>
      <c r="H116" s="63" t="s">
        <v>22</v>
      </c>
      <c r="I116" s="63" t="s">
        <v>1643</v>
      </c>
    </row>
    <row r="117" ht="11.25" customHeight="1">
      <c r="A117" s="63" t="s">
        <v>2269</v>
      </c>
      <c r="B117" s="63" t="s">
        <v>16</v>
      </c>
      <c r="C117" s="63" t="s">
        <v>2471</v>
      </c>
      <c r="D117" s="63" t="s">
        <v>2472</v>
      </c>
      <c r="E117" s="63" t="s">
        <v>2473</v>
      </c>
      <c r="F117" s="63" t="s">
        <v>2436</v>
      </c>
      <c r="G117" s="63" t="s">
        <v>2474</v>
      </c>
      <c r="H117" s="63" t="s">
        <v>22</v>
      </c>
      <c r="I117" s="63" t="s">
        <v>1643</v>
      </c>
    </row>
    <row r="118" ht="11.25" customHeight="1">
      <c r="A118" s="63" t="s">
        <v>2269</v>
      </c>
      <c r="B118" s="63" t="s">
        <v>16</v>
      </c>
      <c r="C118" s="63" t="s">
        <v>2475</v>
      </c>
      <c r="D118" s="63" t="s">
        <v>2472</v>
      </c>
      <c r="E118" s="63" t="s">
        <v>2476</v>
      </c>
      <c r="F118" s="63" t="s">
        <v>2288</v>
      </c>
      <c r="G118" s="63" t="s">
        <v>22</v>
      </c>
      <c r="H118" s="63" t="s">
        <v>22</v>
      </c>
      <c r="I118" s="63" t="s">
        <v>1643</v>
      </c>
    </row>
    <row r="119" ht="11.25" customHeight="1">
      <c r="A119" s="63" t="s">
        <v>2269</v>
      </c>
      <c r="B119" s="63" t="s">
        <v>16</v>
      </c>
      <c r="C119" s="63" t="s">
        <v>2477</v>
      </c>
      <c r="D119" s="63" t="s">
        <v>2472</v>
      </c>
      <c r="E119" s="63" t="s">
        <v>2476</v>
      </c>
      <c r="F119" s="63" t="s">
        <v>2339</v>
      </c>
      <c r="G119" s="63" t="s">
        <v>22</v>
      </c>
      <c r="H119" s="63" t="s">
        <v>22</v>
      </c>
      <c r="I119" s="63" t="s">
        <v>1643</v>
      </c>
    </row>
    <row r="120" ht="11.25" customHeight="1">
      <c r="A120" s="63" t="s">
        <v>2269</v>
      </c>
      <c r="B120" s="63" t="s">
        <v>16</v>
      </c>
      <c r="C120" s="63" t="s">
        <v>2378</v>
      </c>
      <c r="D120" s="63" t="s">
        <v>2379</v>
      </c>
      <c r="E120" s="63" t="s">
        <v>2380</v>
      </c>
      <c r="F120" s="63" t="s">
        <v>2348</v>
      </c>
      <c r="G120" s="63" t="s">
        <v>2381</v>
      </c>
      <c r="H120" s="63" t="s">
        <v>22</v>
      </c>
      <c r="I120" s="63" t="s">
        <v>1643</v>
      </c>
    </row>
  </sheetData>
  <sheetProtection autoFilter="0" deleteColumns="1" deleteRows="1" formatCells="1" formatColumns="0" formatRows="0" insertColumns="1" insertHyperlinks="1" insertRows="1" objects="0" pivotTables="1" scenarios="0" selectLockedCells="0" selectUnlockedCells="0" sheet="1" sort="1"/>
  <printOptions headings="0" gridLines="0"/>
  <pageMargins left="0.75" right="0.75" top="1" bottom="1" header="0.5" footer="0.5"/>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cols>
    <col min="1" max="1" style="63" width="9.140625"/>
  </cols>
  <sheetData>
    <row r="1" ht="11.25" customHeight="1">
      <c r="A1" s="63" t="s">
        <v>2478</v>
      </c>
      <c r="B1" s="184" t="s">
        <v>2479</v>
      </c>
      <c r="C1" s="184" t="s">
        <v>2480</v>
      </c>
      <c r="D1" s="184" t="s">
        <v>2481</v>
      </c>
      <c r="E1" s="184" t="s">
        <v>2482</v>
      </c>
      <c r="F1" s="184" t="s">
        <v>2483</v>
      </c>
      <c r="G1" s="184" t="s">
        <v>2484</v>
      </c>
    </row>
    <row r="2" ht="11.25" customHeight="1">
      <c r="A2" s="63" t="s">
        <v>16</v>
      </c>
      <c r="B2" t="s">
        <v>2485</v>
      </c>
      <c r="C2" t="s">
        <v>2486</v>
      </c>
      <c r="D2" t="s">
        <v>2485</v>
      </c>
      <c r="E2" t="s">
        <v>2486</v>
      </c>
      <c r="F2" t="s">
        <v>2487</v>
      </c>
      <c r="G2" t="s">
        <v>105</v>
      </c>
    </row>
    <row r="3" ht="11.25" customHeight="1">
      <c r="A3" s="63" t="s">
        <v>16</v>
      </c>
      <c r="B3" t="s">
        <v>2485</v>
      </c>
      <c r="C3" t="s">
        <v>2486</v>
      </c>
      <c r="D3" t="s">
        <v>2488</v>
      </c>
      <c r="E3" t="s">
        <v>2489</v>
      </c>
      <c r="F3" t="s">
        <v>2490</v>
      </c>
      <c r="G3" t="s">
        <v>106</v>
      </c>
    </row>
    <row r="4" ht="11.25" customHeight="1">
      <c r="A4" s="63" t="s">
        <v>16</v>
      </c>
      <c r="B4" t="s">
        <v>2485</v>
      </c>
      <c r="C4" t="s">
        <v>2486</v>
      </c>
      <c r="D4" t="s">
        <v>2491</v>
      </c>
      <c r="E4" t="s">
        <v>2492</v>
      </c>
      <c r="F4" t="s">
        <v>2490</v>
      </c>
      <c r="G4" t="s">
        <v>89</v>
      </c>
    </row>
    <row r="5" ht="11.25" customHeight="1">
      <c r="A5" s="63" t="s">
        <v>16</v>
      </c>
      <c r="B5" t="s">
        <v>2485</v>
      </c>
      <c r="C5" t="s">
        <v>2486</v>
      </c>
      <c r="D5" t="s">
        <v>2493</v>
      </c>
      <c r="E5" t="s">
        <v>2494</v>
      </c>
      <c r="F5" t="s">
        <v>2490</v>
      </c>
      <c r="G5" t="s">
        <v>90</v>
      </c>
    </row>
    <row r="6" ht="11.25" customHeight="1">
      <c r="A6" s="63" t="s">
        <v>16</v>
      </c>
      <c r="B6" t="s">
        <v>2485</v>
      </c>
      <c r="C6" t="s">
        <v>2486</v>
      </c>
      <c r="D6" t="s">
        <v>2495</v>
      </c>
      <c r="E6" t="s">
        <v>2496</v>
      </c>
      <c r="F6" t="s">
        <v>2490</v>
      </c>
      <c r="G6" t="s">
        <v>107</v>
      </c>
    </row>
    <row r="7" ht="11.25" customHeight="1">
      <c r="A7" s="63" t="s">
        <v>16</v>
      </c>
      <c r="B7" t="s">
        <v>2485</v>
      </c>
      <c r="C7" t="s">
        <v>2486</v>
      </c>
      <c r="D7" t="s">
        <v>2497</v>
      </c>
      <c r="E7" t="s">
        <v>2498</v>
      </c>
      <c r="F7" t="s">
        <v>2490</v>
      </c>
      <c r="G7" t="s">
        <v>91</v>
      </c>
    </row>
    <row r="8" ht="11.25" customHeight="1">
      <c r="A8" s="63" t="s">
        <v>16</v>
      </c>
      <c r="B8" t="s">
        <v>2485</v>
      </c>
      <c r="C8" t="s">
        <v>2486</v>
      </c>
      <c r="D8" t="s">
        <v>2499</v>
      </c>
      <c r="E8" t="s">
        <v>2500</v>
      </c>
      <c r="F8" t="s">
        <v>2490</v>
      </c>
      <c r="G8" t="s">
        <v>92</v>
      </c>
    </row>
    <row r="9" ht="11.25" customHeight="1">
      <c r="A9" s="63" t="s">
        <v>16</v>
      </c>
      <c r="B9" t="s">
        <v>2501</v>
      </c>
      <c r="C9" t="s">
        <v>2502</v>
      </c>
      <c r="D9" t="s">
        <v>2501</v>
      </c>
      <c r="E9" t="s">
        <v>2502</v>
      </c>
      <c r="F9" t="s">
        <v>2503</v>
      </c>
      <c r="G9" t="s">
        <v>108</v>
      </c>
    </row>
    <row r="10" ht="11.25" customHeight="1">
      <c r="A10" s="63" t="s">
        <v>16</v>
      </c>
      <c r="B10" t="s">
        <v>2504</v>
      </c>
      <c r="C10" t="s">
        <v>2505</v>
      </c>
      <c r="D10" t="s">
        <v>2506</v>
      </c>
      <c r="E10" t="s">
        <v>2507</v>
      </c>
      <c r="F10" t="s">
        <v>2490</v>
      </c>
      <c r="G10" t="s">
        <v>144</v>
      </c>
    </row>
    <row r="11" ht="11.25" customHeight="1">
      <c r="A11" s="63" t="s">
        <v>16</v>
      </c>
      <c r="B11" t="s">
        <v>2504</v>
      </c>
      <c r="C11" t="s">
        <v>2505</v>
      </c>
      <c r="D11" t="s">
        <v>2508</v>
      </c>
      <c r="E11" t="s">
        <v>2509</v>
      </c>
      <c r="F11" t="s">
        <v>2490</v>
      </c>
      <c r="G11" t="s">
        <v>145</v>
      </c>
    </row>
    <row r="12" ht="11.25" customHeight="1">
      <c r="A12" s="63" t="s">
        <v>16</v>
      </c>
      <c r="B12" t="s">
        <v>2504</v>
      </c>
      <c r="C12" t="s">
        <v>2505</v>
      </c>
      <c r="D12" t="s">
        <v>2510</v>
      </c>
      <c r="E12" t="s">
        <v>2511</v>
      </c>
      <c r="F12" t="s">
        <v>2490</v>
      </c>
      <c r="G12" t="s">
        <v>146</v>
      </c>
    </row>
    <row r="13" ht="11.25" customHeight="1">
      <c r="A13" s="63" t="s">
        <v>16</v>
      </c>
      <c r="B13" t="s">
        <v>2504</v>
      </c>
      <c r="C13" t="s">
        <v>2505</v>
      </c>
      <c r="D13" t="s">
        <v>2512</v>
      </c>
      <c r="E13" t="s">
        <v>2513</v>
      </c>
      <c r="F13" t="s">
        <v>2490</v>
      </c>
      <c r="G13" t="s">
        <v>147</v>
      </c>
    </row>
    <row r="14" ht="11.25" customHeight="1">
      <c r="A14" s="63" t="s">
        <v>16</v>
      </c>
      <c r="B14" t="s">
        <v>2504</v>
      </c>
      <c r="C14" t="s">
        <v>2505</v>
      </c>
      <c r="D14" t="s">
        <v>2504</v>
      </c>
      <c r="E14" t="s">
        <v>2505</v>
      </c>
      <c r="F14" t="s">
        <v>2487</v>
      </c>
      <c r="G14" t="s">
        <v>148</v>
      </c>
    </row>
    <row r="15" ht="11.25" customHeight="1">
      <c r="A15" s="63" t="s">
        <v>16</v>
      </c>
      <c r="B15" t="s">
        <v>2504</v>
      </c>
      <c r="C15" t="s">
        <v>2505</v>
      </c>
      <c r="D15" t="s">
        <v>2514</v>
      </c>
      <c r="E15" t="s">
        <v>2515</v>
      </c>
      <c r="F15" t="s">
        <v>2490</v>
      </c>
      <c r="G15" t="s">
        <v>149</v>
      </c>
    </row>
    <row r="16" ht="11.25" customHeight="1">
      <c r="A16" s="63" t="s">
        <v>16</v>
      </c>
      <c r="B16" t="s">
        <v>2516</v>
      </c>
      <c r="C16" t="s">
        <v>2517</v>
      </c>
      <c r="D16" t="s">
        <v>2518</v>
      </c>
      <c r="E16" t="s">
        <v>2519</v>
      </c>
      <c r="F16" t="s">
        <v>2520</v>
      </c>
      <c r="G16" t="s">
        <v>1488</v>
      </c>
    </row>
    <row r="17" ht="11.25" customHeight="1">
      <c r="A17" s="63" t="s">
        <v>16</v>
      </c>
      <c r="B17" t="s">
        <v>2516</v>
      </c>
      <c r="C17" t="s">
        <v>2517</v>
      </c>
      <c r="D17" t="s">
        <v>2521</v>
      </c>
      <c r="E17" t="s">
        <v>2522</v>
      </c>
      <c r="F17" t="s">
        <v>2520</v>
      </c>
      <c r="G17" t="s">
        <v>1493</v>
      </c>
    </row>
    <row r="18" ht="11.25" customHeight="1">
      <c r="A18" s="63" t="s">
        <v>16</v>
      </c>
      <c r="B18" t="s">
        <v>2516</v>
      </c>
      <c r="C18" t="s">
        <v>2517</v>
      </c>
      <c r="D18" t="s">
        <v>2523</v>
      </c>
      <c r="E18" t="s">
        <v>2524</v>
      </c>
      <c r="F18" t="s">
        <v>2520</v>
      </c>
      <c r="G18" t="s">
        <v>1504</v>
      </c>
    </row>
    <row r="19" ht="11.25" customHeight="1">
      <c r="A19" s="63" t="s">
        <v>16</v>
      </c>
      <c r="B19" t="s">
        <v>2516</v>
      </c>
      <c r="C19" t="s">
        <v>2517</v>
      </c>
      <c r="D19" t="s">
        <v>2525</v>
      </c>
      <c r="E19" t="s">
        <v>2526</v>
      </c>
      <c r="F19" t="s">
        <v>2520</v>
      </c>
      <c r="G19" t="s">
        <v>1518</v>
      </c>
    </row>
    <row r="20" ht="11.25" customHeight="1">
      <c r="A20" s="63" t="s">
        <v>16</v>
      </c>
      <c r="B20" t="s">
        <v>2516</v>
      </c>
      <c r="C20" t="s">
        <v>2517</v>
      </c>
      <c r="D20" t="s">
        <v>2516</v>
      </c>
      <c r="E20" t="s">
        <v>2517</v>
      </c>
      <c r="F20" t="s">
        <v>2487</v>
      </c>
      <c r="G20" t="s">
        <v>1530</v>
      </c>
    </row>
    <row r="21" ht="11.25" customHeight="1">
      <c r="A21" s="63" t="s">
        <v>16</v>
      </c>
      <c r="B21" t="s">
        <v>2516</v>
      </c>
      <c r="C21" t="s">
        <v>2517</v>
      </c>
      <c r="D21" t="s">
        <v>2527</v>
      </c>
      <c r="E21" t="s">
        <v>2528</v>
      </c>
      <c r="F21" t="s">
        <v>2529</v>
      </c>
      <c r="G21" t="s">
        <v>1539</v>
      </c>
    </row>
    <row r="22" ht="11.25" customHeight="1">
      <c r="A22" s="63" t="s">
        <v>16</v>
      </c>
      <c r="B22" t="s">
        <v>2516</v>
      </c>
      <c r="C22" t="s">
        <v>2517</v>
      </c>
      <c r="D22" t="s">
        <v>2530</v>
      </c>
      <c r="E22" t="s">
        <v>2531</v>
      </c>
      <c r="F22" t="s">
        <v>2490</v>
      </c>
      <c r="G22" t="s">
        <v>1555</v>
      </c>
    </row>
    <row r="23" ht="11.25" customHeight="1">
      <c r="A23" s="63" t="s">
        <v>16</v>
      </c>
      <c r="B23" t="s">
        <v>2516</v>
      </c>
      <c r="C23" t="s">
        <v>2517</v>
      </c>
      <c r="D23" t="s">
        <v>2532</v>
      </c>
      <c r="E23" t="s">
        <v>2533</v>
      </c>
      <c r="F23" t="s">
        <v>2520</v>
      </c>
      <c r="G23" t="s">
        <v>1562</v>
      </c>
    </row>
    <row r="24" ht="11.25" customHeight="1">
      <c r="A24" s="63" t="s">
        <v>16</v>
      </c>
      <c r="B24" t="s">
        <v>2534</v>
      </c>
      <c r="C24" t="s">
        <v>2535</v>
      </c>
      <c r="D24" t="s">
        <v>2536</v>
      </c>
      <c r="E24" t="s">
        <v>2537</v>
      </c>
      <c r="F24" t="s">
        <v>2490</v>
      </c>
      <c r="G24" t="s">
        <v>1570</v>
      </c>
    </row>
    <row r="25" ht="11.25" customHeight="1">
      <c r="A25" s="63" t="s">
        <v>16</v>
      </c>
      <c r="B25" t="s">
        <v>2534</v>
      </c>
      <c r="C25" t="s">
        <v>2535</v>
      </c>
      <c r="D25" t="s">
        <v>2538</v>
      </c>
      <c r="E25" t="s">
        <v>2539</v>
      </c>
      <c r="F25" t="s">
        <v>2490</v>
      </c>
      <c r="G25" t="s">
        <v>1577</v>
      </c>
    </row>
    <row r="26" ht="11.25" customHeight="1">
      <c r="A26" s="63" t="s">
        <v>16</v>
      </c>
      <c r="B26" t="s">
        <v>2534</v>
      </c>
      <c r="C26" t="s">
        <v>2535</v>
      </c>
      <c r="D26" t="s">
        <v>2534</v>
      </c>
      <c r="E26" t="s">
        <v>2535</v>
      </c>
      <c r="F26" t="s">
        <v>2487</v>
      </c>
      <c r="G26" t="s">
        <v>1581</v>
      </c>
    </row>
    <row r="27" ht="11.25" customHeight="1">
      <c r="A27" s="63" t="s">
        <v>16</v>
      </c>
      <c r="B27" t="s">
        <v>2534</v>
      </c>
      <c r="C27" t="s">
        <v>2535</v>
      </c>
      <c r="D27" t="s">
        <v>2540</v>
      </c>
      <c r="E27" t="s">
        <v>2541</v>
      </c>
      <c r="F27" t="s">
        <v>2490</v>
      </c>
      <c r="G27" t="s">
        <v>1586</v>
      </c>
    </row>
    <row r="28" ht="11.25" customHeight="1">
      <c r="A28" s="63" t="s">
        <v>16</v>
      </c>
      <c r="B28" t="s">
        <v>2542</v>
      </c>
      <c r="C28" t="s">
        <v>2543</v>
      </c>
      <c r="D28" t="s">
        <v>2544</v>
      </c>
      <c r="E28" t="s">
        <v>2545</v>
      </c>
      <c r="F28" t="s">
        <v>2520</v>
      </c>
      <c r="G28" t="s">
        <v>1594</v>
      </c>
    </row>
    <row r="29" ht="11.25" customHeight="1">
      <c r="A29" s="63" t="s">
        <v>16</v>
      </c>
      <c r="B29" t="s">
        <v>2542</v>
      </c>
      <c r="C29" t="s">
        <v>2543</v>
      </c>
      <c r="D29" t="s">
        <v>2546</v>
      </c>
      <c r="E29" t="s">
        <v>2547</v>
      </c>
      <c r="F29" t="s">
        <v>2490</v>
      </c>
      <c r="G29" t="s">
        <v>1596</v>
      </c>
    </row>
    <row r="30" ht="11.25" customHeight="1">
      <c r="A30" s="63" t="s">
        <v>16</v>
      </c>
      <c r="B30" t="s">
        <v>2542</v>
      </c>
      <c r="C30" t="s">
        <v>2543</v>
      </c>
      <c r="D30" t="s">
        <v>2548</v>
      </c>
      <c r="E30" t="s">
        <v>2549</v>
      </c>
      <c r="F30" t="s">
        <v>2490</v>
      </c>
      <c r="G30" t="s">
        <v>1599</v>
      </c>
    </row>
    <row r="31" ht="11.25" customHeight="1">
      <c r="A31" s="63" t="s">
        <v>16</v>
      </c>
      <c r="B31" t="s">
        <v>2542</v>
      </c>
      <c r="C31" t="s">
        <v>2543</v>
      </c>
      <c r="D31" t="s">
        <v>2550</v>
      </c>
      <c r="E31" t="s">
        <v>2551</v>
      </c>
      <c r="F31" t="s">
        <v>2520</v>
      </c>
      <c r="G31" t="s">
        <v>1605</v>
      </c>
    </row>
    <row r="32" ht="11.25" customHeight="1">
      <c r="A32" s="63" t="s">
        <v>16</v>
      </c>
      <c r="B32" t="s">
        <v>2542</v>
      </c>
      <c r="C32" t="s">
        <v>2543</v>
      </c>
      <c r="D32" t="s">
        <v>2552</v>
      </c>
      <c r="E32" t="s">
        <v>2553</v>
      </c>
      <c r="F32" t="s">
        <v>2520</v>
      </c>
      <c r="G32" t="s">
        <v>1607</v>
      </c>
    </row>
    <row r="33" ht="11.25" customHeight="1">
      <c r="A33" s="63" t="s">
        <v>16</v>
      </c>
      <c r="B33" t="s">
        <v>2542</v>
      </c>
      <c r="C33" t="s">
        <v>2543</v>
      </c>
      <c r="D33" t="s">
        <v>2542</v>
      </c>
      <c r="E33" t="s">
        <v>2543</v>
      </c>
      <c r="F33" t="s">
        <v>2487</v>
      </c>
      <c r="G33" t="s">
        <v>1609</v>
      </c>
    </row>
    <row r="34" ht="11.25" customHeight="1">
      <c r="A34" s="63" t="s">
        <v>16</v>
      </c>
      <c r="B34" t="s">
        <v>2542</v>
      </c>
      <c r="C34" t="s">
        <v>2543</v>
      </c>
      <c r="D34" t="s">
        <v>2554</v>
      </c>
      <c r="E34" t="s">
        <v>2555</v>
      </c>
      <c r="F34" t="s">
        <v>2520</v>
      </c>
      <c r="G34" t="s">
        <v>1611</v>
      </c>
    </row>
  </sheetData>
  <sheetProtection autoFilter="0" deleteColumns="1" deleteRows="1" formatCells="1" formatColumns="1" formatRows="1" insertColumns="1" insertHyperlinks="1" insertRows="1" objects="0" pivotTables="1" scenarios="0" selectLockedCells="0" selectUnlockedCells="0" sheet="1" sort="1"/>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1.25" customHeight="1"/>
  <cols>
    <col customWidth="1" min="1" max="1" style="784" width="13.8515625"/>
    <col customWidth="1" min="2" max="2" style="784" width="10.421875"/>
    <col customWidth="1" min="3" max="3" style="784" width="7.57421875"/>
    <col customWidth="1" min="4" max="4" style="784" width="13.8515625"/>
    <col customWidth="1" min="5" max="5" style="784" width="11.57421875"/>
    <col customWidth="1" min="6" max="6" style="784" width="16.28125"/>
    <col customWidth="1" min="7" max="7" style="784" width="16.00390625"/>
    <col customWidth="1" min="8" max="9" style="784" width="16.140625"/>
  </cols>
  <sheetData>
    <row r="1" ht="11.25" customHeight="1">
      <c r="A1" s="784" t="s">
        <v>2556</v>
      </c>
      <c r="B1" s="784" t="s">
        <v>2557</v>
      </c>
      <c r="C1" s="784" t="s">
        <v>2558</v>
      </c>
      <c r="D1" s="784" t="s">
        <v>2559</v>
      </c>
      <c r="E1" s="784" t="s">
        <v>2560</v>
      </c>
      <c r="F1" s="784" t="s">
        <v>2561</v>
      </c>
      <c r="G1" s="784" t="s">
        <v>2562</v>
      </c>
      <c r="H1" s="784" t="s">
        <v>2563</v>
      </c>
      <c r="I1" s="784" t="s">
        <v>2564</v>
      </c>
    </row>
    <row r="2" ht="11.25" customHeight="1">
      <c r="A2" s="784" t="s">
        <v>105</v>
      </c>
      <c r="B2" s="784" t="s">
        <v>979</v>
      </c>
      <c r="C2" s="784" t="s">
        <v>2565</v>
      </c>
      <c r="D2" s="784" t="s">
        <v>983</v>
      </c>
      <c r="E2" s="784" t="s">
        <v>984</v>
      </c>
      <c r="F2" s="784" t="s">
        <v>2566</v>
      </c>
      <c r="G2" s="784" t="s">
        <v>986</v>
      </c>
      <c r="H2" s="784" t="s">
        <v>987</v>
      </c>
      <c r="I2" s="784" t="s">
        <v>983</v>
      </c>
    </row>
    <row r="3" ht="11.25" customHeight="1">
      <c r="A3" s="784" t="s">
        <v>106</v>
      </c>
      <c r="B3" s="784" t="s">
        <v>2567</v>
      </c>
      <c r="C3" s="784" t="s">
        <v>2568</v>
      </c>
      <c r="D3" s="784" t="s">
        <v>2569</v>
      </c>
      <c r="E3" s="784" t="s">
        <v>2570</v>
      </c>
      <c r="F3" s="784" t="s">
        <v>2571</v>
      </c>
      <c r="G3" s="784" t="s">
        <v>986</v>
      </c>
      <c r="H3" s="784" t="s">
        <v>2572</v>
      </c>
      <c r="I3" s="784" t="s">
        <v>2573</v>
      </c>
    </row>
    <row r="4" ht="11.25" customHeight="1">
      <c r="A4" s="784" t="s">
        <v>89</v>
      </c>
      <c r="B4" s="784" t="s">
        <v>2574</v>
      </c>
      <c r="C4" s="784" t="s">
        <v>2575</v>
      </c>
      <c r="D4" s="784" t="s">
        <v>2569</v>
      </c>
      <c r="E4" s="784" t="s">
        <v>2570</v>
      </c>
      <c r="F4" s="784" t="s">
        <v>2571</v>
      </c>
      <c r="G4" s="784" t="s">
        <v>986</v>
      </c>
      <c r="H4" s="784" t="s">
        <v>2572</v>
      </c>
      <c r="I4" s="784" t="s">
        <v>2573</v>
      </c>
    </row>
  </sheetData>
  <sheetProtection autoFilter="0" deleteColumns="1" deleteRows="1" formatCells="1" formatColumns="1" formatRows="1" insertColumns="1" insertHyperlinks="1" insertRows="1" objects="0" pivotTables="1" scenarios="0" selectLockedCells="0" selectUnlockedCells="0" sheet="1" sort="1"/>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topLeftCell="A1" zoomScale="100" workbookViewId="0">
      <selection activeCell="A1" activeCellId="0" sqref="A1"/>
    </sheetView>
  </sheetViews>
  <sheetFormatPr defaultRowHeight="11.25" customHeight="1"/>
  <sheetData/>
  <sheetProtection autoFilter="0" deleteColumns="1" deleteRows="1" formatCells="1" formatColumns="1" formatRows="1" insertColumns="1" insertHyperlinks="1" insertRows="1" objects="0" pivotTables="1" scenarios="0" selectLockedCells="0" selectUnlockedCells="0" sheet="1" sort="1"/>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3" tint="0.59999999999999998"/>
    <outlinePr applyStyles="0" summaryBelow="1" summaryRight="1" showOutlineSymbols="1"/>
    <pageSetUpPr autoPageBreaks="1" fitToPage="0"/>
  </sheetPr>
  <sheetViews>
    <sheetView showGridLines="0" zoomScale="90" workbookViewId="0">
      <pane xSplit="5" ySplit="11" topLeftCell="F12" activePane="bottomRight" state="frozen"/>
      <selection activeCell="A1" activeCellId="0" sqref="A1"/>
    </sheetView>
  </sheetViews>
  <sheetFormatPr defaultColWidth="10.57421875" defaultRowHeight="14.25" customHeight="1"/>
  <cols>
    <col customWidth="1" hidden="1" min="1" max="1" style="56" width="9.140625"/>
    <col customWidth="1" hidden="1" min="2" max="2" style="50" width="9.140625"/>
    <col customWidth="1" min="3" max="3" style="129" width="3.00390625"/>
    <col customWidth="1" min="4" max="4" style="50" width="5.00390625"/>
    <col customWidth="1" min="5" max="5" style="50" width="48.00390625"/>
    <col customWidth="1" min="6" max="6" style="50" width="38.00390625"/>
    <col customWidth="1" hidden="1" min="7" max="7" style="50" width="1.7109375"/>
    <col customWidth="1" hidden="1" min="8" max="11" style="50" width="19.8515625"/>
    <col customWidth="1" hidden="1" min="12" max="12" style="50" width="9.7109375"/>
    <col customWidth="1" hidden="1" min="13" max="18" style="50" width="19.8515625"/>
    <col customWidth="1" hidden="1" min="19" max="19" style="50" width="1.7109375"/>
    <col customWidth="1" hidden="1" min="20" max="22" style="50" width="19.8515625"/>
    <col customWidth="1" hidden="1" min="23" max="23" style="50" width="1.7109375"/>
    <col customWidth="1" hidden="1" min="24" max="26" style="50" width="19.8515625"/>
    <col customWidth="1" hidden="1" min="27" max="27" style="50" width="1.7109375"/>
    <col customWidth="1" min="28" max="29" style="50" width="19.8515625"/>
    <col customWidth="1" hidden="1" min="30" max="30" style="50" width="1.7109375"/>
    <col customWidth="1" hidden="1" min="31" max="33" style="50" width="103.7109375"/>
    <col customWidth="1" min="34" max="34" style="50" width="103.7109375"/>
    <col customWidth="1" min="35" max="35" style="140" width="3.00390625"/>
    <col customWidth="1" min="36" max="38" style="57" width="10.00390625"/>
    <col customWidth="1" hidden="1" min="39" max="39" style="57" width="13.7109375"/>
    <col customWidth="1" min="40" max="40" style="57" width="15.00390625"/>
    <col customWidth="1" min="41" max="41" style="57" width="16.00390625"/>
    <col customWidth="1" min="42" max="45" style="57" width="10.00390625"/>
    <col hidden="1" min="46" max="46" style="50" width="10.57421875"/>
  </cols>
  <sheetData>
    <row r="1" ht="22.5" hidden="1" customHeight="1">
      <c r="E1" s="169"/>
      <c r="F1" s="169"/>
      <c r="G1" s="169"/>
      <c r="H1" s="114" t="s">
        <v>346</v>
      </c>
      <c r="I1" s="114"/>
      <c r="J1" s="114"/>
      <c r="K1" s="114"/>
      <c r="L1" s="114"/>
      <c r="M1" s="114"/>
      <c r="N1" s="114"/>
      <c r="O1" s="114"/>
      <c r="P1" s="114"/>
      <c r="Q1" s="114"/>
      <c r="R1" s="114"/>
      <c r="T1" s="114" t="s">
        <v>347</v>
      </c>
      <c r="U1" s="114"/>
      <c r="V1" s="114"/>
      <c r="X1" s="114" t="s">
        <v>348</v>
      </c>
      <c r="Y1" s="114"/>
      <c r="Z1" s="114"/>
      <c r="AB1" s="114" t="s">
        <v>349</v>
      </c>
      <c r="AC1" s="114"/>
      <c r="AT1" s="50" t="s">
        <v>14</v>
      </c>
    </row>
    <row r="2" ht="14.25" hidden="1" customHeight="1">
      <c r="AT2" s="50">
        <v>0</v>
      </c>
    </row>
    <row r="3" s="70" customFormat="1" ht="5.25" customHeight="1">
      <c r="C3" s="405"/>
      <c r="D3" s="406"/>
      <c r="E3" s="406"/>
      <c r="F3" s="406"/>
      <c r="G3" s="406"/>
      <c r="H3" s="406" t="s">
        <v>350</v>
      </c>
      <c r="I3" s="406"/>
      <c r="J3" s="406"/>
      <c r="K3" s="406"/>
      <c r="L3" s="406"/>
      <c r="M3" s="406"/>
      <c r="N3" s="406"/>
      <c r="O3" s="406"/>
      <c r="P3" s="406"/>
      <c r="Q3" s="406"/>
      <c r="R3" s="406"/>
      <c r="S3" s="406"/>
      <c r="T3" s="406"/>
      <c r="U3" s="406"/>
      <c r="V3" s="406"/>
      <c r="W3" s="406"/>
      <c r="X3" s="406"/>
      <c r="Y3" s="406"/>
      <c r="Z3" s="406"/>
      <c r="AA3" s="406"/>
      <c r="AB3" s="406"/>
      <c r="AC3" s="406"/>
      <c r="AD3" s="406"/>
      <c r="AE3" s="406"/>
      <c r="AF3" s="406"/>
      <c r="AG3" s="406"/>
      <c r="AH3" s="406"/>
      <c r="AJ3" s="57"/>
      <c r="AK3" s="57"/>
      <c r="AL3" s="57"/>
      <c r="AM3" s="57"/>
      <c r="AN3" s="57"/>
      <c r="AO3" s="57"/>
      <c r="AP3" s="57"/>
      <c r="AQ3" s="57"/>
      <c r="AR3" s="57"/>
      <c r="AS3" s="57"/>
      <c r="AT3" s="70">
        <v>5</v>
      </c>
    </row>
    <row r="4" ht="39.75" customHeight="1">
      <c r="C4" s="382"/>
      <c r="D4" s="237" t="str">
        <f>ORG_VD_NAME_FORM</f>
        <v xml:space="preserve">Форма 1. Информация об организации, осуществляющей горячее водоснабжение (общая информация)</v>
      </c>
      <c r="E4" s="238"/>
      <c r="F4" s="238"/>
      <c r="G4" s="238"/>
      <c r="H4" s="238"/>
      <c r="I4" s="238"/>
      <c r="J4" s="238"/>
      <c r="K4" s="238"/>
      <c r="L4" s="238"/>
      <c r="M4" s="238"/>
      <c r="N4" s="238"/>
      <c r="O4" s="238"/>
      <c r="P4" s="238"/>
      <c r="Q4" s="238"/>
      <c r="R4" s="239"/>
      <c r="S4" s="407"/>
      <c r="T4" s="300"/>
      <c r="U4" s="300"/>
      <c r="V4" s="300"/>
      <c r="W4" s="300"/>
      <c r="X4" s="300"/>
      <c r="Y4" s="300"/>
      <c r="Z4" s="300"/>
      <c r="AA4" s="300"/>
      <c r="AB4" s="300"/>
      <c r="AC4" s="300"/>
      <c r="AD4" s="300"/>
      <c r="AE4" s="408"/>
      <c r="AF4" s="408"/>
      <c r="AG4" s="408"/>
      <c r="AH4" s="408"/>
      <c r="AI4" s="240"/>
      <c r="AT4" s="50">
        <v>38</v>
      </c>
    </row>
    <row r="5" s="50" customFormat="1" ht="18" customHeight="1">
      <c r="A5" s="56"/>
      <c r="C5" s="382"/>
      <c r="D5" s="409" t="str">
        <f>IF(org=0,"Не определено",org)</f>
        <v xml:space="preserve">АО "ДГК" СП "Биробиджанская ТЭЦ"</v>
      </c>
      <c r="E5" s="410"/>
      <c r="F5" s="410"/>
      <c r="G5" s="410"/>
      <c r="H5" s="410"/>
      <c r="I5" s="410"/>
      <c r="J5" s="410"/>
      <c r="K5" s="410"/>
      <c r="L5" s="410"/>
      <c r="M5" s="410"/>
      <c r="N5" s="410"/>
      <c r="O5" s="410"/>
      <c r="P5" s="410"/>
      <c r="Q5" s="410"/>
      <c r="R5" s="411"/>
      <c r="S5" s="407"/>
      <c r="T5" s="300"/>
      <c r="U5" s="300"/>
      <c r="V5" s="300"/>
      <c r="W5" s="300"/>
      <c r="X5" s="300"/>
      <c r="Y5" s="300"/>
      <c r="Z5" s="300"/>
      <c r="AA5" s="300"/>
      <c r="AB5" s="300"/>
      <c r="AC5" s="300"/>
      <c r="AD5" s="300"/>
      <c r="AE5" s="408"/>
      <c r="AF5" s="408"/>
      <c r="AG5" s="408"/>
      <c r="AH5" s="408"/>
      <c r="AI5" s="240"/>
      <c r="AJ5" s="57"/>
      <c r="AK5" s="57"/>
      <c r="AL5" s="57"/>
      <c r="AM5" s="57"/>
      <c r="AN5" s="57"/>
      <c r="AO5" s="57"/>
      <c r="AP5" s="57"/>
      <c r="AQ5" s="57"/>
      <c r="AR5" s="57"/>
      <c r="AS5" s="57"/>
      <c r="AT5" s="50">
        <v>17</v>
      </c>
    </row>
    <row r="6" s="65" customFormat="1" ht="11.5" customHeight="1">
      <c r="A6" s="412"/>
      <c r="C6" s="413"/>
      <c r="D6" s="414"/>
      <c r="E6" s="414"/>
      <c r="F6" s="414"/>
      <c r="G6" s="414"/>
      <c r="H6" s="414"/>
      <c r="I6" s="414"/>
      <c r="J6" s="414"/>
      <c r="K6" s="414"/>
      <c r="L6" s="414"/>
      <c r="M6" s="414"/>
      <c r="N6" s="414"/>
      <c r="O6" s="414"/>
      <c r="P6" s="414"/>
      <c r="Q6" s="414"/>
      <c r="R6" s="342"/>
      <c r="S6" s="342"/>
      <c r="T6" s="414"/>
      <c r="U6" s="414"/>
      <c r="V6" s="415"/>
      <c r="W6" s="415"/>
      <c r="X6" s="414"/>
      <c r="Y6" s="414"/>
      <c r="Z6" s="415"/>
      <c r="AA6" s="415"/>
      <c r="AB6" s="414"/>
      <c r="AC6" s="415"/>
      <c r="AD6" s="415"/>
      <c r="AE6" s="414"/>
      <c r="AF6" s="414"/>
      <c r="AG6" s="414"/>
      <c r="AH6" s="414"/>
      <c r="AJ6" s="57"/>
      <c r="AK6" s="57"/>
      <c r="AL6" s="57"/>
      <c r="AM6" s="57"/>
      <c r="AN6" s="57"/>
      <c r="AO6" s="57"/>
      <c r="AP6" s="57"/>
      <c r="AQ6" s="57"/>
      <c r="AR6" s="57"/>
      <c r="AS6" s="57"/>
      <c r="AT6" s="65">
        <v>11</v>
      </c>
    </row>
    <row r="7" ht="14.65" customHeight="1">
      <c r="C7" s="382"/>
      <c r="D7" s="416" t="s">
        <v>294</v>
      </c>
      <c r="E7" s="417"/>
      <c r="F7" s="417"/>
      <c r="G7" s="417"/>
      <c r="H7" s="417"/>
      <c r="I7" s="417"/>
      <c r="J7" s="417"/>
      <c r="K7" s="417"/>
      <c r="L7" s="417"/>
      <c r="M7" s="417"/>
      <c r="N7" s="417"/>
      <c r="O7" s="417"/>
      <c r="P7" s="417"/>
      <c r="Q7" s="417"/>
      <c r="R7" s="417"/>
      <c r="S7" s="417"/>
      <c r="T7" s="417"/>
      <c r="U7" s="417"/>
      <c r="V7" s="417"/>
      <c r="W7" s="417"/>
      <c r="X7" s="417"/>
      <c r="Y7" s="417"/>
      <c r="Z7" s="417"/>
      <c r="AA7" s="417"/>
      <c r="AB7" s="417"/>
      <c r="AC7" s="417"/>
      <c r="AD7" s="418"/>
      <c r="AE7" s="247" t="s">
        <v>295</v>
      </c>
      <c r="AF7" s="247" t="s">
        <v>295</v>
      </c>
      <c r="AG7" s="247" t="s">
        <v>295</v>
      </c>
      <c r="AH7" s="247" t="s">
        <v>295</v>
      </c>
      <c r="AT7" s="50">
        <v>14</v>
      </c>
    </row>
    <row r="8" ht="27.300000000000001" customHeight="1">
      <c r="C8" s="382"/>
      <c r="D8" s="158" t="s">
        <v>87</v>
      </c>
      <c r="E8" s="247" t="str">
        <f>"Наименование "&amp;IF(TEMPLATE_SPHERE&lt;&gt;"HEAT","централизованной ","")&amp;"системы "&amp;TEMPLATE_SPHERE_RUS</f>
        <v xml:space="preserve">Наименование централизованной системы горячего водоснабжения</v>
      </c>
      <c r="F8" s="247" t="str">
        <f>IF(TEMPLATE_SPHERE&lt;&gt;"HEAT","Регулируемый вид деятельности","Вид регулируемой деятельности")</f>
        <v xml:space="preserve">Регулируемый вид деятельности</v>
      </c>
      <c r="G8" s="419"/>
      <c r="H8" s="419" t="s">
        <v>351</v>
      </c>
      <c r="I8" s="420" t="s">
        <v>352</v>
      </c>
      <c r="J8" s="247" t="s">
        <v>353</v>
      </c>
      <c r="K8" s="247"/>
      <c r="L8" s="247"/>
      <c r="M8" s="416"/>
      <c r="N8" s="247" t="s">
        <v>354</v>
      </c>
      <c r="O8" s="247"/>
      <c r="P8" s="247" t="s">
        <v>355</v>
      </c>
      <c r="Q8" s="247"/>
      <c r="R8" s="421" t="s">
        <v>356</v>
      </c>
      <c r="S8" s="421"/>
      <c r="T8" s="419" t="s">
        <v>357</v>
      </c>
      <c r="U8" s="419" t="s">
        <v>358</v>
      </c>
      <c r="V8" s="419" t="s">
        <v>359</v>
      </c>
      <c r="W8" s="419"/>
      <c r="X8" s="419" t="s">
        <v>360</v>
      </c>
      <c r="Y8" s="419" t="s">
        <v>361</v>
      </c>
      <c r="Z8" s="419" t="s">
        <v>362</v>
      </c>
      <c r="AA8" s="419"/>
      <c r="AB8" s="419" t="s">
        <v>363</v>
      </c>
      <c r="AC8" s="419" t="s">
        <v>356</v>
      </c>
      <c r="AD8" s="419"/>
      <c r="AE8" s="247"/>
      <c r="AF8" s="247"/>
      <c r="AG8" s="247"/>
      <c r="AH8" s="247"/>
      <c r="AT8" s="50">
        <v>26</v>
      </c>
    </row>
    <row r="9" ht="46.149999999999999" customHeight="1">
      <c r="C9" s="382"/>
      <c r="D9" s="158"/>
      <c r="E9" s="247"/>
      <c r="F9" s="247"/>
      <c r="G9" s="422"/>
      <c r="H9" s="422"/>
      <c r="I9" s="423"/>
      <c r="J9" s="247" t="s">
        <v>364</v>
      </c>
      <c r="K9" s="247" t="s">
        <v>365</v>
      </c>
      <c r="L9" s="247" t="s">
        <v>366</v>
      </c>
      <c r="M9" s="416" t="s">
        <v>367</v>
      </c>
      <c r="N9" s="247" t="s">
        <v>368</v>
      </c>
      <c r="O9" s="247" t="s">
        <v>367</v>
      </c>
      <c r="P9" s="247" t="s">
        <v>369</v>
      </c>
      <c r="Q9" s="247" t="s">
        <v>367</v>
      </c>
      <c r="R9" s="424"/>
      <c r="S9" s="424"/>
      <c r="T9" s="422"/>
      <c r="U9" s="422"/>
      <c r="V9" s="422"/>
      <c r="W9" s="422"/>
      <c r="X9" s="422"/>
      <c r="Y9" s="422"/>
      <c r="Z9" s="422"/>
      <c r="AA9" s="422"/>
      <c r="AB9" s="422"/>
      <c r="AC9" s="422"/>
      <c r="AD9" s="422"/>
      <c r="AE9" s="247"/>
      <c r="AF9" s="247"/>
      <c r="AG9" s="247"/>
      <c r="AH9" s="247"/>
      <c r="AT9" s="50">
        <v>44</v>
      </c>
    </row>
    <row r="10" ht="12" hidden="1" customHeight="1">
      <c r="C10" s="425"/>
      <c r="D10" s="426"/>
      <c r="E10" s="426"/>
      <c r="F10" s="426"/>
      <c r="G10" s="426"/>
      <c r="H10" s="426"/>
      <c r="I10" s="426"/>
      <c r="J10" s="426"/>
      <c r="K10" s="426"/>
      <c r="L10" s="426"/>
      <c r="M10" s="426"/>
      <c r="N10" s="426"/>
      <c r="O10" s="426"/>
      <c r="P10" s="426"/>
      <c r="Q10" s="426"/>
      <c r="R10" s="426"/>
      <c r="S10" s="426"/>
      <c r="T10" s="426"/>
      <c r="U10" s="426"/>
      <c r="V10" s="426"/>
      <c r="W10" s="426"/>
      <c r="X10" s="426"/>
      <c r="Y10" s="426"/>
      <c r="Z10" s="426"/>
      <c r="AA10" s="426"/>
      <c r="AB10" s="426"/>
      <c r="AC10" s="426"/>
      <c r="AD10" s="426"/>
      <c r="AE10" s="426"/>
      <c r="AF10" s="426"/>
      <c r="AG10" s="426"/>
      <c r="AH10" s="426"/>
      <c r="AI10" s="50"/>
      <c r="AP10" s="130"/>
      <c r="AQ10" s="130"/>
      <c r="AT10" s="50">
        <v>0</v>
      </c>
    </row>
    <row r="11" s="132" customFormat="1" ht="11.25" hidden="1" customHeight="1">
      <c r="C11" s="427"/>
      <c r="D11" s="428" t="s">
        <v>370</v>
      </c>
      <c r="E11" s="428"/>
      <c r="F11" s="428"/>
      <c r="G11" s="428"/>
      <c r="H11" s="429"/>
      <c r="I11" s="429"/>
      <c r="J11" s="429"/>
      <c r="K11" s="429"/>
      <c r="L11" s="429"/>
      <c r="M11" s="429"/>
      <c r="N11" s="429"/>
      <c r="O11" s="429"/>
      <c r="P11" s="429"/>
      <c r="Q11" s="429"/>
      <c r="R11" s="429"/>
      <c r="S11" s="429"/>
      <c r="T11" s="429"/>
      <c r="U11" s="429"/>
      <c r="V11" s="429"/>
      <c r="W11" s="429"/>
      <c r="X11" s="429"/>
      <c r="Y11" s="429"/>
      <c r="Z11" s="429"/>
      <c r="AA11" s="429"/>
      <c r="AB11" s="429"/>
      <c r="AC11" s="429"/>
      <c r="AD11" s="429"/>
      <c r="AE11" s="430"/>
      <c r="AF11" s="430"/>
      <c r="AG11" s="430"/>
      <c r="AH11" s="430"/>
      <c r="AJ11" s="57"/>
      <c r="AK11" s="57"/>
      <c r="AL11" s="57"/>
      <c r="AM11" s="57"/>
      <c r="AN11" s="57"/>
      <c r="AO11" s="57"/>
      <c r="AP11" s="57"/>
      <c r="AQ11" s="57"/>
      <c r="AR11" s="57"/>
      <c r="AS11" s="57"/>
      <c r="AT11" s="132">
        <v>0</v>
      </c>
    </row>
    <row r="12" ht="14.65" customHeight="1">
      <c r="A12" s="50"/>
      <c r="C12" s="382"/>
      <c r="D12" s="431" t="s">
        <v>105</v>
      </c>
      <c r="E12" s="377" t="s">
        <v>22</v>
      </c>
      <c r="F12" s="432"/>
      <c r="G12" s="433"/>
      <c r="H12" s="434"/>
      <c r="I12" s="434"/>
      <c r="J12" s="435"/>
      <c r="K12" s="436"/>
      <c r="L12" s="437"/>
      <c r="M12" s="436"/>
      <c r="N12" s="435"/>
      <c r="O12" s="436"/>
      <c r="P12" s="435"/>
      <c r="Q12" s="436"/>
      <c r="R12" s="435"/>
      <c r="S12" s="438"/>
      <c r="T12" s="434"/>
      <c r="U12" s="435"/>
      <c r="V12" s="435"/>
      <c r="W12" s="422"/>
      <c r="X12" s="434"/>
      <c r="Y12" s="435"/>
      <c r="Z12" s="435"/>
      <c r="AA12" s="422"/>
      <c r="AB12" s="434"/>
      <c r="AC12" s="435"/>
      <c r="AD12" s="422"/>
      <c r="AE12" s="439" t="s">
        <v>371</v>
      </c>
      <c r="AF12" s="439" t="s">
        <v>372</v>
      </c>
      <c r="AG12" s="439" t="s">
        <v>373</v>
      </c>
      <c r="AH12" s="439" t="s">
        <v>374</v>
      </c>
      <c r="AI12" s="50"/>
      <c r="AM12" s="57"/>
      <c r="AP12" s="130" t="s">
        <v>375</v>
      </c>
      <c r="AQ12" s="130" t="s">
        <v>375</v>
      </c>
      <c r="AT12" s="50">
        <v>14</v>
      </c>
    </row>
    <row r="13" ht="18" customHeight="1">
      <c r="A13" s="50"/>
      <c r="C13" s="382"/>
      <c r="D13" s="440"/>
      <c r="E13" s="441" t="str">
        <f>IF(TITLE_DIFFERENTIATION_TYPE="нет","","Добавить систему")</f>
        <v/>
      </c>
      <c r="F13" s="441" t="str">
        <f>IF(TITLE_DIFFERENTIATION_TYPE="нет","Добавить вид деятельности","")</f>
        <v xml:space="preserve">Добавить вид деятельности</v>
      </c>
      <c r="G13" s="442"/>
      <c r="H13" s="443"/>
      <c r="I13" s="443"/>
      <c r="J13" s="443"/>
      <c r="K13" s="443"/>
      <c r="L13" s="443"/>
      <c r="M13" s="443"/>
      <c r="N13" s="443"/>
      <c r="O13" s="443"/>
      <c r="P13" s="443"/>
      <c r="Q13" s="443"/>
      <c r="R13" s="443"/>
      <c r="S13" s="443"/>
      <c r="T13" s="443"/>
      <c r="U13" s="443"/>
      <c r="V13" s="443"/>
      <c r="W13" s="443"/>
      <c r="X13" s="443"/>
      <c r="Y13" s="443"/>
      <c r="Z13" s="443"/>
      <c r="AA13" s="443"/>
      <c r="AB13" s="443"/>
      <c r="AC13" s="443"/>
      <c r="AD13" s="444"/>
      <c r="AE13" s="445"/>
      <c r="AF13" s="445"/>
      <c r="AG13" s="445"/>
      <c r="AH13" s="445"/>
      <c r="AI13" s="50"/>
      <c r="AT13" s="50">
        <v>17</v>
      </c>
    </row>
    <row r="14" ht="14.65" customHeight="1">
      <c r="AI14" s="50"/>
      <c r="AT14" s="50">
        <v>14</v>
      </c>
    </row>
    <row r="15" ht="14.65" customHeight="1">
      <c r="E15" s="50"/>
      <c r="L15" s="50"/>
      <c r="AT15" s="50">
        <v>14</v>
      </c>
    </row>
    <row r="16" ht="14.65" customHeight="1">
      <c r="L16" s="50"/>
      <c r="AT16" s="50">
        <v>14</v>
      </c>
    </row>
    <row r="17" ht="14.65" customHeight="1">
      <c r="L17" s="50"/>
      <c r="AT17" s="50">
        <v>14</v>
      </c>
    </row>
    <row r="18" ht="22.5" hidden="1" customHeight="1">
      <c r="A18" s="56" t="s">
        <v>81</v>
      </c>
      <c r="B18" s="50">
        <v>0</v>
      </c>
      <c r="C18" s="129">
        <v>3</v>
      </c>
      <c r="D18" s="50">
        <v>5</v>
      </c>
      <c r="E18" s="50">
        <v>48</v>
      </c>
      <c r="F18" s="50">
        <v>38</v>
      </c>
      <c r="G18" s="50">
        <v>0</v>
      </c>
      <c r="H18" s="50">
        <v>0</v>
      </c>
      <c r="I18" s="50">
        <v>0</v>
      </c>
      <c r="J18" s="50">
        <v>0</v>
      </c>
      <c r="K18" s="50">
        <v>0</v>
      </c>
      <c r="L18" s="50">
        <v>0</v>
      </c>
      <c r="M18" s="50">
        <v>0</v>
      </c>
      <c r="N18" s="50">
        <v>0</v>
      </c>
      <c r="O18" s="50">
        <v>0</v>
      </c>
      <c r="P18" s="50">
        <v>0</v>
      </c>
      <c r="Q18" s="50">
        <v>0</v>
      </c>
      <c r="R18" s="50">
        <v>0</v>
      </c>
      <c r="S18" s="50">
        <v>0</v>
      </c>
      <c r="T18" s="50">
        <v>0</v>
      </c>
      <c r="U18" s="50">
        <v>0</v>
      </c>
      <c r="V18" s="50">
        <v>0</v>
      </c>
      <c r="W18" s="50">
        <v>0</v>
      </c>
      <c r="X18" s="50">
        <v>0</v>
      </c>
      <c r="Y18" s="50">
        <v>0</v>
      </c>
      <c r="Z18" s="50">
        <v>0</v>
      </c>
      <c r="AA18" s="50">
        <v>0</v>
      </c>
      <c r="AB18" s="50">
        <v>0</v>
      </c>
      <c r="AC18" s="50">
        <v>0</v>
      </c>
      <c r="AD18" s="50">
        <v>0</v>
      </c>
      <c r="AE18" s="50">
        <v>0</v>
      </c>
      <c r="AF18" s="50">
        <v>0</v>
      </c>
      <c r="AG18" s="50">
        <v>0</v>
      </c>
      <c r="AH18" s="50">
        <v>0</v>
      </c>
      <c r="AI18" s="140">
        <v>3</v>
      </c>
      <c r="AJ18" s="57">
        <v>10</v>
      </c>
      <c r="AK18" s="57">
        <v>10</v>
      </c>
      <c r="AL18" s="57">
        <v>10</v>
      </c>
      <c r="AM18" s="57">
        <v>0</v>
      </c>
      <c r="AN18" s="57">
        <v>15</v>
      </c>
      <c r="AO18" s="57">
        <v>16</v>
      </c>
      <c r="AP18" s="57">
        <v>10</v>
      </c>
      <c r="AQ18" s="57">
        <v>10</v>
      </c>
      <c r="AR18" s="57">
        <v>10</v>
      </c>
      <c r="AS18" s="57">
        <v>10</v>
      </c>
      <c r="AT18" s="50">
        <v>23</v>
      </c>
    </row>
  </sheetData>
  <sheetProtection autoFilter="0" deleteColumns="1" deleteRows="1" formatCells="1" formatColumns="0" formatRows="0" insertColumns="1" insertHyperlinks="1" insertRows="1" objects="0" pivotTables="1" scenarios="0" selectLockedCells="0" selectUnlockedCells="0" sheet="1" sort="1"/>
  <mergeCells count="32">
    <mergeCell ref="H1:R1"/>
    <mergeCell ref="T1:V1"/>
    <mergeCell ref="X1:Z1"/>
    <mergeCell ref="AB1:AC1"/>
    <mergeCell ref="D4:R4"/>
    <mergeCell ref="D5:R5"/>
    <mergeCell ref="D7:AD7"/>
    <mergeCell ref="AE7:AE9"/>
    <mergeCell ref="AF7:AF9"/>
    <mergeCell ref="AG7:AG9"/>
    <mergeCell ref="AH7:AH9"/>
    <mergeCell ref="D8:D9"/>
    <mergeCell ref="E8:E9"/>
    <mergeCell ref="F8:F9"/>
    <mergeCell ref="H8:H9"/>
    <mergeCell ref="I8:I9"/>
    <mergeCell ref="J8:M8"/>
    <mergeCell ref="N8:O8"/>
    <mergeCell ref="P8:Q8"/>
    <mergeCell ref="R8:R9"/>
    <mergeCell ref="T8:T9"/>
    <mergeCell ref="U8:U9"/>
    <mergeCell ref="V8:V9"/>
    <mergeCell ref="X8:X9"/>
    <mergeCell ref="Y8:Y9"/>
    <mergeCell ref="Z8:Z9"/>
    <mergeCell ref="AB8:AB9"/>
    <mergeCell ref="AC8:AC9"/>
    <mergeCell ref="AE12:AE13"/>
    <mergeCell ref="AF12:AF13"/>
    <mergeCell ref="AG12:AG13"/>
    <mergeCell ref="AH12:AH13"/>
  </mergeCells>
  <dataValidations count="2" disablePrompts="0">
    <dataValidation sqref="E11:G11" type="none" allowBlank="1" error="Допускается ввод только неотрицательных чисел!" errorStyle="stop" errorTitle="Ошибка" imeMode="noControl" operator="between" showDropDown="0" showErrorMessage="1" showInputMessage="0"/>
    <dataValidation sqref="F12" type="none" allowBlank="1" errorStyle="stop" imeMode="noControl" operator="between" prompt="Выберите один или несколько одновременно видов деятельности, выполнив последовательно по одному щелчку на строке с видом деятельности" showDropDown="0" showErrorMessage="1" showInputMessage="1"/>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4" disablePrompts="0">
        <x14:dataValidation xr:uid="{007500CF-00D9-44C1-B51A-00B300B300F2}"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H11:AD11 T12 H12:I12 AB12 X12 K12 M12 O12 Q12</xm:sqref>
        </x14:dataValidation>
        <x14:dataValidation xr:uid="{00E300DE-0059-4BF8-92BA-00A200B200FF}" type="textLength" allowBlank="1" error="Допускается ввод не более 900 символов!" errorStyle="stop" errorTitle="Ошибка" imeMode="noControl" operator="lessThanOrEqual" showDropDown="0" showErrorMessage="1" showInputMessage="1">
          <x14:formula1>
            <xm:f>900</xm:f>
          </x14:formula1>
          <xm:sqref>E12</xm:sqref>
        </x14:dataValidation>
        <x14:dataValidation xr:uid="{00DC0057-000C-4A28-B5FE-00B300180042}"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N12 P12 U12:V12 Y12:Z12 J12 R12:S12 AC12</xm:sqref>
        </x14:dataValidation>
        <x14:dataValidation xr:uid="{000A007B-0096-4B18-A0AC-003100B40069}" type="list" allowBlank="1" error="Выберите значение из списка" errorStyle="stop" errorTitle="Ошибка" imeMode="noControl" operator="between" prompt="Выберите значение из списка" showDropDown="0" showErrorMessage="1" showInputMessage="1">
          <x14:formula1>
            <xm:f>kind_of_power_te_unit</xm:f>
          </x14:formula1>
          <xm:sqref>L12</xm:sqref>
        </x14:dataValidation>
      </x14:dataValidations>
    </ext>
  </extLst>
</worksheet>
</file>

<file path=xl/worksheets/sheet8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1.25" customHeight="1"/>
  <cols>
    <col min="1" max="2" style="1399" width="9.140625"/>
  </cols>
  <sheetData>
    <row r="1" ht="11.25" customHeight="1">
      <c r="A1" s="1399" t="s">
        <v>126</v>
      </c>
      <c r="B1" s="1399" t="s">
        <v>2576</v>
      </c>
    </row>
    <row r="2" ht="11.25" customHeight="1">
      <c r="A2" s="184" t="s">
        <v>97</v>
      </c>
      <c r="B2" s="184" t="s">
        <v>2577</v>
      </c>
    </row>
  </sheetData>
  <sheetProtection autoFilter="0" deleteColumns="1" deleteRows="1" formatCells="1" formatColumns="1" formatRows="1" insertColumns="1" insertHyperlinks="1" insertRows="1" objects="0" pivotTables="1" scenarios="0" selectLockedCells="0" selectUnlockedCells="0" sheet="1" sort="1"/>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1.25" customHeight="1"/>
  <cols>
    <col min="1" max="1" style="784" width="9.140625"/>
    <col customWidth="1" min="2" max="2" style="784" width="65.28125"/>
  </cols>
  <sheetData>
    <row r="1" ht="11.25" customHeight="1">
      <c r="A1" s="784" t="s">
        <v>2578</v>
      </c>
      <c r="B1" s="784" t="s">
        <v>2579</v>
      </c>
    </row>
    <row r="2" ht="11.25" customHeight="1">
      <c r="A2" s="784">
        <v>4213775</v>
      </c>
      <c r="B2" s="784" t="s">
        <v>1251</v>
      </c>
    </row>
    <row r="3" ht="11.25" customHeight="1">
      <c r="A3" s="784">
        <v>4213784</v>
      </c>
      <c r="B3" s="784" t="s">
        <v>1286</v>
      </c>
    </row>
    <row r="4" ht="11.25" customHeight="1">
      <c r="A4" s="784">
        <v>4213781</v>
      </c>
      <c r="B4" s="784" t="s">
        <v>1279</v>
      </c>
    </row>
    <row r="5" ht="11.25" customHeight="1">
      <c r="A5" s="784">
        <v>4213776</v>
      </c>
      <c r="B5" s="784" t="s">
        <v>162</v>
      </c>
    </row>
    <row r="6" ht="11.25" customHeight="1">
      <c r="A6" s="784">
        <v>4213777</v>
      </c>
      <c r="B6" s="784" t="s">
        <v>168</v>
      </c>
    </row>
    <row r="7" ht="11.25" customHeight="1">
      <c r="A7" s="784">
        <v>4213778</v>
      </c>
      <c r="B7" s="784" t="s">
        <v>174</v>
      </c>
    </row>
    <row r="8" ht="11.25" customHeight="1">
      <c r="A8" s="784">
        <v>4213780</v>
      </c>
      <c r="B8" s="784" t="s">
        <v>180</v>
      </c>
    </row>
    <row r="9" ht="11.25" customHeight="1">
      <c r="A9" s="784">
        <v>4213779</v>
      </c>
      <c r="B9" s="784" t="s">
        <v>1419</v>
      </c>
    </row>
    <row r="10" ht="11.25" customHeight="1">
      <c r="A10" s="784">
        <v>4213783</v>
      </c>
      <c r="B10" s="784" t="s">
        <v>1432</v>
      </c>
    </row>
    <row r="11" ht="11.25" customHeight="1">
      <c r="A11" s="784">
        <v>4213782</v>
      </c>
      <c r="B11" s="784" t="s">
        <v>186</v>
      </c>
    </row>
  </sheetData>
  <sheetProtection autoFilter="0" deleteColumns="1" deleteRows="1" formatCells="1" formatColumns="1" formatRows="1" insertColumns="1" insertHyperlinks="1" insertRows="1" objects="0" pivotTables="1" scenarios="0" selectLockedCells="0" selectUnlockedCells="0" sheet="1" sort="1"/>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1.25" customHeight="1"/>
  <cols>
    <col min="1" max="1" style="784" width="9.140625"/>
    <col customWidth="1" min="2" max="2" style="784" width="65.28125"/>
  </cols>
  <sheetData>
    <row r="1" ht="11.25" customHeight="1">
      <c r="A1" s="784" t="s">
        <v>2578</v>
      </c>
      <c r="B1" s="784" t="s">
        <v>2580</v>
      </c>
    </row>
    <row r="2" ht="11.25" customHeight="1">
      <c r="A2" s="784" t="s">
        <v>2581</v>
      </c>
      <c r="B2" s="784" t="s">
        <v>1526</v>
      </c>
    </row>
    <row r="3" ht="11.25" customHeight="1">
      <c r="A3" s="784" t="s">
        <v>2582</v>
      </c>
      <c r="B3" s="784" t="s">
        <v>1536</v>
      </c>
    </row>
    <row r="4" ht="11.25" customHeight="1">
      <c r="A4" s="784" t="s">
        <v>2583</v>
      </c>
      <c r="B4" s="784" t="s">
        <v>1545</v>
      </c>
    </row>
  </sheetData>
  <sheetProtection autoFilter="0" deleteColumns="1" deleteRows="1" formatCells="1" formatColumns="1" formatRows="1" insertColumns="1" insertHyperlinks="1" insertRows="1" objects="0" pivotTables="1" scenarios="0" selectLockedCells="0" selectUnlockedCells="0" sheet="1" sort="1"/>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RowHeight="11.25" customHeight="1"/>
  <sheetData>
    <row r="1" ht="11.25" customHeight="1">
      <c r="A1" s="63" t="s">
        <v>2484</v>
      </c>
      <c r="B1" s="63" t="s">
        <v>2479</v>
      </c>
      <c r="C1" s="63" t="s">
        <v>2481</v>
      </c>
      <c r="D1" s="63" t="s">
        <v>2482</v>
      </c>
    </row>
    <row r="2" ht="11.25" customHeight="1">
      <c r="A2">
        <v>1</v>
      </c>
      <c r="B2" t="s">
        <v>2584</v>
      </c>
      <c r="C2" t="s">
        <v>2584</v>
      </c>
      <c r="D2" t="s">
        <v>2585</v>
      </c>
    </row>
    <row r="3" ht="11.25" customHeight="1">
      <c r="A3">
        <v>2</v>
      </c>
      <c r="B3" t="s">
        <v>2584</v>
      </c>
      <c r="C3" t="s">
        <v>2586</v>
      </c>
      <c r="D3" t="s">
        <v>2587</v>
      </c>
    </row>
    <row r="4" ht="11.25" customHeight="1">
      <c r="A4">
        <v>3</v>
      </c>
      <c r="B4" t="s">
        <v>2584</v>
      </c>
      <c r="C4" t="s">
        <v>2588</v>
      </c>
      <c r="D4" t="s">
        <v>2589</v>
      </c>
    </row>
    <row r="5" ht="11.25" customHeight="1">
      <c r="A5">
        <v>4</v>
      </c>
      <c r="B5" t="s">
        <v>2584</v>
      </c>
      <c r="C5" t="s">
        <v>2590</v>
      </c>
      <c r="D5" t="s">
        <v>2591</v>
      </c>
    </row>
    <row r="6" ht="11.25" customHeight="1">
      <c r="A6">
        <v>5</v>
      </c>
      <c r="B6" t="s">
        <v>2584</v>
      </c>
      <c r="C6" t="s">
        <v>2592</v>
      </c>
      <c r="D6" t="s">
        <v>2593</v>
      </c>
    </row>
    <row r="7" ht="11.25" customHeight="1">
      <c r="A7">
        <v>6</v>
      </c>
      <c r="B7" t="s">
        <v>2584</v>
      </c>
      <c r="C7" t="s">
        <v>2594</v>
      </c>
      <c r="D7" t="s">
        <v>2595</v>
      </c>
    </row>
    <row r="8" ht="11.25" customHeight="1">
      <c r="A8">
        <v>7</v>
      </c>
      <c r="B8" t="s">
        <v>2584</v>
      </c>
      <c r="C8" t="s">
        <v>2596</v>
      </c>
      <c r="D8" t="s">
        <v>2597</v>
      </c>
    </row>
    <row r="9" ht="11.25" customHeight="1">
      <c r="A9">
        <v>8</v>
      </c>
      <c r="B9" t="s">
        <v>2584</v>
      </c>
      <c r="C9" t="s">
        <v>2598</v>
      </c>
      <c r="D9" t="s">
        <v>2599</v>
      </c>
    </row>
    <row r="10" ht="11.25" customHeight="1">
      <c r="A10">
        <v>9</v>
      </c>
      <c r="B10" t="s">
        <v>2584</v>
      </c>
      <c r="C10" t="s">
        <v>2600</v>
      </c>
      <c r="D10" t="s">
        <v>2601</v>
      </c>
    </row>
    <row r="11" ht="11.25" customHeight="1">
      <c r="A11">
        <v>10</v>
      </c>
      <c r="B11" t="s">
        <v>2584</v>
      </c>
      <c r="C11" t="s">
        <v>2602</v>
      </c>
      <c r="D11" t="s">
        <v>2603</v>
      </c>
    </row>
    <row r="12" ht="11.25" customHeight="1">
      <c r="A12">
        <v>11</v>
      </c>
      <c r="B12" t="s">
        <v>2584</v>
      </c>
      <c r="C12" t="s">
        <v>2604</v>
      </c>
      <c r="D12" t="s">
        <v>2605</v>
      </c>
    </row>
    <row r="13" ht="11.25" customHeight="1">
      <c r="A13">
        <v>13</v>
      </c>
      <c r="B13" t="s">
        <v>2584</v>
      </c>
      <c r="C13" t="s">
        <v>2606</v>
      </c>
      <c r="D13" t="s">
        <v>2607</v>
      </c>
    </row>
    <row r="14" ht="11.25" customHeight="1">
      <c r="A14">
        <v>14</v>
      </c>
      <c r="B14" t="s">
        <v>2584</v>
      </c>
      <c r="C14" t="s">
        <v>2608</v>
      </c>
      <c r="D14" t="s">
        <v>2609</v>
      </c>
    </row>
    <row r="15" ht="11.25" customHeight="1">
      <c r="A15">
        <v>15</v>
      </c>
      <c r="B15" t="s">
        <v>2584</v>
      </c>
      <c r="C15" t="s">
        <v>2610</v>
      </c>
      <c r="D15" t="s">
        <v>2611</v>
      </c>
    </row>
    <row r="16" ht="11.25" customHeight="1">
      <c r="A16">
        <v>16</v>
      </c>
      <c r="B16" t="s">
        <v>2584</v>
      </c>
      <c r="C16" t="s">
        <v>2612</v>
      </c>
      <c r="D16" t="s">
        <v>2613</v>
      </c>
    </row>
    <row r="17" ht="11.25" customHeight="1">
      <c r="A17">
        <v>17</v>
      </c>
      <c r="B17" t="s">
        <v>2584</v>
      </c>
      <c r="C17" t="s">
        <v>2614</v>
      </c>
      <c r="D17" t="s">
        <v>2615</v>
      </c>
    </row>
    <row r="18" ht="11.25" customHeight="1">
      <c r="A18">
        <v>18</v>
      </c>
      <c r="B18" t="s">
        <v>2584</v>
      </c>
      <c r="C18" t="s">
        <v>2616</v>
      </c>
      <c r="D18" t="s">
        <v>2617</v>
      </c>
    </row>
    <row r="19" ht="11.25" customHeight="1">
      <c r="A19">
        <v>19</v>
      </c>
      <c r="B19" t="s">
        <v>2584</v>
      </c>
      <c r="C19" t="s">
        <v>2618</v>
      </c>
      <c r="D19" t="s">
        <v>2619</v>
      </c>
    </row>
    <row r="20" ht="11.25" customHeight="1">
      <c r="A20">
        <v>20</v>
      </c>
      <c r="B20" t="s">
        <v>2584</v>
      </c>
      <c r="C20" t="s">
        <v>2620</v>
      </c>
      <c r="D20" t="s">
        <v>2621</v>
      </c>
    </row>
    <row r="21" ht="11.25" customHeight="1">
      <c r="A21">
        <v>21</v>
      </c>
      <c r="B21" t="s">
        <v>2622</v>
      </c>
      <c r="C21" t="s">
        <v>2623</v>
      </c>
      <c r="D21" t="s">
        <v>2624</v>
      </c>
    </row>
    <row r="22" ht="11.25" customHeight="1">
      <c r="A22">
        <v>22</v>
      </c>
      <c r="B22" t="s">
        <v>2622</v>
      </c>
      <c r="C22" t="s">
        <v>2622</v>
      </c>
      <c r="D22" t="s">
        <v>2625</v>
      </c>
    </row>
    <row r="23" ht="11.25" customHeight="1">
      <c r="A23">
        <v>23</v>
      </c>
      <c r="B23" t="s">
        <v>2622</v>
      </c>
      <c r="C23" t="s">
        <v>2626</v>
      </c>
      <c r="D23" t="s">
        <v>2627</v>
      </c>
    </row>
    <row r="24" ht="11.25" customHeight="1">
      <c r="A24">
        <v>24</v>
      </c>
      <c r="B24" t="s">
        <v>2622</v>
      </c>
      <c r="C24" t="s">
        <v>2628</v>
      </c>
      <c r="D24" t="s">
        <v>2629</v>
      </c>
    </row>
    <row r="25" ht="11.25" customHeight="1">
      <c r="A25">
        <v>25</v>
      </c>
      <c r="B25" t="s">
        <v>2622</v>
      </c>
      <c r="C25" t="s">
        <v>2630</v>
      </c>
      <c r="D25" t="s">
        <v>2631</v>
      </c>
    </row>
    <row r="26" ht="11.25" customHeight="1">
      <c r="A26">
        <v>26</v>
      </c>
      <c r="B26" t="s">
        <v>2622</v>
      </c>
      <c r="C26" t="s">
        <v>2632</v>
      </c>
      <c r="D26" t="s">
        <v>2633</v>
      </c>
    </row>
    <row r="27" ht="11.25" customHeight="1">
      <c r="A27">
        <v>27</v>
      </c>
      <c r="B27" t="s">
        <v>2622</v>
      </c>
      <c r="C27" t="s">
        <v>2634</v>
      </c>
      <c r="D27" t="s">
        <v>2635</v>
      </c>
    </row>
    <row r="28" ht="11.25" customHeight="1">
      <c r="A28">
        <v>28</v>
      </c>
      <c r="B28" t="s">
        <v>2622</v>
      </c>
      <c r="C28" t="s">
        <v>2636</v>
      </c>
      <c r="D28" t="s">
        <v>2637</v>
      </c>
    </row>
    <row r="29" ht="11.25" customHeight="1">
      <c r="A29">
        <v>29</v>
      </c>
      <c r="B29" t="s">
        <v>2622</v>
      </c>
      <c r="C29" t="s">
        <v>2638</v>
      </c>
      <c r="D29" t="s">
        <v>2639</v>
      </c>
    </row>
    <row r="30" ht="11.25" customHeight="1">
      <c r="A30">
        <v>30</v>
      </c>
      <c r="B30" t="s">
        <v>2622</v>
      </c>
      <c r="C30" t="s">
        <v>2640</v>
      </c>
      <c r="D30" t="s">
        <v>2641</v>
      </c>
    </row>
    <row r="31" ht="11.25" customHeight="1">
      <c r="A31">
        <v>31</v>
      </c>
      <c r="B31" t="s">
        <v>2622</v>
      </c>
      <c r="C31" t="s">
        <v>2642</v>
      </c>
      <c r="D31" t="s">
        <v>2643</v>
      </c>
    </row>
    <row r="32" ht="11.25" customHeight="1">
      <c r="A32">
        <v>32</v>
      </c>
      <c r="B32" t="s">
        <v>2644</v>
      </c>
      <c r="C32" t="s">
        <v>2644</v>
      </c>
      <c r="D32" t="s">
        <v>2645</v>
      </c>
    </row>
    <row r="33" ht="11.25" customHeight="1">
      <c r="A33">
        <v>33</v>
      </c>
      <c r="B33" t="s">
        <v>2644</v>
      </c>
      <c r="C33" t="s">
        <v>2646</v>
      </c>
      <c r="D33" t="s">
        <v>2647</v>
      </c>
    </row>
    <row r="34" ht="11.25" customHeight="1">
      <c r="A34">
        <v>34</v>
      </c>
      <c r="B34" t="s">
        <v>2644</v>
      </c>
      <c r="C34" t="s">
        <v>2648</v>
      </c>
      <c r="D34" t="s">
        <v>2649</v>
      </c>
    </row>
    <row r="35" ht="11.25" customHeight="1">
      <c r="A35">
        <v>35</v>
      </c>
      <c r="B35" t="s">
        <v>2644</v>
      </c>
      <c r="C35" t="s">
        <v>2650</v>
      </c>
      <c r="D35" t="s">
        <v>2651</v>
      </c>
    </row>
    <row r="36" ht="11.25" customHeight="1">
      <c r="A36">
        <v>36</v>
      </c>
      <c r="B36" t="s">
        <v>2644</v>
      </c>
      <c r="C36" t="s">
        <v>2652</v>
      </c>
      <c r="D36" t="s">
        <v>2653</v>
      </c>
    </row>
    <row r="37" ht="11.25" customHeight="1">
      <c r="A37">
        <v>37</v>
      </c>
      <c r="B37" t="s">
        <v>2644</v>
      </c>
      <c r="C37" t="s">
        <v>2654</v>
      </c>
      <c r="D37" t="s">
        <v>2655</v>
      </c>
    </row>
    <row r="38" ht="11.25" customHeight="1">
      <c r="A38">
        <v>38</v>
      </c>
      <c r="B38" t="s">
        <v>2644</v>
      </c>
      <c r="C38" t="s">
        <v>2610</v>
      </c>
      <c r="D38" t="s">
        <v>2656</v>
      </c>
    </row>
    <row r="39" ht="11.25" customHeight="1">
      <c r="A39">
        <v>39</v>
      </c>
      <c r="B39" t="s">
        <v>2644</v>
      </c>
      <c r="C39" t="s">
        <v>2657</v>
      </c>
      <c r="D39" t="s">
        <v>2658</v>
      </c>
    </row>
    <row r="40" ht="11.25" customHeight="1">
      <c r="A40">
        <v>40</v>
      </c>
      <c r="B40" t="s">
        <v>2644</v>
      </c>
      <c r="C40" t="s">
        <v>2659</v>
      </c>
      <c r="D40" t="s">
        <v>2660</v>
      </c>
    </row>
    <row r="41" ht="11.25" customHeight="1">
      <c r="A41">
        <v>41</v>
      </c>
      <c r="B41" t="s">
        <v>2661</v>
      </c>
      <c r="C41" t="s">
        <v>2661</v>
      </c>
      <c r="D41" t="s">
        <v>2662</v>
      </c>
    </row>
    <row r="42" ht="11.25" customHeight="1">
      <c r="A42">
        <v>42</v>
      </c>
      <c r="B42" t="s">
        <v>2661</v>
      </c>
      <c r="C42" t="s">
        <v>2663</v>
      </c>
      <c r="D42" t="s">
        <v>2664</v>
      </c>
    </row>
    <row r="43" ht="11.25" customHeight="1">
      <c r="A43">
        <v>43</v>
      </c>
      <c r="B43" t="s">
        <v>2661</v>
      </c>
      <c r="C43" t="s">
        <v>2665</v>
      </c>
      <c r="D43" t="s">
        <v>2666</v>
      </c>
    </row>
    <row r="44" ht="11.25" customHeight="1">
      <c r="A44">
        <v>44</v>
      </c>
      <c r="B44" t="s">
        <v>2661</v>
      </c>
      <c r="C44" t="s">
        <v>2667</v>
      </c>
      <c r="D44" t="s">
        <v>2668</v>
      </c>
    </row>
    <row r="45" ht="11.25" customHeight="1">
      <c r="A45">
        <v>45</v>
      </c>
      <c r="B45" t="s">
        <v>2661</v>
      </c>
      <c r="C45" t="s">
        <v>2669</v>
      </c>
      <c r="D45" t="s">
        <v>2670</v>
      </c>
    </row>
    <row r="46" ht="11.25" customHeight="1">
      <c r="A46">
        <v>46</v>
      </c>
      <c r="B46" t="s">
        <v>2661</v>
      </c>
      <c r="C46" t="s">
        <v>2671</v>
      </c>
      <c r="D46" t="s">
        <v>2672</v>
      </c>
    </row>
    <row r="47" ht="11.25" customHeight="1">
      <c r="A47">
        <v>47</v>
      </c>
      <c r="B47" t="s">
        <v>2661</v>
      </c>
      <c r="C47" t="s">
        <v>2673</v>
      </c>
      <c r="D47" t="s">
        <v>2674</v>
      </c>
    </row>
    <row r="48" ht="11.25" customHeight="1">
      <c r="A48">
        <v>48</v>
      </c>
      <c r="B48" t="s">
        <v>2661</v>
      </c>
      <c r="C48" t="s">
        <v>2675</v>
      </c>
      <c r="D48" t="s">
        <v>2676</v>
      </c>
    </row>
    <row r="49" ht="11.25" customHeight="1">
      <c r="A49">
        <v>49</v>
      </c>
      <c r="B49" t="s">
        <v>2661</v>
      </c>
      <c r="C49" t="s">
        <v>2677</v>
      </c>
      <c r="D49" t="s">
        <v>2678</v>
      </c>
    </row>
    <row r="50" ht="11.25" customHeight="1">
      <c r="A50">
        <v>50</v>
      </c>
      <c r="B50" t="s">
        <v>2661</v>
      </c>
      <c r="C50" t="s">
        <v>2679</v>
      </c>
      <c r="D50" t="s">
        <v>2680</v>
      </c>
    </row>
    <row r="51" ht="11.25" customHeight="1">
      <c r="A51">
        <v>51</v>
      </c>
      <c r="B51" t="s">
        <v>2661</v>
      </c>
      <c r="C51" t="s">
        <v>2681</v>
      </c>
      <c r="D51" t="s">
        <v>2682</v>
      </c>
    </row>
    <row r="52" ht="11.25" customHeight="1">
      <c r="A52">
        <v>52</v>
      </c>
      <c r="B52" t="s">
        <v>2661</v>
      </c>
      <c r="C52" t="s">
        <v>2683</v>
      </c>
      <c r="D52" t="s">
        <v>2684</v>
      </c>
    </row>
    <row r="53" ht="11.25" customHeight="1">
      <c r="A53">
        <v>53</v>
      </c>
      <c r="B53" t="s">
        <v>2661</v>
      </c>
      <c r="C53" t="s">
        <v>2685</v>
      </c>
      <c r="D53" t="s">
        <v>2686</v>
      </c>
    </row>
    <row r="54" ht="11.25" customHeight="1">
      <c r="A54">
        <v>54</v>
      </c>
      <c r="B54" t="s">
        <v>2661</v>
      </c>
      <c r="C54" t="s">
        <v>2687</v>
      </c>
      <c r="D54" t="s">
        <v>2688</v>
      </c>
    </row>
    <row r="55" ht="11.25" customHeight="1">
      <c r="A55">
        <v>55</v>
      </c>
      <c r="B55" t="s">
        <v>2661</v>
      </c>
      <c r="C55" t="s">
        <v>2689</v>
      </c>
      <c r="D55" t="s">
        <v>2690</v>
      </c>
    </row>
    <row r="56" ht="11.25" customHeight="1">
      <c r="A56">
        <v>56</v>
      </c>
      <c r="B56" t="s">
        <v>2661</v>
      </c>
      <c r="C56" t="s">
        <v>2691</v>
      </c>
      <c r="D56" t="s">
        <v>2692</v>
      </c>
    </row>
    <row r="57" ht="11.25" customHeight="1">
      <c r="A57">
        <v>57</v>
      </c>
      <c r="B57" t="s">
        <v>2693</v>
      </c>
      <c r="C57" t="s">
        <v>2694</v>
      </c>
      <c r="D57" t="s">
        <v>2695</v>
      </c>
    </row>
    <row r="58" ht="11.25" customHeight="1">
      <c r="A58">
        <v>58</v>
      </c>
      <c r="B58" t="s">
        <v>2693</v>
      </c>
      <c r="C58" t="s">
        <v>2693</v>
      </c>
      <c r="D58" t="s">
        <v>2696</v>
      </c>
    </row>
    <row r="59" ht="11.25" customHeight="1">
      <c r="A59">
        <v>59</v>
      </c>
      <c r="B59" t="s">
        <v>2693</v>
      </c>
      <c r="C59" t="s">
        <v>2697</v>
      </c>
      <c r="D59" t="s">
        <v>2698</v>
      </c>
    </row>
    <row r="60" ht="11.25" customHeight="1">
      <c r="A60">
        <v>60</v>
      </c>
      <c r="B60" t="s">
        <v>2693</v>
      </c>
      <c r="C60" t="s">
        <v>2699</v>
      </c>
      <c r="D60" t="s">
        <v>2700</v>
      </c>
    </row>
    <row r="61" ht="11.25" customHeight="1">
      <c r="A61">
        <v>61</v>
      </c>
      <c r="B61" t="s">
        <v>2693</v>
      </c>
      <c r="C61" t="s">
        <v>2701</v>
      </c>
      <c r="D61" t="s">
        <v>2702</v>
      </c>
    </row>
    <row r="62" ht="11.25" customHeight="1">
      <c r="A62">
        <v>62</v>
      </c>
      <c r="B62" t="s">
        <v>2693</v>
      </c>
      <c r="C62" t="s">
        <v>2703</v>
      </c>
      <c r="D62" t="s">
        <v>2704</v>
      </c>
    </row>
    <row r="63" ht="11.25" customHeight="1">
      <c r="A63">
        <v>63</v>
      </c>
      <c r="B63" t="s">
        <v>2693</v>
      </c>
      <c r="C63" t="s">
        <v>2705</v>
      </c>
      <c r="D63" t="s">
        <v>2706</v>
      </c>
    </row>
    <row r="64" ht="11.25" customHeight="1">
      <c r="A64">
        <v>64</v>
      </c>
      <c r="B64" t="s">
        <v>2693</v>
      </c>
      <c r="C64" t="s">
        <v>2707</v>
      </c>
      <c r="D64" t="s">
        <v>2708</v>
      </c>
    </row>
    <row r="65" ht="11.25" customHeight="1">
      <c r="A65">
        <v>65</v>
      </c>
      <c r="B65" t="s">
        <v>2693</v>
      </c>
      <c r="C65" t="s">
        <v>2709</v>
      </c>
      <c r="D65" t="s">
        <v>2710</v>
      </c>
    </row>
    <row r="66" ht="11.25" customHeight="1">
      <c r="A66">
        <v>66</v>
      </c>
      <c r="B66" t="s">
        <v>2693</v>
      </c>
      <c r="C66" t="s">
        <v>2711</v>
      </c>
      <c r="D66" t="s">
        <v>2712</v>
      </c>
    </row>
    <row r="67" ht="11.25" customHeight="1">
      <c r="A67">
        <v>67</v>
      </c>
      <c r="B67" t="s">
        <v>2693</v>
      </c>
      <c r="C67" t="s">
        <v>2713</v>
      </c>
      <c r="D67" t="s">
        <v>2714</v>
      </c>
    </row>
    <row r="68" ht="11.25" customHeight="1">
      <c r="A68">
        <v>68</v>
      </c>
      <c r="B68" t="s">
        <v>2693</v>
      </c>
      <c r="C68" t="s">
        <v>2715</v>
      </c>
      <c r="D68" t="s">
        <v>2716</v>
      </c>
    </row>
    <row r="69" ht="11.25" customHeight="1">
      <c r="A69">
        <v>69</v>
      </c>
      <c r="B69" t="s">
        <v>2693</v>
      </c>
      <c r="C69" t="s">
        <v>2717</v>
      </c>
      <c r="D69" t="s">
        <v>2718</v>
      </c>
    </row>
    <row r="70" ht="11.25" customHeight="1">
      <c r="A70">
        <v>70</v>
      </c>
      <c r="B70" t="s">
        <v>2719</v>
      </c>
      <c r="C70" t="s">
        <v>2719</v>
      </c>
      <c r="D70" t="s">
        <v>2720</v>
      </c>
    </row>
    <row r="71" ht="11.25" customHeight="1">
      <c r="A71">
        <v>71</v>
      </c>
      <c r="B71" t="s">
        <v>2719</v>
      </c>
      <c r="C71" t="s">
        <v>2721</v>
      </c>
      <c r="D71" t="s">
        <v>2722</v>
      </c>
    </row>
    <row r="72" ht="11.25" customHeight="1">
      <c r="A72">
        <v>72</v>
      </c>
      <c r="B72" t="s">
        <v>2719</v>
      </c>
      <c r="C72" t="s">
        <v>2723</v>
      </c>
      <c r="D72" t="s">
        <v>2724</v>
      </c>
    </row>
    <row r="73" ht="11.25" customHeight="1">
      <c r="A73">
        <v>73</v>
      </c>
      <c r="B73" t="s">
        <v>2719</v>
      </c>
      <c r="C73" t="s">
        <v>2725</v>
      </c>
      <c r="D73" t="s">
        <v>2726</v>
      </c>
    </row>
    <row r="74" ht="11.25" customHeight="1">
      <c r="A74">
        <v>74</v>
      </c>
      <c r="B74" t="s">
        <v>2719</v>
      </c>
      <c r="C74" t="s">
        <v>2727</v>
      </c>
      <c r="D74" t="s">
        <v>2728</v>
      </c>
    </row>
    <row r="75" ht="11.25" customHeight="1">
      <c r="A75">
        <v>75</v>
      </c>
      <c r="B75" t="s">
        <v>2719</v>
      </c>
      <c r="C75" t="s">
        <v>2729</v>
      </c>
      <c r="D75" t="s">
        <v>2730</v>
      </c>
    </row>
    <row r="76" ht="11.25" customHeight="1">
      <c r="A76">
        <v>76</v>
      </c>
      <c r="B76" t="s">
        <v>2719</v>
      </c>
      <c r="C76" t="s">
        <v>2731</v>
      </c>
      <c r="D76" t="s">
        <v>2732</v>
      </c>
    </row>
    <row r="77" ht="11.25" customHeight="1">
      <c r="A77">
        <v>77</v>
      </c>
      <c r="B77" t="s">
        <v>2719</v>
      </c>
      <c r="C77" t="s">
        <v>2733</v>
      </c>
      <c r="D77" t="s">
        <v>2734</v>
      </c>
    </row>
    <row r="78" ht="11.25" customHeight="1">
      <c r="A78">
        <v>78</v>
      </c>
      <c r="B78" t="s">
        <v>2719</v>
      </c>
      <c r="C78" t="s">
        <v>2735</v>
      </c>
      <c r="D78" t="s">
        <v>2736</v>
      </c>
    </row>
    <row r="79" ht="11.25" customHeight="1">
      <c r="A79">
        <v>79</v>
      </c>
      <c r="B79" t="s">
        <v>2719</v>
      </c>
      <c r="C79" t="s">
        <v>2737</v>
      </c>
      <c r="D79" t="s">
        <v>2738</v>
      </c>
    </row>
    <row r="80" ht="11.25" customHeight="1">
      <c r="A80">
        <v>80</v>
      </c>
      <c r="B80" t="s">
        <v>2739</v>
      </c>
      <c r="C80" t="s">
        <v>2740</v>
      </c>
      <c r="D80" t="s">
        <v>2741</v>
      </c>
    </row>
    <row r="81" ht="11.25" customHeight="1">
      <c r="A81">
        <v>81</v>
      </c>
      <c r="B81" t="s">
        <v>2739</v>
      </c>
      <c r="C81" t="s">
        <v>2739</v>
      </c>
      <c r="D81" t="s">
        <v>2742</v>
      </c>
    </row>
    <row r="82" ht="11.25" customHeight="1">
      <c r="A82">
        <v>82</v>
      </c>
      <c r="B82" t="s">
        <v>2739</v>
      </c>
      <c r="C82" t="s">
        <v>2743</v>
      </c>
      <c r="D82" t="s">
        <v>2744</v>
      </c>
    </row>
    <row r="83" ht="11.25" customHeight="1">
      <c r="A83">
        <v>83</v>
      </c>
      <c r="B83" t="s">
        <v>2739</v>
      </c>
      <c r="C83" t="s">
        <v>2745</v>
      </c>
      <c r="D83" t="s">
        <v>2746</v>
      </c>
    </row>
    <row r="84" ht="11.25" customHeight="1">
      <c r="A84">
        <v>84</v>
      </c>
      <c r="B84" t="s">
        <v>2739</v>
      </c>
      <c r="C84" t="s">
        <v>2747</v>
      </c>
      <c r="D84" t="s">
        <v>2748</v>
      </c>
    </row>
    <row r="85" ht="11.25" customHeight="1">
      <c r="A85">
        <v>85</v>
      </c>
      <c r="B85" t="s">
        <v>2739</v>
      </c>
      <c r="C85" t="s">
        <v>2749</v>
      </c>
      <c r="D85" t="s">
        <v>2750</v>
      </c>
    </row>
    <row r="86" ht="11.25" customHeight="1">
      <c r="A86">
        <v>86</v>
      </c>
      <c r="B86" t="s">
        <v>2739</v>
      </c>
      <c r="C86" t="s">
        <v>2751</v>
      </c>
      <c r="D86" t="s">
        <v>2752</v>
      </c>
    </row>
    <row r="87" ht="11.25" customHeight="1">
      <c r="A87">
        <v>87</v>
      </c>
      <c r="B87" t="s">
        <v>2739</v>
      </c>
      <c r="C87" t="s">
        <v>2753</v>
      </c>
      <c r="D87" t="s">
        <v>2754</v>
      </c>
    </row>
    <row r="88" ht="11.25" customHeight="1">
      <c r="A88">
        <v>88</v>
      </c>
      <c r="B88" t="s">
        <v>2739</v>
      </c>
      <c r="C88" t="s">
        <v>2755</v>
      </c>
      <c r="D88" t="s">
        <v>2756</v>
      </c>
    </row>
    <row r="89" ht="11.25" customHeight="1">
      <c r="A89">
        <v>89</v>
      </c>
      <c r="B89" t="s">
        <v>2757</v>
      </c>
      <c r="C89" t="s">
        <v>2758</v>
      </c>
      <c r="D89" t="s">
        <v>2759</v>
      </c>
    </row>
    <row r="90" ht="11.25" customHeight="1">
      <c r="A90">
        <v>90</v>
      </c>
      <c r="B90" t="s">
        <v>2757</v>
      </c>
      <c r="C90" t="s">
        <v>2760</v>
      </c>
      <c r="D90" t="s">
        <v>2761</v>
      </c>
    </row>
    <row r="91" ht="11.25" customHeight="1">
      <c r="A91">
        <v>91</v>
      </c>
      <c r="B91" t="s">
        <v>2757</v>
      </c>
      <c r="C91" t="s">
        <v>2757</v>
      </c>
      <c r="D91" t="s">
        <v>2762</v>
      </c>
    </row>
    <row r="92" ht="11.25" customHeight="1">
      <c r="A92">
        <v>92</v>
      </c>
      <c r="B92" t="s">
        <v>2757</v>
      </c>
      <c r="C92" t="s">
        <v>2763</v>
      </c>
      <c r="D92" t="s">
        <v>2764</v>
      </c>
    </row>
    <row r="93" ht="11.25" customHeight="1">
      <c r="A93">
        <v>93</v>
      </c>
      <c r="B93" t="s">
        <v>2757</v>
      </c>
      <c r="C93" t="s">
        <v>2765</v>
      </c>
      <c r="D93" t="s">
        <v>2766</v>
      </c>
    </row>
    <row r="94" ht="11.25" customHeight="1">
      <c r="A94">
        <v>94</v>
      </c>
      <c r="B94" t="s">
        <v>2757</v>
      </c>
      <c r="C94" t="s">
        <v>2767</v>
      </c>
      <c r="D94" t="s">
        <v>2768</v>
      </c>
    </row>
    <row r="95" ht="11.25" customHeight="1">
      <c r="A95">
        <v>95</v>
      </c>
      <c r="B95" t="s">
        <v>2757</v>
      </c>
      <c r="C95" t="s">
        <v>2769</v>
      </c>
      <c r="D95" t="s">
        <v>2770</v>
      </c>
    </row>
    <row r="96" ht="11.25" customHeight="1">
      <c r="A96">
        <v>96</v>
      </c>
      <c r="B96" t="s">
        <v>2757</v>
      </c>
      <c r="C96" t="s">
        <v>2771</v>
      </c>
      <c r="D96" t="s">
        <v>2772</v>
      </c>
    </row>
    <row r="97" ht="11.25" customHeight="1">
      <c r="A97">
        <v>97</v>
      </c>
      <c r="B97" t="s">
        <v>2757</v>
      </c>
      <c r="C97" t="s">
        <v>2773</v>
      </c>
      <c r="D97" t="s">
        <v>2774</v>
      </c>
    </row>
    <row r="98" ht="11.25" customHeight="1">
      <c r="A98">
        <v>98</v>
      </c>
      <c r="B98" t="s">
        <v>2757</v>
      </c>
      <c r="C98" t="s">
        <v>2775</v>
      </c>
      <c r="D98" t="s">
        <v>2776</v>
      </c>
    </row>
    <row r="99" ht="11.25" customHeight="1">
      <c r="A99">
        <v>99</v>
      </c>
      <c r="B99" t="s">
        <v>2757</v>
      </c>
      <c r="C99" t="s">
        <v>2777</v>
      </c>
      <c r="D99" t="s">
        <v>2778</v>
      </c>
    </row>
    <row r="100" ht="11.25" customHeight="1">
      <c r="A100">
        <v>100</v>
      </c>
      <c r="B100" t="s">
        <v>2757</v>
      </c>
      <c r="C100" t="s">
        <v>2779</v>
      </c>
      <c r="D100" t="s">
        <v>2780</v>
      </c>
    </row>
    <row r="101" ht="11.25" customHeight="1">
      <c r="A101">
        <v>101</v>
      </c>
      <c r="B101" t="s">
        <v>2781</v>
      </c>
      <c r="C101" t="s">
        <v>2781</v>
      </c>
      <c r="D101" t="s">
        <v>2782</v>
      </c>
    </row>
    <row r="102" ht="11.25" customHeight="1">
      <c r="A102">
        <v>102</v>
      </c>
      <c r="B102" t="s">
        <v>2783</v>
      </c>
      <c r="C102" t="s">
        <v>2783</v>
      </c>
      <c r="D102" t="s">
        <v>2784</v>
      </c>
    </row>
    <row r="103" ht="11.25" customHeight="1">
      <c r="A103">
        <v>103</v>
      </c>
      <c r="B103" t="s">
        <v>2785</v>
      </c>
      <c r="C103" t="s">
        <v>2785</v>
      </c>
      <c r="D103" t="s">
        <v>2786</v>
      </c>
    </row>
    <row r="104" ht="11.25" customHeight="1">
      <c r="A104">
        <v>104</v>
      </c>
      <c r="B104" t="s">
        <v>2787</v>
      </c>
      <c r="C104" t="s">
        <v>2787</v>
      </c>
      <c r="D104" t="s">
        <v>2788</v>
      </c>
    </row>
    <row r="105" ht="11.25" customHeight="1">
      <c r="A105">
        <v>105</v>
      </c>
      <c r="B105" t="s">
        <v>2789</v>
      </c>
      <c r="C105" t="s">
        <v>2789</v>
      </c>
      <c r="D105" t="s">
        <v>2790</v>
      </c>
    </row>
    <row r="106" ht="11.25" customHeight="1">
      <c r="A106">
        <v>106</v>
      </c>
      <c r="B106" t="s">
        <v>2791</v>
      </c>
      <c r="C106" t="s">
        <v>2791</v>
      </c>
      <c r="D106" t="s">
        <v>2792</v>
      </c>
    </row>
    <row r="107" ht="11.25" customHeight="1">
      <c r="A107">
        <v>107</v>
      </c>
      <c r="B107" t="s">
        <v>2793</v>
      </c>
      <c r="C107" t="s">
        <v>2793</v>
      </c>
      <c r="D107" t="s">
        <v>2794</v>
      </c>
    </row>
    <row r="108" ht="11.25" customHeight="1">
      <c r="A108">
        <v>108</v>
      </c>
      <c r="B108" t="s">
        <v>2795</v>
      </c>
      <c r="C108" t="s">
        <v>2795</v>
      </c>
      <c r="D108" t="s">
        <v>2796</v>
      </c>
    </row>
    <row r="109" ht="11.25" customHeight="1">
      <c r="A109">
        <v>109</v>
      </c>
      <c r="B109" t="s">
        <v>2797</v>
      </c>
      <c r="C109" t="s">
        <v>2797</v>
      </c>
      <c r="D109" t="s">
        <v>2798</v>
      </c>
    </row>
    <row r="110" ht="11.25" customHeight="1">
      <c r="A110">
        <v>110</v>
      </c>
      <c r="B110" t="s">
        <v>2799</v>
      </c>
      <c r="C110" t="s">
        <v>2799</v>
      </c>
      <c r="D110" t="s">
        <v>2800</v>
      </c>
    </row>
    <row r="111" ht="11.25" customHeight="1">
      <c r="A111">
        <v>111</v>
      </c>
      <c r="B111" t="s">
        <v>2799</v>
      </c>
      <c r="C111" t="s">
        <v>2801</v>
      </c>
      <c r="D111" t="s">
        <v>2802</v>
      </c>
    </row>
    <row r="112" ht="11.25" customHeight="1">
      <c r="A112">
        <v>112</v>
      </c>
      <c r="B112" t="s">
        <v>2799</v>
      </c>
      <c r="C112" t="s">
        <v>2803</v>
      </c>
      <c r="D112" t="s">
        <v>2804</v>
      </c>
    </row>
    <row r="113" ht="11.25" customHeight="1">
      <c r="A113">
        <v>113</v>
      </c>
      <c r="B113" t="s">
        <v>2799</v>
      </c>
      <c r="C113" t="s">
        <v>2805</v>
      </c>
      <c r="D113" t="s">
        <v>2806</v>
      </c>
    </row>
    <row r="114" ht="11.25" customHeight="1">
      <c r="A114">
        <v>114</v>
      </c>
      <c r="B114" t="s">
        <v>2799</v>
      </c>
      <c r="C114" t="s">
        <v>2807</v>
      </c>
      <c r="D114" t="s">
        <v>2808</v>
      </c>
    </row>
    <row r="115" ht="11.25" customHeight="1">
      <c r="A115">
        <v>115</v>
      </c>
      <c r="B115" t="s">
        <v>2799</v>
      </c>
      <c r="C115" t="s">
        <v>2683</v>
      </c>
      <c r="D115" t="s">
        <v>2809</v>
      </c>
    </row>
    <row r="116" ht="11.25" customHeight="1">
      <c r="A116">
        <v>116</v>
      </c>
      <c r="B116" t="s">
        <v>2799</v>
      </c>
      <c r="C116" t="s">
        <v>2687</v>
      </c>
      <c r="D116" t="s">
        <v>2810</v>
      </c>
    </row>
    <row r="117" ht="11.25" customHeight="1">
      <c r="A117">
        <v>117</v>
      </c>
      <c r="B117" t="s">
        <v>2799</v>
      </c>
      <c r="C117" t="s">
        <v>2811</v>
      </c>
      <c r="D117" t="s">
        <v>2812</v>
      </c>
    </row>
    <row r="118" ht="11.25" customHeight="1">
      <c r="A118">
        <v>118</v>
      </c>
      <c r="B118" t="s">
        <v>2799</v>
      </c>
      <c r="C118" t="s">
        <v>2813</v>
      </c>
      <c r="D118" t="s">
        <v>2814</v>
      </c>
    </row>
    <row r="119" ht="11.25" customHeight="1">
      <c r="A119">
        <v>119</v>
      </c>
      <c r="B119" t="s">
        <v>2815</v>
      </c>
      <c r="C119" t="s">
        <v>2816</v>
      </c>
      <c r="D119" t="s">
        <v>2817</v>
      </c>
    </row>
    <row r="120" ht="11.25" customHeight="1">
      <c r="A120">
        <v>120</v>
      </c>
      <c r="B120" t="s">
        <v>2815</v>
      </c>
      <c r="C120" t="s">
        <v>2815</v>
      </c>
      <c r="D120" t="s">
        <v>2818</v>
      </c>
    </row>
    <row r="121" ht="11.25" customHeight="1">
      <c r="A121">
        <v>121</v>
      </c>
      <c r="B121" t="s">
        <v>2815</v>
      </c>
      <c r="C121" t="s">
        <v>2819</v>
      </c>
      <c r="D121" t="s">
        <v>2820</v>
      </c>
    </row>
    <row r="122" ht="11.25" customHeight="1">
      <c r="A122">
        <v>122</v>
      </c>
      <c r="B122" t="s">
        <v>2815</v>
      </c>
      <c r="C122" t="s">
        <v>2821</v>
      </c>
      <c r="D122" t="s">
        <v>2822</v>
      </c>
    </row>
    <row r="123" ht="11.25" customHeight="1">
      <c r="A123">
        <v>123</v>
      </c>
      <c r="B123" t="s">
        <v>2815</v>
      </c>
      <c r="C123" t="s">
        <v>2823</v>
      </c>
      <c r="D123" t="s">
        <v>2824</v>
      </c>
    </row>
    <row r="124" ht="11.25" customHeight="1">
      <c r="A124">
        <v>124</v>
      </c>
      <c r="B124" t="s">
        <v>2815</v>
      </c>
      <c r="C124" t="s">
        <v>2825</v>
      </c>
      <c r="D124" t="s">
        <v>2826</v>
      </c>
    </row>
    <row r="125" ht="11.25" customHeight="1">
      <c r="A125">
        <v>125</v>
      </c>
      <c r="B125" t="s">
        <v>2815</v>
      </c>
      <c r="C125" t="s">
        <v>2827</v>
      </c>
      <c r="D125" t="s">
        <v>2828</v>
      </c>
    </row>
    <row r="126" ht="11.25" customHeight="1">
      <c r="A126">
        <v>126</v>
      </c>
      <c r="B126" t="s">
        <v>2829</v>
      </c>
      <c r="C126" t="s">
        <v>2829</v>
      </c>
      <c r="D126" t="s">
        <v>2830</v>
      </c>
    </row>
    <row r="127" ht="11.25" customHeight="1">
      <c r="A127">
        <v>127</v>
      </c>
      <c r="B127" t="s">
        <v>2831</v>
      </c>
      <c r="C127" t="s">
        <v>2832</v>
      </c>
      <c r="D127" t="s">
        <v>2833</v>
      </c>
    </row>
    <row r="128" ht="11.25" customHeight="1">
      <c r="A128">
        <v>128</v>
      </c>
      <c r="B128" t="s">
        <v>2831</v>
      </c>
      <c r="C128" t="s">
        <v>2834</v>
      </c>
      <c r="D128" t="s">
        <v>2835</v>
      </c>
    </row>
    <row r="129" ht="11.25" customHeight="1">
      <c r="A129">
        <v>129</v>
      </c>
      <c r="B129" t="s">
        <v>2831</v>
      </c>
      <c r="C129" t="s">
        <v>2836</v>
      </c>
      <c r="D129" t="s">
        <v>2837</v>
      </c>
    </row>
    <row r="130" ht="11.25" customHeight="1">
      <c r="A130">
        <v>130</v>
      </c>
      <c r="B130" t="s">
        <v>2831</v>
      </c>
      <c r="C130" t="s">
        <v>2831</v>
      </c>
      <c r="D130" t="s">
        <v>2838</v>
      </c>
    </row>
    <row r="131" ht="11.25" customHeight="1">
      <c r="A131">
        <v>131</v>
      </c>
      <c r="B131" t="s">
        <v>2831</v>
      </c>
      <c r="C131" t="s">
        <v>2839</v>
      </c>
      <c r="D131" t="s">
        <v>2840</v>
      </c>
    </row>
    <row r="132" ht="11.25" customHeight="1">
      <c r="A132">
        <v>132</v>
      </c>
      <c r="B132" t="s">
        <v>2831</v>
      </c>
      <c r="C132" t="s">
        <v>2841</v>
      </c>
      <c r="D132" t="s">
        <v>2842</v>
      </c>
    </row>
    <row r="133" ht="11.25" customHeight="1">
      <c r="A133">
        <v>133</v>
      </c>
      <c r="B133" t="s">
        <v>2831</v>
      </c>
      <c r="C133" t="s">
        <v>2843</v>
      </c>
      <c r="D133" t="s">
        <v>2844</v>
      </c>
    </row>
    <row r="134" ht="11.25" customHeight="1">
      <c r="A134">
        <v>134</v>
      </c>
      <c r="B134" t="s">
        <v>2831</v>
      </c>
      <c r="C134" t="s">
        <v>2845</v>
      </c>
      <c r="D134" t="s">
        <v>2846</v>
      </c>
    </row>
    <row r="135" ht="11.25" customHeight="1">
      <c r="A135">
        <v>135</v>
      </c>
      <c r="B135" t="s">
        <v>2831</v>
      </c>
      <c r="C135" t="s">
        <v>2847</v>
      </c>
      <c r="D135" t="s">
        <v>2848</v>
      </c>
    </row>
    <row r="136" ht="11.25" customHeight="1">
      <c r="A136">
        <v>136</v>
      </c>
      <c r="B136" t="s">
        <v>2831</v>
      </c>
      <c r="C136" t="s">
        <v>2849</v>
      </c>
      <c r="D136" t="s">
        <v>2850</v>
      </c>
    </row>
    <row r="137" ht="11.25" customHeight="1">
      <c r="A137">
        <v>137</v>
      </c>
      <c r="B137" t="s">
        <v>2831</v>
      </c>
      <c r="C137" t="s">
        <v>2851</v>
      </c>
      <c r="D137" t="s">
        <v>2852</v>
      </c>
    </row>
    <row r="138" ht="11.25" customHeight="1">
      <c r="A138">
        <v>138</v>
      </c>
      <c r="B138" t="s">
        <v>2831</v>
      </c>
      <c r="C138" t="s">
        <v>2853</v>
      </c>
      <c r="D138" t="s">
        <v>2854</v>
      </c>
    </row>
    <row r="139" ht="11.25" customHeight="1">
      <c r="A139">
        <v>139</v>
      </c>
      <c r="B139" t="s">
        <v>2831</v>
      </c>
      <c r="C139" t="s">
        <v>2855</v>
      </c>
      <c r="D139" t="s">
        <v>2856</v>
      </c>
    </row>
    <row r="140" ht="11.25" customHeight="1">
      <c r="A140">
        <v>140</v>
      </c>
      <c r="B140" t="s">
        <v>2857</v>
      </c>
      <c r="C140" t="s">
        <v>2857</v>
      </c>
      <c r="D140" t="s">
        <v>2858</v>
      </c>
    </row>
    <row r="141" ht="11.25" customHeight="1">
      <c r="A141">
        <v>141</v>
      </c>
      <c r="B141" t="s">
        <v>2859</v>
      </c>
      <c r="C141" t="s">
        <v>2860</v>
      </c>
      <c r="D141" t="s">
        <v>2861</v>
      </c>
    </row>
    <row r="142" ht="11.25" customHeight="1">
      <c r="A142">
        <v>142</v>
      </c>
      <c r="B142" t="s">
        <v>2859</v>
      </c>
      <c r="C142" t="s">
        <v>2862</v>
      </c>
      <c r="D142" t="s">
        <v>2863</v>
      </c>
    </row>
    <row r="143" ht="11.25" customHeight="1">
      <c r="A143">
        <v>143</v>
      </c>
      <c r="B143" t="s">
        <v>2859</v>
      </c>
      <c r="C143" t="s">
        <v>2864</v>
      </c>
      <c r="D143" t="s">
        <v>2865</v>
      </c>
    </row>
    <row r="144" ht="11.25" customHeight="1">
      <c r="A144">
        <v>144</v>
      </c>
      <c r="B144" t="s">
        <v>2859</v>
      </c>
      <c r="C144" t="s">
        <v>2866</v>
      </c>
      <c r="D144" t="s">
        <v>2867</v>
      </c>
    </row>
    <row r="145" ht="11.25" customHeight="1">
      <c r="A145">
        <v>145</v>
      </c>
      <c r="B145" t="s">
        <v>2859</v>
      </c>
      <c r="C145" t="s">
        <v>2868</v>
      </c>
      <c r="D145" t="s">
        <v>2869</v>
      </c>
    </row>
    <row r="146" ht="11.25" customHeight="1">
      <c r="A146">
        <v>146</v>
      </c>
      <c r="B146" t="s">
        <v>2859</v>
      </c>
      <c r="C146" t="s">
        <v>2870</v>
      </c>
      <c r="D146" t="s">
        <v>2871</v>
      </c>
    </row>
    <row r="147" ht="11.25" customHeight="1">
      <c r="A147">
        <v>147</v>
      </c>
      <c r="B147" t="s">
        <v>2859</v>
      </c>
      <c r="C147" t="s">
        <v>2872</v>
      </c>
      <c r="D147" t="s">
        <v>2873</v>
      </c>
    </row>
    <row r="148" ht="11.25" customHeight="1">
      <c r="A148">
        <v>148</v>
      </c>
      <c r="B148" t="s">
        <v>2859</v>
      </c>
      <c r="C148" t="s">
        <v>2859</v>
      </c>
      <c r="D148" t="s">
        <v>2874</v>
      </c>
    </row>
    <row r="149" ht="11.25" customHeight="1">
      <c r="A149">
        <v>149</v>
      </c>
      <c r="B149" t="s">
        <v>2859</v>
      </c>
      <c r="C149" t="s">
        <v>2875</v>
      </c>
      <c r="D149" t="s">
        <v>2876</v>
      </c>
    </row>
    <row r="150" ht="11.25" customHeight="1">
      <c r="A150">
        <v>150</v>
      </c>
      <c r="B150" t="s">
        <v>2859</v>
      </c>
      <c r="C150" t="s">
        <v>2877</v>
      </c>
      <c r="D150" t="s">
        <v>2878</v>
      </c>
    </row>
    <row r="151" ht="11.25" customHeight="1">
      <c r="A151">
        <v>151</v>
      </c>
      <c r="B151" t="s">
        <v>2859</v>
      </c>
      <c r="C151" t="s">
        <v>2879</v>
      </c>
      <c r="D151" t="s">
        <v>2880</v>
      </c>
    </row>
    <row r="152" ht="11.25" customHeight="1">
      <c r="A152">
        <v>152</v>
      </c>
      <c r="B152" t="s">
        <v>2859</v>
      </c>
      <c r="C152" t="s">
        <v>2881</v>
      </c>
      <c r="D152" t="s">
        <v>2882</v>
      </c>
    </row>
    <row r="153" ht="11.25" customHeight="1">
      <c r="A153">
        <v>153</v>
      </c>
      <c r="B153" t="s">
        <v>2859</v>
      </c>
      <c r="C153" t="s">
        <v>2883</v>
      </c>
      <c r="D153" t="s">
        <v>2884</v>
      </c>
    </row>
    <row r="154" ht="11.25" customHeight="1">
      <c r="A154">
        <v>154</v>
      </c>
      <c r="B154" t="s">
        <v>2859</v>
      </c>
      <c r="C154" t="s">
        <v>2885</v>
      </c>
      <c r="D154" t="s">
        <v>2886</v>
      </c>
    </row>
    <row r="155" ht="11.25" customHeight="1">
      <c r="A155">
        <v>155</v>
      </c>
      <c r="B155" t="s">
        <v>2859</v>
      </c>
      <c r="C155" t="s">
        <v>2887</v>
      </c>
      <c r="D155" t="s">
        <v>2888</v>
      </c>
    </row>
    <row r="156" ht="11.25" customHeight="1">
      <c r="A156">
        <v>156</v>
      </c>
      <c r="B156" t="s">
        <v>2859</v>
      </c>
      <c r="C156" t="s">
        <v>2889</v>
      </c>
      <c r="D156" t="s">
        <v>2890</v>
      </c>
    </row>
    <row r="157" ht="11.25" customHeight="1">
      <c r="A157">
        <v>157</v>
      </c>
      <c r="B157" t="s">
        <v>2859</v>
      </c>
      <c r="C157" t="s">
        <v>2891</v>
      </c>
      <c r="D157" t="s">
        <v>2892</v>
      </c>
    </row>
    <row r="158" ht="11.25" customHeight="1">
      <c r="A158">
        <v>158</v>
      </c>
      <c r="B158" t="s">
        <v>2859</v>
      </c>
      <c r="C158" t="s">
        <v>2893</v>
      </c>
      <c r="D158" t="s">
        <v>2894</v>
      </c>
    </row>
    <row r="159" ht="11.25" customHeight="1">
      <c r="A159">
        <v>159</v>
      </c>
      <c r="B159" t="s">
        <v>2859</v>
      </c>
      <c r="C159" t="s">
        <v>2895</v>
      </c>
      <c r="D159" t="s">
        <v>2896</v>
      </c>
    </row>
    <row r="160" ht="11.25" customHeight="1">
      <c r="A160">
        <v>160</v>
      </c>
      <c r="B160" t="s">
        <v>2859</v>
      </c>
      <c r="C160" t="s">
        <v>2897</v>
      </c>
      <c r="D160" t="s">
        <v>2898</v>
      </c>
    </row>
    <row r="161" ht="11.25" customHeight="1">
      <c r="A161">
        <v>161</v>
      </c>
      <c r="B161" t="s">
        <v>2859</v>
      </c>
      <c r="C161" t="s">
        <v>2899</v>
      </c>
      <c r="D161" t="s">
        <v>2900</v>
      </c>
    </row>
    <row r="162" ht="11.25" customHeight="1">
      <c r="A162">
        <v>162</v>
      </c>
      <c r="B162" t="s">
        <v>2901</v>
      </c>
      <c r="C162" t="s">
        <v>2902</v>
      </c>
      <c r="D162" t="s">
        <v>2903</v>
      </c>
    </row>
    <row r="163" ht="11.25" customHeight="1">
      <c r="A163">
        <v>163</v>
      </c>
      <c r="B163" t="s">
        <v>2901</v>
      </c>
      <c r="C163" t="s">
        <v>2901</v>
      </c>
      <c r="D163" t="s">
        <v>2904</v>
      </c>
    </row>
    <row r="164" ht="11.25" customHeight="1">
      <c r="A164">
        <v>164</v>
      </c>
      <c r="B164" t="s">
        <v>2901</v>
      </c>
      <c r="C164" t="s">
        <v>2905</v>
      </c>
      <c r="D164" t="s">
        <v>2906</v>
      </c>
    </row>
    <row r="165" ht="11.25" customHeight="1">
      <c r="A165">
        <v>165</v>
      </c>
      <c r="B165" t="s">
        <v>2901</v>
      </c>
      <c r="C165" t="s">
        <v>2907</v>
      </c>
      <c r="D165" t="s">
        <v>2908</v>
      </c>
    </row>
    <row r="166" ht="11.25" customHeight="1">
      <c r="A166">
        <v>166</v>
      </c>
      <c r="B166" t="s">
        <v>2901</v>
      </c>
      <c r="C166" t="s">
        <v>2909</v>
      </c>
      <c r="D166" t="s">
        <v>2910</v>
      </c>
    </row>
    <row r="167" ht="11.25" customHeight="1">
      <c r="A167">
        <v>167</v>
      </c>
      <c r="B167" t="s">
        <v>2901</v>
      </c>
      <c r="C167" t="s">
        <v>2911</v>
      </c>
      <c r="D167" t="s">
        <v>2912</v>
      </c>
    </row>
    <row r="168" ht="11.25" customHeight="1">
      <c r="A168">
        <v>168</v>
      </c>
      <c r="B168" t="s">
        <v>2901</v>
      </c>
      <c r="C168" t="s">
        <v>2913</v>
      </c>
      <c r="D168" t="s">
        <v>2914</v>
      </c>
    </row>
    <row r="169" ht="11.25" customHeight="1">
      <c r="A169">
        <v>169</v>
      </c>
      <c r="B169" t="s">
        <v>2901</v>
      </c>
      <c r="C169" t="s">
        <v>2915</v>
      </c>
      <c r="D169" t="s">
        <v>2916</v>
      </c>
    </row>
    <row r="170" ht="11.25" customHeight="1">
      <c r="A170">
        <v>170</v>
      </c>
      <c r="B170" t="s">
        <v>2901</v>
      </c>
      <c r="C170" t="s">
        <v>2917</v>
      </c>
      <c r="D170" t="s">
        <v>2918</v>
      </c>
    </row>
    <row r="171" ht="11.25" customHeight="1">
      <c r="A171">
        <v>171</v>
      </c>
      <c r="B171" t="s">
        <v>2919</v>
      </c>
      <c r="C171" t="s">
        <v>2920</v>
      </c>
      <c r="D171" t="s">
        <v>2921</v>
      </c>
    </row>
    <row r="172" ht="11.25" customHeight="1">
      <c r="A172">
        <v>172</v>
      </c>
      <c r="B172" t="s">
        <v>2919</v>
      </c>
      <c r="C172" t="s">
        <v>2919</v>
      </c>
      <c r="D172" t="s">
        <v>2922</v>
      </c>
    </row>
    <row r="173" ht="11.25" customHeight="1">
      <c r="A173">
        <v>173</v>
      </c>
      <c r="B173" t="s">
        <v>2919</v>
      </c>
      <c r="C173" t="s">
        <v>2923</v>
      </c>
      <c r="D173" t="s">
        <v>2924</v>
      </c>
    </row>
    <row r="174" ht="11.25" customHeight="1">
      <c r="A174">
        <v>174</v>
      </c>
      <c r="B174" t="s">
        <v>2919</v>
      </c>
      <c r="C174" t="s">
        <v>2925</v>
      </c>
      <c r="D174" t="s">
        <v>2926</v>
      </c>
    </row>
    <row r="175" ht="11.25" customHeight="1">
      <c r="A175">
        <v>175</v>
      </c>
      <c r="B175" t="s">
        <v>2919</v>
      </c>
      <c r="C175" t="s">
        <v>2927</v>
      </c>
      <c r="D175" t="s">
        <v>2928</v>
      </c>
    </row>
    <row r="176" ht="11.25" customHeight="1">
      <c r="A176">
        <v>176</v>
      </c>
      <c r="B176" t="s">
        <v>2919</v>
      </c>
      <c r="C176" t="s">
        <v>2909</v>
      </c>
      <c r="D176" t="s">
        <v>2929</v>
      </c>
    </row>
    <row r="177" ht="11.25" customHeight="1">
      <c r="A177">
        <v>177</v>
      </c>
      <c r="B177" t="s">
        <v>2919</v>
      </c>
      <c r="C177" t="s">
        <v>2930</v>
      </c>
      <c r="D177" t="s">
        <v>2931</v>
      </c>
    </row>
    <row r="178" ht="11.25" customHeight="1">
      <c r="A178">
        <v>178</v>
      </c>
      <c r="B178" t="s">
        <v>2919</v>
      </c>
      <c r="C178" t="s">
        <v>2932</v>
      </c>
      <c r="D178" t="s">
        <v>2933</v>
      </c>
    </row>
    <row r="179" ht="11.25" customHeight="1">
      <c r="A179">
        <v>179</v>
      </c>
      <c r="B179" t="s">
        <v>2919</v>
      </c>
      <c r="C179" t="s">
        <v>2934</v>
      </c>
      <c r="D179" t="s">
        <v>2935</v>
      </c>
    </row>
    <row r="180" ht="11.25" customHeight="1">
      <c r="A180">
        <v>180</v>
      </c>
      <c r="B180" t="s">
        <v>2919</v>
      </c>
      <c r="C180" t="s">
        <v>2936</v>
      </c>
      <c r="D180" t="s">
        <v>2937</v>
      </c>
    </row>
    <row r="181" ht="11.25" customHeight="1">
      <c r="A181">
        <v>181</v>
      </c>
      <c r="B181" t="s">
        <v>2938</v>
      </c>
      <c r="C181" t="s">
        <v>2939</v>
      </c>
      <c r="D181" t="s">
        <v>2940</v>
      </c>
    </row>
    <row r="182" ht="11.25" customHeight="1">
      <c r="A182">
        <v>182</v>
      </c>
      <c r="B182" t="s">
        <v>2938</v>
      </c>
      <c r="C182" t="s">
        <v>2941</v>
      </c>
      <c r="D182" t="s">
        <v>2942</v>
      </c>
    </row>
    <row r="183" ht="11.25" customHeight="1">
      <c r="A183">
        <v>183</v>
      </c>
      <c r="B183" t="s">
        <v>2938</v>
      </c>
      <c r="C183" t="s">
        <v>2943</v>
      </c>
      <c r="D183" t="s">
        <v>2944</v>
      </c>
    </row>
    <row r="184" ht="11.25" customHeight="1">
      <c r="A184">
        <v>184</v>
      </c>
      <c r="B184" t="s">
        <v>2938</v>
      </c>
      <c r="C184" t="s">
        <v>2938</v>
      </c>
      <c r="D184" t="s">
        <v>2945</v>
      </c>
    </row>
    <row r="185" ht="11.25" customHeight="1">
      <c r="A185">
        <v>185</v>
      </c>
      <c r="B185" t="s">
        <v>2938</v>
      </c>
      <c r="C185" t="s">
        <v>2946</v>
      </c>
      <c r="D185" t="s">
        <v>2947</v>
      </c>
    </row>
    <row r="186" ht="11.25" customHeight="1">
      <c r="A186">
        <v>186</v>
      </c>
      <c r="B186" t="s">
        <v>2938</v>
      </c>
      <c r="C186" t="s">
        <v>2948</v>
      </c>
      <c r="D186" t="s">
        <v>2949</v>
      </c>
    </row>
    <row r="187" ht="11.25" customHeight="1">
      <c r="A187">
        <v>187</v>
      </c>
      <c r="B187" t="s">
        <v>2938</v>
      </c>
      <c r="C187" t="s">
        <v>2950</v>
      </c>
      <c r="D187" t="s">
        <v>2951</v>
      </c>
    </row>
    <row r="188" ht="11.25" customHeight="1">
      <c r="A188">
        <v>188</v>
      </c>
      <c r="B188" t="s">
        <v>2938</v>
      </c>
      <c r="C188" t="s">
        <v>2952</v>
      </c>
      <c r="D188" t="s">
        <v>2953</v>
      </c>
    </row>
    <row r="189" ht="11.25" customHeight="1">
      <c r="A189">
        <v>189</v>
      </c>
      <c r="B189" t="s">
        <v>2938</v>
      </c>
      <c r="C189" t="s">
        <v>2954</v>
      </c>
      <c r="D189" t="s">
        <v>2955</v>
      </c>
    </row>
    <row r="190" ht="11.25" customHeight="1">
      <c r="A190">
        <v>190</v>
      </c>
      <c r="B190" t="s">
        <v>2938</v>
      </c>
      <c r="C190" t="s">
        <v>2956</v>
      </c>
      <c r="D190" t="s">
        <v>2957</v>
      </c>
    </row>
    <row r="191" ht="11.25" customHeight="1">
      <c r="A191">
        <v>191</v>
      </c>
      <c r="B191" t="s">
        <v>2938</v>
      </c>
      <c r="C191" t="s">
        <v>2958</v>
      </c>
      <c r="D191" t="s">
        <v>2959</v>
      </c>
    </row>
    <row r="192" ht="11.25" customHeight="1">
      <c r="A192">
        <v>192</v>
      </c>
      <c r="B192" t="s">
        <v>2960</v>
      </c>
      <c r="C192" t="s">
        <v>2961</v>
      </c>
      <c r="D192" t="s">
        <v>2962</v>
      </c>
    </row>
    <row r="193" ht="11.25" customHeight="1">
      <c r="A193">
        <v>193</v>
      </c>
      <c r="B193" t="s">
        <v>2960</v>
      </c>
      <c r="C193" t="s">
        <v>2963</v>
      </c>
      <c r="D193" t="s">
        <v>2964</v>
      </c>
    </row>
    <row r="194" ht="11.25" customHeight="1">
      <c r="A194">
        <v>194</v>
      </c>
      <c r="B194" t="s">
        <v>2960</v>
      </c>
      <c r="C194" t="s">
        <v>2836</v>
      </c>
      <c r="D194" t="s">
        <v>2965</v>
      </c>
    </row>
    <row r="195" ht="11.25" customHeight="1">
      <c r="A195">
        <v>195</v>
      </c>
      <c r="B195" t="s">
        <v>2960</v>
      </c>
      <c r="C195" t="s">
        <v>2960</v>
      </c>
      <c r="D195" t="s">
        <v>2966</v>
      </c>
    </row>
    <row r="196" ht="11.25" customHeight="1">
      <c r="A196">
        <v>196</v>
      </c>
      <c r="B196" t="s">
        <v>2960</v>
      </c>
      <c r="C196" t="s">
        <v>2967</v>
      </c>
      <c r="D196" t="s">
        <v>2968</v>
      </c>
    </row>
    <row r="197" ht="11.25" customHeight="1">
      <c r="A197">
        <v>197</v>
      </c>
      <c r="B197" t="s">
        <v>2960</v>
      </c>
      <c r="C197" t="s">
        <v>2969</v>
      </c>
      <c r="D197" t="s">
        <v>2970</v>
      </c>
    </row>
    <row r="198" ht="11.25" customHeight="1">
      <c r="A198">
        <v>198</v>
      </c>
      <c r="B198" t="s">
        <v>2960</v>
      </c>
      <c r="C198" t="s">
        <v>2971</v>
      </c>
      <c r="D198" t="s">
        <v>2972</v>
      </c>
    </row>
    <row r="199" ht="11.25" customHeight="1">
      <c r="A199">
        <v>199</v>
      </c>
      <c r="B199" t="s">
        <v>2960</v>
      </c>
      <c r="C199" t="s">
        <v>2973</v>
      </c>
      <c r="D199" t="s">
        <v>2974</v>
      </c>
    </row>
    <row r="200" ht="11.25" customHeight="1">
      <c r="A200">
        <v>200</v>
      </c>
      <c r="B200" t="s">
        <v>2960</v>
      </c>
      <c r="C200" t="s">
        <v>2975</v>
      </c>
      <c r="D200" t="s">
        <v>2976</v>
      </c>
    </row>
    <row r="201" ht="11.25" customHeight="1">
      <c r="A201">
        <v>201</v>
      </c>
      <c r="B201" t="s">
        <v>2960</v>
      </c>
      <c r="C201" t="s">
        <v>2977</v>
      </c>
      <c r="D201" t="s">
        <v>2978</v>
      </c>
    </row>
    <row r="202" ht="11.25" customHeight="1">
      <c r="A202">
        <v>202</v>
      </c>
      <c r="B202" t="s">
        <v>2960</v>
      </c>
      <c r="C202" t="s">
        <v>2979</v>
      </c>
      <c r="D202" t="s">
        <v>2980</v>
      </c>
    </row>
    <row r="203" ht="11.25" customHeight="1">
      <c r="A203">
        <v>203</v>
      </c>
      <c r="B203" t="s">
        <v>2960</v>
      </c>
      <c r="C203" t="s">
        <v>2981</v>
      </c>
      <c r="D203" t="s">
        <v>2982</v>
      </c>
    </row>
    <row r="204" ht="11.25" customHeight="1">
      <c r="A204">
        <v>204</v>
      </c>
      <c r="B204" t="s">
        <v>2960</v>
      </c>
      <c r="C204" t="s">
        <v>2983</v>
      </c>
      <c r="D204" t="s">
        <v>2984</v>
      </c>
    </row>
    <row r="205" ht="11.25" customHeight="1">
      <c r="A205">
        <v>205</v>
      </c>
      <c r="B205" t="s">
        <v>2960</v>
      </c>
      <c r="C205" t="s">
        <v>2985</v>
      </c>
      <c r="D205" t="s">
        <v>2986</v>
      </c>
    </row>
    <row r="206" ht="11.25" customHeight="1">
      <c r="A206">
        <v>206</v>
      </c>
      <c r="B206" t="s">
        <v>2960</v>
      </c>
      <c r="C206" t="s">
        <v>2987</v>
      </c>
      <c r="D206" t="s">
        <v>2988</v>
      </c>
    </row>
    <row r="207" ht="11.25" customHeight="1">
      <c r="A207">
        <v>207</v>
      </c>
      <c r="B207" t="s">
        <v>2989</v>
      </c>
      <c r="C207" t="s">
        <v>2990</v>
      </c>
      <c r="D207" t="s">
        <v>2991</v>
      </c>
    </row>
    <row r="208" ht="11.25" customHeight="1">
      <c r="A208">
        <v>208</v>
      </c>
      <c r="B208" t="s">
        <v>2989</v>
      </c>
      <c r="C208" t="s">
        <v>2992</v>
      </c>
      <c r="D208" t="s">
        <v>2993</v>
      </c>
    </row>
    <row r="209" ht="11.25" customHeight="1">
      <c r="A209">
        <v>209</v>
      </c>
      <c r="B209" t="s">
        <v>2989</v>
      </c>
      <c r="C209" t="s">
        <v>2994</v>
      </c>
      <c r="D209" t="s">
        <v>2995</v>
      </c>
    </row>
    <row r="210" ht="11.25" customHeight="1">
      <c r="A210">
        <v>210</v>
      </c>
      <c r="B210" t="s">
        <v>2989</v>
      </c>
      <c r="C210" t="s">
        <v>2996</v>
      </c>
      <c r="D210" t="s">
        <v>2997</v>
      </c>
    </row>
    <row r="211" ht="11.25" customHeight="1">
      <c r="A211">
        <v>211</v>
      </c>
      <c r="B211" t="s">
        <v>2989</v>
      </c>
      <c r="C211" t="s">
        <v>2989</v>
      </c>
      <c r="D211" t="s">
        <v>2998</v>
      </c>
    </row>
    <row r="212" ht="11.25" customHeight="1">
      <c r="A212">
        <v>212</v>
      </c>
      <c r="B212" t="s">
        <v>2989</v>
      </c>
      <c r="C212" t="s">
        <v>2999</v>
      </c>
      <c r="D212" t="s">
        <v>3000</v>
      </c>
    </row>
    <row r="213" ht="11.25" customHeight="1">
      <c r="A213">
        <v>213</v>
      </c>
      <c r="B213" t="s">
        <v>2989</v>
      </c>
      <c r="C213" t="s">
        <v>3001</v>
      </c>
      <c r="D213" t="s">
        <v>3002</v>
      </c>
    </row>
    <row r="214" ht="11.25" customHeight="1">
      <c r="A214">
        <v>214</v>
      </c>
      <c r="B214" t="s">
        <v>2989</v>
      </c>
      <c r="C214" t="s">
        <v>3003</v>
      </c>
      <c r="D214" t="s">
        <v>3004</v>
      </c>
    </row>
    <row r="215" ht="11.25" customHeight="1">
      <c r="A215">
        <v>215</v>
      </c>
      <c r="B215" t="s">
        <v>2989</v>
      </c>
      <c r="C215" t="s">
        <v>3005</v>
      </c>
      <c r="D215" t="s">
        <v>3006</v>
      </c>
    </row>
    <row r="216" ht="11.25" customHeight="1">
      <c r="A216">
        <v>216</v>
      </c>
      <c r="B216" t="s">
        <v>2989</v>
      </c>
      <c r="C216" t="s">
        <v>3007</v>
      </c>
      <c r="D216" t="s">
        <v>3008</v>
      </c>
    </row>
    <row r="217" ht="11.25" customHeight="1">
      <c r="A217">
        <v>217</v>
      </c>
      <c r="B217" t="s">
        <v>2989</v>
      </c>
      <c r="C217" t="s">
        <v>3009</v>
      </c>
      <c r="D217" t="s">
        <v>3010</v>
      </c>
    </row>
    <row r="218" ht="11.25" customHeight="1">
      <c r="A218">
        <v>218</v>
      </c>
      <c r="B218" t="s">
        <v>3011</v>
      </c>
      <c r="C218" t="s">
        <v>3012</v>
      </c>
      <c r="D218" t="s">
        <v>3013</v>
      </c>
    </row>
    <row r="219" ht="11.25" customHeight="1">
      <c r="A219">
        <v>219</v>
      </c>
      <c r="B219" t="s">
        <v>3011</v>
      </c>
      <c r="C219" t="s">
        <v>3014</v>
      </c>
      <c r="D219" t="s">
        <v>3015</v>
      </c>
    </row>
    <row r="220" ht="11.25" customHeight="1">
      <c r="A220">
        <v>220</v>
      </c>
      <c r="B220" t="s">
        <v>3011</v>
      </c>
      <c r="C220" t="s">
        <v>3016</v>
      </c>
      <c r="D220" t="s">
        <v>3017</v>
      </c>
    </row>
    <row r="221" ht="11.25" customHeight="1">
      <c r="A221">
        <v>221</v>
      </c>
      <c r="B221" t="s">
        <v>3011</v>
      </c>
      <c r="C221" t="s">
        <v>3018</v>
      </c>
      <c r="D221" t="s">
        <v>3019</v>
      </c>
    </row>
    <row r="222" ht="11.25" customHeight="1">
      <c r="A222">
        <v>222</v>
      </c>
      <c r="B222" t="s">
        <v>3011</v>
      </c>
      <c r="C222" t="s">
        <v>3020</v>
      </c>
      <c r="D222" t="s">
        <v>3021</v>
      </c>
    </row>
    <row r="223" ht="11.25" customHeight="1">
      <c r="A223">
        <v>223</v>
      </c>
      <c r="B223" t="s">
        <v>3011</v>
      </c>
      <c r="C223" t="s">
        <v>3011</v>
      </c>
      <c r="D223" t="s">
        <v>3022</v>
      </c>
    </row>
    <row r="224" ht="11.25" customHeight="1">
      <c r="A224">
        <v>224</v>
      </c>
      <c r="B224" t="s">
        <v>3011</v>
      </c>
      <c r="C224" t="s">
        <v>3023</v>
      </c>
      <c r="D224" t="s">
        <v>3024</v>
      </c>
    </row>
    <row r="225" ht="11.25" customHeight="1">
      <c r="A225">
        <v>225</v>
      </c>
      <c r="B225" t="s">
        <v>3011</v>
      </c>
      <c r="C225" t="s">
        <v>3025</v>
      </c>
      <c r="D225" t="s">
        <v>3026</v>
      </c>
    </row>
    <row r="226" ht="11.25" customHeight="1">
      <c r="A226">
        <v>226</v>
      </c>
      <c r="B226" t="s">
        <v>3011</v>
      </c>
      <c r="C226" t="s">
        <v>3027</v>
      </c>
      <c r="D226" t="s">
        <v>3028</v>
      </c>
    </row>
    <row r="227" ht="11.25" customHeight="1">
      <c r="A227">
        <v>227</v>
      </c>
      <c r="B227" t="s">
        <v>3011</v>
      </c>
      <c r="C227" t="s">
        <v>3029</v>
      </c>
      <c r="D227" t="s">
        <v>3030</v>
      </c>
    </row>
    <row r="228" ht="11.25" customHeight="1">
      <c r="A228">
        <v>228</v>
      </c>
      <c r="B228" t="s">
        <v>3011</v>
      </c>
      <c r="C228" t="s">
        <v>2971</v>
      </c>
      <c r="D228" t="s">
        <v>3031</v>
      </c>
    </row>
    <row r="229" ht="11.25" customHeight="1">
      <c r="A229">
        <v>229</v>
      </c>
      <c r="B229" t="s">
        <v>3011</v>
      </c>
      <c r="C229" t="s">
        <v>3032</v>
      </c>
      <c r="D229" t="s">
        <v>3033</v>
      </c>
    </row>
    <row r="230" ht="11.25" customHeight="1">
      <c r="A230">
        <v>230</v>
      </c>
      <c r="B230" t="s">
        <v>3034</v>
      </c>
      <c r="C230" t="s">
        <v>2758</v>
      </c>
      <c r="D230" t="s">
        <v>3035</v>
      </c>
    </row>
    <row r="231" ht="11.25" customHeight="1">
      <c r="A231">
        <v>231</v>
      </c>
      <c r="B231" t="s">
        <v>3034</v>
      </c>
      <c r="C231" t="s">
        <v>3036</v>
      </c>
      <c r="D231" t="s">
        <v>3037</v>
      </c>
    </row>
    <row r="232" ht="11.25" customHeight="1">
      <c r="A232">
        <v>232</v>
      </c>
      <c r="B232" t="s">
        <v>3034</v>
      </c>
      <c r="C232" t="s">
        <v>3034</v>
      </c>
      <c r="D232" t="s">
        <v>3038</v>
      </c>
    </row>
    <row r="233" ht="11.25" customHeight="1">
      <c r="A233">
        <v>233</v>
      </c>
      <c r="B233" t="s">
        <v>3034</v>
      </c>
      <c r="C233" t="s">
        <v>3039</v>
      </c>
      <c r="D233" t="s">
        <v>3040</v>
      </c>
    </row>
    <row r="234" ht="11.25" customHeight="1">
      <c r="A234">
        <v>234</v>
      </c>
      <c r="B234" t="s">
        <v>3034</v>
      </c>
      <c r="C234" t="s">
        <v>3041</v>
      </c>
      <c r="D234" t="s">
        <v>3042</v>
      </c>
    </row>
    <row r="235" ht="11.25" customHeight="1">
      <c r="A235">
        <v>235</v>
      </c>
      <c r="B235" t="s">
        <v>3034</v>
      </c>
      <c r="C235" t="s">
        <v>3043</v>
      </c>
      <c r="D235" t="s">
        <v>3044</v>
      </c>
    </row>
    <row r="236" ht="11.25" customHeight="1">
      <c r="A236">
        <v>236</v>
      </c>
      <c r="B236" t="s">
        <v>3034</v>
      </c>
      <c r="C236" t="s">
        <v>3045</v>
      </c>
      <c r="D236" t="s">
        <v>3046</v>
      </c>
    </row>
    <row r="237" ht="11.25" customHeight="1">
      <c r="A237">
        <v>237</v>
      </c>
      <c r="B237" t="s">
        <v>3034</v>
      </c>
      <c r="C237" t="s">
        <v>3047</v>
      </c>
      <c r="D237" t="s">
        <v>3048</v>
      </c>
    </row>
    <row r="238" ht="11.25" customHeight="1">
      <c r="A238">
        <v>238</v>
      </c>
      <c r="B238" t="s">
        <v>3034</v>
      </c>
      <c r="C238" t="s">
        <v>3049</v>
      </c>
      <c r="D238" t="s">
        <v>3050</v>
      </c>
    </row>
    <row r="239" ht="11.25" customHeight="1">
      <c r="A239">
        <v>239</v>
      </c>
      <c r="B239" t="s">
        <v>3051</v>
      </c>
      <c r="C239" t="s">
        <v>3052</v>
      </c>
      <c r="D239" t="s">
        <v>3053</v>
      </c>
    </row>
    <row r="240" ht="11.25" customHeight="1">
      <c r="A240">
        <v>240</v>
      </c>
      <c r="B240" t="s">
        <v>3051</v>
      </c>
      <c r="C240" t="s">
        <v>2758</v>
      </c>
      <c r="D240" t="s">
        <v>3054</v>
      </c>
    </row>
    <row r="241" ht="11.25" customHeight="1">
      <c r="A241">
        <v>241</v>
      </c>
      <c r="B241" t="s">
        <v>3051</v>
      </c>
      <c r="C241" t="s">
        <v>2862</v>
      </c>
      <c r="D241" t="s">
        <v>3055</v>
      </c>
    </row>
    <row r="242" ht="11.25" customHeight="1">
      <c r="A242">
        <v>242</v>
      </c>
      <c r="B242" t="s">
        <v>3051</v>
      </c>
      <c r="C242" t="s">
        <v>3056</v>
      </c>
      <c r="D242" t="s">
        <v>3057</v>
      </c>
    </row>
    <row r="243" ht="11.25" customHeight="1">
      <c r="A243">
        <v>243</v>
      </c>
      <c r="B243" t="s">
        <v>3051</v>
      </c>
      <c r="C243" t="s">
        <v>3051</v>
      </c>
      <c r="D243" t="s">
        <v>3058</v>
      </c>
    </row>
    <row r="244" ht="11.25" customHeight="1">
      <c r="A244">
        <v>244</v>
      </c>
      <c r="B244" t="s">
        <v>3051</v>
      </c>
      <c r="C244" t="s">
        <v>3059</v>
      </c>
      <c r="D244" t="s">
        <v>3060</v>
      </c>
    </row>
    <row r="245" ht="11.25" customHeight="1">
      <c r="A245">
        <v>245</v>
      </c>
      <c r="B245" t="s">
        <v>3051</v>
      </c>
      <c r="C245" t="s">
        <v>3061</v>
      </c>
      <c r="D245" t="s">
        <v>3062</v>
      </c>
    </row>
    <row r="246" ht="11.25" customHeight="1">
      <c r="A246">
        <v>246</v>
      </c>
      <c r="B246" t="s">
        <v>3051</v>
      </c>
      <c r="C246" t="s">
        <v>3063</v>
      </c>
      <c r="D246" t="s">
        <v>3064</v>
      </c>
    </row>
    <row r="247" ht="11.25" customHeight="1">
      <c r="A247">
        <v>247</v>
      </c>
      <c r="B247" t="s">
        <v>3051</v>
      </c>
      <c r="C247" t="s">
        <v>3065</v>
      </c>
      <c r="D247" t="s">
        <v>3066</v>
      </c>
    </row>
    <row r="248" ht="11.25" customHeight="1">
      <c r="A248">
        <v>248</v>
      </c>
      <c r="B248" t="s">
        <v>3051</v>
      </c>
      <c r="C248" t="s">
        <v>3067</v>
      </c>
      <c r="D248" t="s">
        <v>3068</v>
      </c>
    </row>
    <row r="249" ht="11.25" customHeight="1">
      <c r="A249">
        <v>249</v>
      </c>
      <c r="B249" t="s">
        <v>3051</v>
      </c>
      <c r="C249" t="s">
        <v>3069</v>
      </c>
      <c r="D249" t="s">
        <v>3070</v>
      </c>
    </row>
    <row r="250" ht="11.25" customHeight="1">
      <c r="A250">
        <v>250</v>
      </c>
      <c r="B250" t="s">
        <v>3051</v>
      </c>
      <c r="C250" t="s">
        <v>3071</v>
      </c>
      <c r="D250" t="s">
        <v>3072</v>
      </c>
    </row>
    <row r="251" ht="11.25" customHeight="1">
      <c r="A251">
        <v>251</v>
      </c>
      <c r="B251" t="s">
        <v>3051</v>
      </c>
      <c r="C251" t="s">
        <v>3073</v>
      </c>
      <c r="D251" t="s">
        <v>3074</v>
      </c>
    </row>
    <row r="252" ht="11.25" customHeight="1">
      <c r="A252">
        <v>252</v>
      </c>
      <c r="B252" t="s">
        <v>3051</v>
      </c>
      <c r="C252" t="s">
        <v>3075</v>
      </c>
      <c r="D252" t="s">
        <v>3076</v>
      </c>
    </row>
    <row r="253" ht="11.25" customHeight="1">
      <c r="A253">
        <v>253</v>
      </c>
      <c r="B253" t="s">
        <v>3077</v>
      </c>
      <c r="C253" t="s">
        <v>2592</v>
      </c>
      <c r="D253" t="s">
        <v>3078</v>
      </c>
    </row>
    <row r="254" ht="11.25" customHeight="1">
      <c r="A254">
        <v>254</v>
      </c>
      <c r="B254" t="s">
        <v>3077</v>
      </c>
      <c r="C254" t="s">
        <v>3079</v>
      </c>
      <c r="D254" t="s">
        <v>3080</v>
      </c>
    </row>
    <row r="255" ht="11.25" customHeight="1">
      <c r="A255">
        <v>255</v>
      </c>
      <c r="B255" t="s">
        <v>3077</v>
      </c>
      <c r="C255" t="s">
        <v>3081</v>
      </c>
      <c r="D255" t="s">
        <v>3082</v>
      </c>
    </row>
    <row r="256" ht="11.25" customHeight="1">
      <c r="A256">
        <v>256</v>
      </c>
      <c r="B256" t="s">
        <v>3077</v>
      </c>
      <c r="C256" t="s">
        <v>3083</v>
      </c>
      <c r="D256" t="s">
        <v>3084</v>
      </c>
    </row>
    <row r="257" ht="11.25" customHeight="1">
      <c r="A257">
        <v>257</v>
      </c>
      <c r="B257" t="s">
        <v>3077</v>
      </c>
      <c r="C257" t="s">
        <v>3077</v>
      </c>
      <c r="D257" t="s">
        <v>3085</v>
      </c>
    </row>
    <row r="258" ht="11.25" customHeight="1">
      <c r="A258">
        <v>258</v>
      </c>
      <c r="B258" t="s">
        <v>3077</v>
      </c>
      <c r="C258" t="s">
        <v>3086</v>
      </c>
      <c r="D258" t="s">
        <v>3087</v>
      </c>
    </row>
    <row r="259" ht="11.25" customHeight="1">
      <c r="A259">
        <v>259</v>
      </c>
      <c r="B259" t="s">
        <v>3077</v>
      </c>
      <c r="C259" t="s">
        <v>3088</v>
      </c>
      <c r="D259" t="s">
        <v>3089</v>
      </c>
    </row>
    <row r="260" ht="11.25" customHeight="1">
      <c r="A260">
        <v>260</v>
      </c>
      <c r="B260" t="s">
        <v>3077</v>
      </c>
      <c r="C260" t="s">
        <v>3090</v>
      </c>
      <c r="D260" t="s">
        <v>3091</v>
      </c>
    </row>
    <row r="261" ht="11.25" customHeight="1">
      <c r="A261">
        <v>261</v>
      </c>
      <c r="B261" t="s">
        <v>3077</v>
      </c>
      <c r="C261" t="s">
        <v>3092</v>
      </c>
      <c r="D261" t="s">
        <v>3093</v>
      </c>
    </row>
    <row r="262" ht="11.25" customHeight="1">
      <c r="A262">
        <v>262</v>
      </c>
      <c r="B262" t="s">
        <v>3077</v>
      </c>
      <c r="C262" t="s">
        <v>3094</v>
      </c>
      <c r="D262" t="s">
        <v>3095</v>
      </c>
    </row>
    <row r="263" ht="11.25" customHeight="1">
      <c r="A263">
        <v>263</v>
      </c>
      <c r="B263" t="s">
        <v>3096</v>
      </c>
      <c r="C263" t="s">
        <v>3097</v>
      </c>
      <c r="D263" t="s">
        <v>3098</v>
      </c>
    </row>
    <row r="264" ht="11.25" customHeight="1">
      <c r="A264">
        <v>264</v>
      </c>
      <c r="B264" t="s">
        <v>3096</v>
      </c>
      <c r="C264" t="s">
        <v>3099</v>
      </c>
      <c r="D264" t="s">
        <v>3100</v>
      </c>
    </row>
    <row r="265" ht="11.25" customHeight="1">
      <c r="A265">
        <v>265</v>
      </c>
      <c r="B265" t="s">
        <v>3096</v>
      </c>
      <c r="C265" t="s">
        <v>3101</v>
      </c>
      <c r="D265" t="s">
        <v>3102</v>
      </c>
    </row>
    <row r="266" ht="11.25" customHeight="1">
      <c r="A266">
        <v>266</v>
      </c>
      <c r="B266" t="s">
        <v>3096</v>
      </c>
      <c r="C266" t="s">
        <v>3103</v>
      </c>
      <c r="D266" t="s">
        <v>3104</v>
      </c>
    </row>
    <row r="267" ht="11.25" customHeight="1">
      <c r="A267">
        <v>267</v>
      </c>
      <c r="B267" t="s">
        <v>3096</v>
      </c>
      <c r="C267" t="s">
        <v>3096</v>
      </c>
      <c r="D267" t="s">
        <v>3105</v>
      </c>
    </row>
    <row r="268" ht="11.25" customHeight="1">
      <c r="A268">
        <v>268</v>
      </c>
      <c r="B268" t="s">
        <v>3096</v>
      </c>
      <c r="C268" t="s">
        <v>3106</v>
      </c>
      <c r="D268" t="s">
        <v>3107</v>
      </c>
    </row>
    <row r="269" ht="11.25" customHeight="1">
      <c r="A269">
        <v>269</v>
      </c>
      <c r="B269" t="s">
        <v>3096</v>
      </c>
      <c r="C269" t="s">
        <v>3108</v>
      </c>
      <c r="D269" t="s">
        <v>3109</v>
      </c>
    </row>
    <row r="270" ht="11.25" customHeight="1">
      <c r="A270">
        <v>270</v>
      </c>
      <c r="B270" t="s">
        <v>3096</v>
      </c>
      <c r="C270" t="s">
        <v>3110</v>
      </c>
      <c r="D270" t="s">
        <v>3111</v>
      </c>
    </row>
    <row r="271" ht="11.25" customHeight="1">
      <c r="A271">
        <v>271</v>
      </c>
      <c r="B271" t="s">
        <v>3096</v>
      </c>
      <c r="C271" t="s">
        <v>2909</v>
      </c>
      <c r="D271" t="s">
        <v>3112</v>
      </c>
    </row>
    <row r="272" ht="11.25" customHeight="1">
      <c r="A272">
        <v>272</v>
      </c>
      <c r="B272" t="s">
        <v>3096</v>
      </c>
      <c r="C272" t="s">
        <v>3113</v>
      </c>
      <c r="D272" t="s">
        <v>3114</v>
      </c>
    </row>
    <row r="273" ht="11.25" customHeight="1">
      <c r="A273">
        <v>273</v>
      </c>
      <c r="B273" t="s">
        <v>3115</v>
      </c>
      <c r="C273" t="s">
        <v>3116</v>
      </c>
      <c r="D273" t="s">
        <v>3117</v>
      </c>
    </row>
    <row r="274" ht="11.25" customHeight="1">
      <c r="A274">
        <v>274</v>
      </c>
      <c r="B274" t="s">
        <v>3115</v>
      </c>
      <c r="C274" t="s">
        <v>3118</v>
      </c>
      <c r="D274" t="s">
        <v>3119</v>
      </c>
    </row>
    <row r="275" ht="11.25" customHeight="1">
      <c r="A275">
        <v>275</v>
      </c>
      <c r="B275" t="s">
        <v>3115</v>
      </c>
      <c r="C275" t="s">
        <v>3120</v>
      </c>
      <c r="D275" t="s">
        <v>3121</v>
      </c>
    </row>
    <row r="276" ht="11.25" customHeight="1">
      <c r="A276">
        <v>276</v>
      </c>
      <c r="B276" t="s">
        <v>3115</v>
      </c>
      <c r="C276" t="s">
        <v>3122</v>
      </c>
      <c r="D276" t="s">
        <v>3123</v>
      </c>
    </row>
    <row r="277" ht="11.25" customHeight="1">
      <c r="A277">
        <v>277</v>
      </c>
      <c r="B277" t="s">
        <v>3115</v>
      </c>
      <c r="C277" t="s">
        <v>3124</v>
      </c>
      <c r="D277" t="s">
        <v>3125</v>
      </c>
    </row>
    <row r="278" ht="11.25" customHeight="1">
      <c r="A278">
        <v>278</v>
      </c>
      <c r="B278" t="s">
        <v>3115</v>
      </c>
      <c r="C278" t="s">
        <v>3126</v>
      </c>
      <c r="D278" t="s">
        <v>3127</v>
      </c>
    </row>
    <row r="279" ht="11.25" customHeight="1">
      <c r="A279">
        <v>279</v>
      </c>
      <c r="B279" t="s">
        <v>3115</v>
      </c>
      <c r="C279" t="s">
        <v>3115</v>
      </c>
      <c r="D279" t="s">
        <v>3128</v>
      </c>
    </row>
    <row r="280" ht="11.25" customHeight="1">
      <c r="A280">
        <v>280</v>
      </c>
      <c r="B280" t="s">
        <v>3115</v>
      </c>
      <c r="C280" t="s">
        <v>3129</v>
      </c>
      <c r="D280" t="s">
        <v>3130</v>
      </c>
    </row>
    <row r="281" ht="11.25" customHeight="1">
      <c r="A281">
        <v>281</v>
      </c>
      <c r="B281" t="s">
        <v>3115</v>
      </c>
      <c r="C281" t="s">
        <v>3131</v>
      </c>
      <c r="D281" t="s">
        <v>3132</v>
      </c>
    </row>
    <row r="282" ht="11.25" customHeight="1">
      <c r="A282">
        <v>282</v>
      </c>
      <c r="B282" t="s">
        <v>3115</v>
      </c>
      <c r="C282" t="s">
        <v>3133</v>
      </c>
      <c r="D282" t="s">
        <v>3134</v>
      </c>
    </row>
    <row r="283" ht="11.25" customHeight="1">
      <c r="A283">
        <v>283</v>
      </c>
      <c r="B283" t="s">
        <v>3115</v>
      </c>
      <c r="C283" t="s">
        <v>3135</v>
      </c>
      <c r="D283" t="s">
        <v>3136</v>
      </c>
    </row>
    <row r="284" ht="11.25" customHeight="1">
      <c r="A284">
        <v>284</v>
      </c>
      <c r="B284" t="s">
        <v>3137</v>
      </c>
      <c r="C284" t="s">
        <v>3138</v>
      </c>
      <c r="D284" t="s">
        <v>3139</v>
      </c>
    </row>
    <row r="285" ht="11.25" customHeight="1">
      <c r="A285">
        <v>285</v>
      </c>
      <c r="B285" t="s">
        <v>3137</v>
      </c>
      <c r="C285" t="s">
        <v>3137</v>
      </c>
      <c r="D285" t="s">
        <v>3140</v>
      </c>
    </row>
    <row r="286" ht="11.25" customHeight="1">
      <c r="A286">
        <v>286</v>
      </c>
      <c r="B286" t="s">
        <v>3137</v>
      </c>
      <c r="C286" t="s">
        <v>3141</v>
      </c>
      <c r="D286" t="s">
        <v>3142</v>
      </c>
    </row>
    <row r="287" ht="11.25" customHeight="1">
      <c r="A287">
        <v>287</v>
      </c>
      <c r="B287" t="s">
        <v>3137</v>
      </c>
      <c r="C287" t="s">
        <v>3143</v>
      </c>
      <c r="D287" t="s">
        <v>3144</v>
      </c>
    </row>
    <row r="288" ht="11.25" customHeight="1">
      <c r="A288">
        <v>288</v>
      </c>
      <c r="B288" t="s">
        <v>3137</v>
      </c>
      <c r="C288" t="s">
        <v>2909</v>
      </c>
      <c r="D288" t="s">
        <v>3145</v>
      </c>
    </row>
    <row r="289" ht="11.25" customHeight="1">
      <c r="A289">
        <v>289</v>
      </c>
      <c r="B289" t="s">
        <v>3137</v>
      </c>
      <c r="C289" t="s">
        <v>3146</v>
      </c>
      <c r="D289" t="s">
        <v>3147</v>
      </c>
    </row>
    <row r="290" ht="11.25" customHeight="1">
      <c r="A290">
        <v>290</v>
      </c>
      <c r="B290" t="s">
        <v>3137</v>
      </c>
      <c r="C290" t="s">
        <v>3148</v>
      </c>
      <c r="D290" t="s">
        <v>3149</v>
      </c>
    </row>
    <row r="291" ht="11.25" customHeight="1">
      <c r="A291">
        <v>291</v>
      </c>
      <c r="B291" t="s">
        <v>3137</v>
      </c>
      <c r="C291" t="s">
        <v>3150</v>
      </c>
      <c r="D291" t="s">
        <v>3151</v>
      </c>
    </row>
    <row r="292" ht="11.25" customHeight="1">
      <c r="A292">
        <v>292</v>
      </c>
      <c r="B292" t="s">
        <v>3137</v>
      </c>
      <c r="C292" t="s">
        <v>2893</v>
      </c>
      <c r="D292" t="s">
        <v>3152</v>
      </c>
    </row>
    <row r="293" ht="11.25" customHeight="1">
      <c r="A293">
        <v>293</v>
      </c>
      <c r="B293" t="s">
        <v>3137</v>
      </c>
      <c r="C293" t="s">
        <v>3153</v>
      </c>
      <c r="D293" t="s">
        <v>3154</v>
      </c>
    </row>
    <row r="294" ht="11.25" customHeight="1">
      <c r="A294">
        <v>294</v>
      </c>
      <c r="B294" t="s">
        <v>3137</v>
      </c>
      <c r="C294" t="s">
        <v>3155</v>
      </c>
      <c r="D294" t="s">
        <v>3156</v>
      </c>
    </row>
    <row r="295" ht="11.25" customHeight="1">
      <c r="A295">
        <v>295</v>
      </c>
      <c r="B295" t="s">
        <v>3157</v>
      </c>
      <c r="C295" t="s">
        <v>3158</v>
      </c>
      <c r="D295" t="s">
        <v>3159</v>
      </c>
    </row>
    <row r="296" ht="11.25" customHeight="1">
      <c r="A296">
        <v>296</v>
      </c>
      <c r="B296" t="s">
        <v>3157</v>
      </c>
      <c r="C296" t="s">
        <v>3160</v>
      </c>
      <c r="D296" t="s">
        <v>3161</v>
      </c>
    </row>
    <row r="297" ht="11.25" customHeight="1">
      <c r="A297">
        <v>297</v>
      </c>
      <c r="B297" t="s">
        <v>3157</v>
      </c>
      <c r="C297" t="s">
        <v>3162</v>
      </c>
      <c r="D297" t="s">
        <v>3163</v>
      </c>
    </row>
    <row r="298" ht="11.25" customHeight="1">
      <c r="A298">
        <v>298</v>
      </c>
      <c r="B298" t="s">
        <v>3157</v>
      </c>
      <c r="C298" t="s">
        <v>2832</v>
      </c>
      <c r="D298" t="s">
        <v>3164</v>
      </c>
    </row>
    <row r="299" ht="11.25" customHeight="1">
      <c r="A299">
        <v>299</v>
      </c>
      <c r="B299" t="s">
        <v>3157</v>
      </c>
      <c r="C299" t="s">
        <v>3165</v>
      </c>
      <c r="D299" t="s">
        <v>3166</v>
      </c>
    </row>
    <row r="300" ht="11.25" customHeight="1">
      <c r="A300">
        <v>300</v>
      </c>
      <c r="B300" t="s">
        <v>3157</v>
      </c>
      <c r="C300" t="s">
        <v>3167</v>
      </c>
      <c r="D300" t="s">
        <v>3168</v>
      </c>
    </row>
    <row r="301" ht="11.25" customHeight="1">
      <c r="A301">
        <v>301</v>
      </c>
      <c r="B301" t="s">
        <v>3157</v>
      </c>
      <c r="C301" t="s">
        <v>3169</v>
      </c>
      <c r="D301" t="s">
        <v>3170</v>
      </c>
    </row>
    <row r="302" ht="11.25" customHeight="1">
      <c r="A302">
        <v>302</v>
      </c>
      <c r="B302" t="s">
        <v>3157</v>
      </c>
      <c r="C302" t="s">
        <v>2602</v>
      </c>
      <c r="D302" t="s">
        <v>3171</v>
      </c>
    </row>
    <row r="303" ht="11.25" customHeight="1">
      <c r="A303">
        <v>303</v>
      </c>
      <c r="B303" t="s">
        <v>3157</v>
      </c>
      <c r="C303" t="s">
        <v>3157</v>
      </c>
      <c r="D303" t="s">
        <v>3172</v>
      </c>
    </row>
    <row r="304" ht="11.25" customHeight="1">
      <c r="A304">
        <v>304</v>
      </c>
      <c r="B304" t="s">
        <v>3157</v>
      </c>
      <c r="C304" t="s">
        <v>3173</v>
      </c>
      <c r="D304" t="s">
        <v>3174</v>
      </c>
    </row>
    <row r="305" ht="11.25" customHeight="1">
      <c r="A305">
        <v>305</v>
      </c>
      <c r="B305" t="s">
        <v>3157</v>
      </c>
      <c r="C305" t="s">
        <v>3175</v>
      </c>
      <c r="D305" t="s">
        <v>3176</v>
      </c>
    </row>
    <row r="306" ht="11.25" customHeight="1">
      <c r="A306">
        <v>306</v>
      </c>
      <c r="B306" t="s">
        <v>3157</v>
      </c>
      <c r="C306" t="s">
        <v>2705</v>
      </c>
      <c r="D306" t="s">
        <v>3177</v>
      </c>
    </row>
    <row r="307" ht="11.25" customHeight="1">
      <c r="A307">
        <v>307</v>
      </c>
      <c r="B307" t="s">
        <v>3157</v>
      </c>
      <c r="C307" t="s">
        <v>3178</v>
      </c>
      <c r="D307" t="s">
        <v>3179</v>
      </c>
    </row>
    <row r="308" ht="11.25" customHeight="1">
      <c r="A308">
        <v>308</v>
      </c>
      <c r="B308" t="s">
        <v>3157</v>
      </c>
      <c r="C308" t="s">
        <v>3180</v>
      </c>
      <c r="D308" t="s">
        <v>3181</v>
      </c>
    </row>
    <row r="309" ht="11.25" customHeight="1">
      <c r="A309">
        <v>309</v>
      </c>
      <c r="B309" t="s">
        <v>3157</v>
      </c>
      <c r="C309" t="s">
        <v>3007</v>
      </c>
      <c r="D309" t="s">
        <v>3182</v>
      </c>
    </row>
    <row r="310" ht="11.25" customHeight="1">
      <c r="A310">
        <v>310</v>
      </c>
      <c r="B310" t="s">
        <v>3157</v>
      </c>
      <c r="C310" t="s">
        <v>3183</v>
      </c>
      <c r="D310" t="s">
        <v>3184</v>
      </c>
    </row>
    <row r="311" ht="11.25" customHeight="1">
      <c r="A311">
        <v>311</v>
      </c>
      <c r="B311" t="s">
        <v>3157</v>
      </c>
      <c r="C311" t="s">
        <v>3185</v>
      </c>
      <c r="D311" t="s">
        <v>3186</v>
      </c>
    </row>
    <row r="312" ht="11.25" customHeight="1">
      <c r="A312">
        <v>312</v>
      </c>
      <c r="B312" t="s">
        <v>3157</v>
      </c>
      <c r="C312" t="s">
        <v>3187</v>
      </c>
      <c r="D312" t="s">
        <v>3188</v>
      </c>
    </row>
    <row r="313" ht="11.25" customHeight="1">
      <c r="A313">
        <v>313</v>
      </c>
      <c r="B313" t="s">
        <v>3157</v>
      </c>
      <c r="C313" t="s">
        <v>2737</v>
      </c>
      <c r="D313" t="s">
        <v>3189</v>
      </c>
    </row>
    <row r="314" ht="11.25" customHeight="1">
      <c r="A314">
        <v>314</v>
      </c>
      <c r="B314" t="s">
        <v>3190</v>
      </c>
      <c r="C314" t="s">
        <v>3191</v>
      </c>
      <c r="D314" t="s">
        <v>3192</v>
      </c>
    </row>
    <row r="315" ht="11.25" customHeight="1">
      <c r="A315">
        <v>315</v>
      </c>
      <c r="B315" t="s">
        <v>3190</v>
      </c>
      <c r="C315" t="s">
        <v>3193</v>
      </c>
      <c r="D315" t="s">
        <v>3194</v>
      </c>
    </row>
    <row r="316" ht="11.25" customHeight="1">
      <c r="A316">
        <v>316</v>
      </c>
      <c r="B316" t="s">
        <v>3190</v>
      </c>
      <c r="C316" t="s">
        <v>3195</v>
      </c>
      <c r="D316" t="s">
        <v>3196</v>
      </c>
    </row>
    <row r="317" ht="11.25" customHeight="1">
      <c r="A317">
        <v>317</v>
      </c>
      <c r="B317" t="s">
        <v>3190</v>
      </c>
      <c r="C317" t="s">
        <v>3197</v>
      </c>
      <c r="D317" t="s">
        <v>3198</v>
      </c>
    </row>
    <row r="318" ht="11.25" customHeight="1">
      <c r="A318">
        <v>318</v>
      </c>
      <c r="B318" t="s">
        <v>3190</v>
      </c>
      <c r="C318" t="s">
        <v>3199</v>
      </c>
      <c r="D318" t="s">
        <v>3200</v>
      </c>
    </row>
    <row r="319" ht="11.25" customHeight="1">
      <c r="A319">
        <v>319</v>
      </c>
      <c r="B319" t="s">
        <v>3190</v>
      </c>
      <c r="C319" t="s">
        <v>3201</v>
      </c>
      <c r="D319" t="s">
        <v>3202</v>
      </c>
    </row>
    <row r="320" ht="11.25" customHeight="1">
      <c r="A320">
        <v>320</v>
      </c>
      <c r="B320" t="s">
        <v>3190</v>
      </c>
      <c r="C320" t="s">
        <v>3203</v>
      </c>
      <c r="D320" t="s">
        <v>3204</v>
      </c>
    </row>
    <row r="321" ht="11.25" customHeight="1">
      <c r="A321">
        <v>321</v>
      </c>
      <c r="B321" t="s">
        <v>3190</v>
      </c>
      <c r="C321" t="s">
        <v>3190</v>
      </c>
      <c r="D321" t="s">
        <v>3205</v>
      </c>
    </row>
    <row r="322" ht="11.25" customHeight="1">
      <c r="A322">
        <v>322</v>
      </c>
      <c r="B322" t="s">
        <v>3190</v>
      </c>
      <c r="C322" t="s">
        <v>3206</v>
      </c>
      <c r="D322" t="s">
        <v>3207</v>
      </c>
    </row>
    <row r="323" ht="11.25" customHeight="1">
      <c r="A323">
        <v>323</v>
      </c>
      <c r="B323" t="s">
        <v>3190</v>
      </c>
      <c r="C323" t="s">
        <v>3208</v>
      </c>
      <c r="D323" t="s">
        <v>3209</v>
      </c>
    </row>
    <row r="324" ht="11.25" customHeight="1">
      <c r="A324">
        <v>324</v>
      </c>
      <c r="B324" t="s">
        <v>3190</v>
      </c>
      <c r="C324" t="s">
        <v>3007</v>
      </c>
      <c r="D324" t="s">
        <v>3210</v>
      </c>
    </row>
    <row r="325" ht="11.25" customHeight="1">
      <c r="A325">
        <v>325</v>
      </c>
      <c r="B325" t="s">
        <v>3190</v>
      </c>
      <c r="C325" t="s">
        <v>3211</v>
      </c>
      <c r="D325" t="s">
        <v>3212</v>
      </c>
    </row>
    <row r="326" ht="11.25" customHeight="1">
      <c r="A326">
        <v>326</v>
      </c>
      <c r="B326" t="s">
        <v>3190</v>
      </c>
      <c r="C326" t="s">
        <v>3213</v>
      </c>
      <c r="D326" t="s">
        <v>3214</v>
      </c>
    </row>
    <row r="327" ht="11.25" customHeight="1">
      <c r="A327">
        <v>327</v>
      </c>
      <c r="B327" t="s">
        <v>3190</v>
      </c>
      <c r="C327" t="s">
        <v>3215</v>
      </c>
      <c r="D327" t="s">
        <v>3216</v>
      </c>
    </row>
    <row r="328" ht="11.25" customHeight="1">
      <c r="A328">
        <v>328</v>
      </c>
      <c r="B328" t="s">
        <v>3217</v>
      </c>
      <c r="C328" t="s">
        <v>3218</v>
      </c>
      <c r="D328" t="s">
        <v>3219</v>
      </c>
    </row>
    <row r="329" ht="11.25" customHeight="1">
      <c r="A329">
        <v>329</v>
      </c>
      <c r="B329" t="s">
        <v>3217</v>
      </c>
      <c r="C329" t="s">
        <v>3220</v>
      </c>
      <c r="D329" t="s">
        <v>3221</v>
      </c>
    </row>
    <row r="330" ht="11.25" customHeight="1">
      <c r="A330">
        <v>330</v>
      </c>
      <c r="B330" t="s">
        <v>3217</v>
      </c>
      <c r="C330" t="s">
        <v>3222</v>
      </c>
      <c r="D330" t="s">
        <v>3223</v>
      </c>
    </row>
    <row r="331" ht="11.25" customHeight="1">
      <c r="A331">
        <v>331</v>
      </c>
      <c r="B331" t="s">
        <v>3217</v>
      </c>
      <c r="C331" t="s">
        <v>3217</v>
      </c>
      <c r="D331" t="s">
        <v>3224</v>
      </c>
    </row>
    <row r="332" ht="11.25" customHeight="1">
      <c r="A332">
        <v>332</v>
      </c>
      <c r="B332" t="s">
        <v>3217</v>
      </c>
      <c r="C332" t="s">
        <v>2723</v>
      </c>
      <c r="D332" t="s">
        <v>3225</v>
      </c>
    </row>
    <row r="333" ht="11.25" customHeight="1">
      <c r="A333">
        <v>333</v>
      </c>
      <c r="B333" t="s">
        <v>3217</v>
      </c>
      <c r="C333" t="s">
        <v>3226</v>
      </c>
      <c r="D333" t="s">
        <v>3227</v>
      </c>
    </row>
    <row r="334" ht="11.25" customHeight="1">
      <c r="A334">
        <v>334</v>
      </c>
      <c r="B334" t="s">
        <v>3217</v>
      </c>
      <c r="C334" t="s">
        <v>2705</v>
      </c>
      <c r="D334" t="s">
        <v>3228</v>
      </c>
    </row>
    <row r="335" ht="11.25" customHeight="1">
      <c r="A335">
        <v>335</v>
      </c>
      <c r="B335" t="s">
        <v>3217</v>
      </c>
      <c r="C335" t="s">
        <v>3229</v>
      </c>
      <c r="D335" t="s">
        <v>3230</v>
      </c>
    </row>
    <row r="336" ht="11.25" customHeight="1">
      <c r="A336">
        <v>336</v>
      </c>
      <c r="B336" t="s">
        <v>3217</v>
      </c>
      <c r="C336" t="s">
        <v>3231</v>
      </c>
      <c r="D336" t="s">
        <v>3232</v>
      </c>
    </row>
    <row r="337" ht="11.25" customHeight="1">
      <c r="A337">
        <v>337</v>
      </c>
      <c r="B337" t="s">
        <v>3233</v>
      </c>
      <c r="C337" t="s">
        <v>3234</v>
      </c>
      <c r="D337" t="s">
        <v>3235</v>
      </c>
    </row>
    <row r="338" ht="11.25" customHeight="1">
      <c r="A338">
        <v>338</v>
      </c>
      <c r="B338" t="s">
        <v>3233</v>
      </c>
      <c r="C338" t="s">
        <v>3236</v>
      </c>
      <c r="D338" t="s">
        <v>3237</v>
      </c>
    </row>
    <row r="339" ht="11.25" customHeight="1">
      <c r="A339">
        <v>339</v>
      </c>
      <c r="B339" t="s">
        <v>3233</v>
      </c>
      <c r="C339" t="s">
        <v>3238</v>
      </c>
      <c r="D339" t="s">
        <v>3239</v>
      </c>
    </row>
    <row r="340" ht="11.25" customHeight="1">
      <c r="A340">
        <v>340</v>
      </c>
      <c r="B340" t="s">
        <v>3233</v>
      </c>
      <c r="C340" t="s">
        <v>3240</v>
      </c>
      <c r="D340" t="s">
        <v>3241</v>
      </c>
    </row>
    <row r="341" ht="11.25" customHeight="1">
      <c r="A341">
        <v>341</v>
      </c>
      <c r="B341" t="s">
        <v>3233</v>
      </c>
      <c r="C341" t="s">
        <v>3242</v>
      </c>
      <c r="D341" t="s">
        <v>3243</v>
      </c>
    </row>
    <row r="342" ht="11.25" customHeight="1">
      <c r="A342">
        <v>342</v>
      </c>
      <c r="B342" t="s">
        <v>3233</v>
      </c>
      <c r="C342" t="s">
        <v>3233</v>
      </c>
      <c r="D342" t="s">
        <v>3244</v>
      </c>
    </row>
    <row r="343" ht="11.25" customHeight="1">
      <c r="A343">
        <v>343</v>
      </c>
      <c r="B343" t="s">
        <v>3233</v>
      </c>
      <c r="C343" t="s">
        <v>2705</v>
      </c>
      <c r="D343" t="s">
        <v>3245</v>
      </c>
    </row>
    <row r="344" ht="11.25" customHeight="1">
      <c r="A344">
        <v>344</v>
      </c>
      <c r="B344" t="s">
        <v>3233</v>
      </c>
      <c r="C344" t="s">
        <v>3246</v>
      </c>
      <c r="D344" t="s">
        <v>3247</v>
      </c>
    </row>
    <row r="345" ht="11.25" customHeight="1">
      <c r="A345">
        <v>345</v>
      </c>
      <c r="B345" t="s">
        <v>3233</v>
      </c>
      <c r="C345" t="s">
        <v>3248</v>
      </c>
      <c r="D345" t="s">
        <v>3249</v>
      </c>
    </row>
    <row r="346" ht="11.25" customHeight="1">
      <c r="A346">
        <v>346</v>
      </c>
      <c r="B346" t="s">
        <v>3233</v>
      </c>
      <c r="C346" t="s">
        <v>3250</v>
      </c>
      <c r="D346" t="s">
        <v>3251</v>
      </c>
    </row>
    <row r="347" ht="11.25" customHeight="1">
      <c r="A347">
        <v>347</v>
      </c>
      <c r="B347" t="s">
        <v>3233</v>
      </c>
      <c r="C347" t="s">
        <v>3252</v>
      </c>
      <c r="D347" t="s">
        <v>3253</v>
      </c>
    </row>
    <row r="348" ht="11.25" customHeight="1">
      <c r="A348">
        <v>348</v>
      </c>
      <c r="B348" t="s">
        <v>3233</v>
      </c>
      <c r="C348" t="s">
        <v>3254</v>
      </c>
      <c r="D348" t="s">
        <v>3255</v>
      </c>
    </row>
    <row r="349" ht="11.25" customHeight="1">
      <c r="A349">
        <v>349</v>
      </c>
      <c r="B349" t="s">
        <v>3233</v>
      </c>
      <c r="C349" t="s">
        <v>3256</v>
      </c>
      <c r="D349" t="s">
        <v>3257</v>
      </c>
    </row>
    <row r="350" ht="11.25" customHeight="1">
      <c r="A350">
        <v>350</v>
      </c>
      <c r="B350" t="s">
        <v>3258</v>
      </c>
      <c r="C350" t="s">
        <v>3259</v>
      </c>
      <c r="D350" t="s">
        <v>3260</v>
      </c>
    </row>
    <row r="351" ht="11.25" customHeight="1">
      <c r="A351">
        <v>351</v>
      </c>
      <c r="B351" t="s">
        <v>3258</v>
      </c>
      <c r="C351" t="s">
        <v>3261</v>
      </c>
      <c r="D351" t="s">
        <v>3262</v>
      </c>
    </row>
    <row r="352" ht="11.25" customHeight="1">
      <c r="A352">
        <v>352</v>
      </c>
      <c r="B352" t="s">
        <v>3258</v>
      </c>
      <c r="C352" t="s">
        <v>3263</v>
      </c>
      <c r="D352" t="s">
        <v>3264</v>
      </c>
    </row>
    <row r="353" ht="11.25" customHeight="1">
      <c r="A353">
        <v>353</v>
      </c>
      <c r="B353" t="s">
        <v>3258</v>
      </c>
      <c r="C353" t="s">
        <v>3258</v>
      </c>
      <c r="D353" t="s">
        <v>3265</v>
      </c>
    </row>
    <row r="354" ht="11.25" customHeight="1">
      <c r="A354">
        <v>354</v>
      </c>
      <c r="B354" t="s">
        <v>3258</v>
      </c>
      <c r="C354" t="s">
        <v>3266</v>
      </c>
      <c r="D354" t="s">
        <v>3267</v>
      </c>
    </row>
    <row r="355" ht="11.25" customHeight="1">
      <c r="A355">
        <v>355</v>
      </c>
      <c r="B355" t="s">
        <v>3258</v>
      </c>
      <c r="C355" t="s">
        <v>3268</v>
      </c>
      <c r="D355" t="s">
        <v>3269</v>
      </c>
    </row>
    <row r="356" ht="11.25" customHeight="1">
      <c r="A356">
        <v>356</v>
      </c>
      <c r="B356" t="s">
        <v>3258</v>
      </c>
      <c r="C356" t="s">
        <v>2777</v>
      </c>
      <c r="D356" t="s">
        <v>3270</v>
      </c>
    </row>
    <row r="357" ht="11.25" customHeight="1">
      <c r="A357">
        <v>357</v>
      </c>
      <c r="B357" t="s">
        <v>3258</v>
      </c>
      <c r="C357" t="s">
        <v>3271</v>
      </c>
      <c r="D357" t="s">
        <v>3272</v>
      </c>
    </row>
    <row r="358" ht="11.25" customHeight="1">
      <c r="A358">
        <v>358</v>
      </c>
      <c r="B358" t="s">
        <v>3273</v>
      </c>
      <c r="C358" t="s">
        <v>3274</v>
      </c>
      <c r="D358" t="s">
        <v>3275</v>
      </c>
    </row>
    <row r="359" ht="11.25" customHeight="1">
      <c r="A359">
        <v>359</v>
      </c>
      <c r="B359" t="s">
        <v>3273</v>
      </c>
      <c r="C359" t="s">
        <v>2939</v>
      </c>
      <c r="D359" t="s">
        <v>3276</v>
      </c>
    </row>
    <row r="360" ht="11.25" customHeight="1">
      <c r="A360">
        <v>360</v>
      </c>
      <c r="B360" t="s">
        <v>3273</v>
      </c>
      <c r="C360" t="s">
        <v>3277</v>
      </c>
      <c r="D360" t="s">
        <v>3278</v>
      </c>
    </row>
    <row r="361" ht="11.25" customHeight="1">
      <c r="A361">
        <v>361</v>
      </c>
      <c r="B361" t="s">
        <v>3273</v>
      </c>
      <c r="C361" t="s">
        <v>3122</v>
      </c>
      <c r="D361" t="s">
        <v>3279</v>
      </c>
    </row>
    <row r="362" ht="11.25" customHeight="1">
      <c r="A362">
        <v>362</v>
      </c>
      <c r="B362" t="s">
        <v>3273</v>
      </c>
      <c r="C362" t="s">
        <v>3197</v>
      </c>
      <c r="D362" t="s">
        <v>3280</v>
      </c>
    </row>
    <row r="363" ht="11.25" customHeight="1">
      <c r="A363">
        <v>363</v>
      </c>
      <c r="B363" t="s">
        <v>3273</v>
      </c>
      <c r="C363" t="s">
        <v>2803</v>
      </c>
      <c r="D363" t="s">
        <v>3281</v>
      </c>
    </row>
    <row r="364" ht="11.25" customHeight="1">
      <c r="A364">
        <v>364</v>
      </c>
      <c r="B364" t="s">
        <v>3273</v>
      </c>
      <c r="C364" t="s">
        <v>3282</v>
      </c>
      <c r="D364" t="s">
        <v>3283</v>
      </c>
    </row>
    <row r="365" ht="11.25" customHeight="1">
      <c r="A365">
        <v>365</v>
      </c>
      <c r="B365" t="s">
        <v>3273</v>
      </c>
      <c r="C365" t="s">
        <v>3273</v>
      </c>
      <c r="D365" t="s">
        <v>3284</v>
      </c>
    </row>
    <row r="366" ht="11.25" customHeight="1">
      <c r="A366">
        <v>366</v>
      </c>
      <c r="B366" t="s">
        <v>3273</v>
      </c>
      <c r="C366" t="s">
        <v>3285</v>
      </c>
      <c r="D366" t="s">
        <v>3286</v>
      </c>
    </row>
    <row r="367" ht="11.25" customHeight="1">
      <c r="A367">
        <v>367</v>
      </c>
      <c r="B367" t="s">
        <v>3273</v>
      </c>
      <c r="C367" t="s">
        <v>3287</v>
      </c>
      <c r="D367" t="s">
        <v>3288</v>
      </c>
    </row>
    <row r="368" ht="11.25" customHeight="1">
      <c r="A368">
        <v>368</v>
      </c>
      <c r="B368" t="s">
        <v>3273</v>
      </c>
      <c r="C368" t="s">
        <v>3289</v>
      </c>
      <c r="D368" t="s">
        <v>3290</v>
      </c>
    </row>
    <row r="369" ht="11.25" customHeight="1">
      <c r="A369">
        <v>369</v>
      </c>
      <c r="B369" t="s">
        <v>3273</v>
      </c>
      <c r="C369" t="s">
        <v>3291</v>
      </c>
      <c r="D369" t="s">
        <v>3292</v>
      </c>
    </row>
    <row r="370" ht="11.25" customHeight="1">
      <c r="A370">
        <v>370</v>
      </c>
      <c r="B370" t="s">
        <v>3273</v>
      </c>
      <c r="C370" t="s">
        <v>3293</v>
      </c>
      <c r="D370" t="s">
        <v>3294</v>
      </c>
    </row>
    <row r="371" ht="11.25" customHeight="1">
      <c r="A371">
        <v>371</v>
      </c>
      <c r="B371" t="s">
        <v>3273</v>
      </c>
      <c r="C371" t="s">
        <v>3295</v>
      </c>
      <c r="D371" t="s">
        <v>3296</v>
      </c>
    </row>
    <row r="372" ht="11.25" customHeight="1">
      <c r="A372">
        <v>372</v>
      </c>
      <c r="B372" t="s">
        <v>3273</v>
      </c>
      <c r="C372" t="s">
        <v>3297</v>
      </c>
      <c r="D372" t="s">
        <v>3298</v>
      </c>
    </row>
    <row r="373" ht="11.25" customHeight="1">
      <c r="A373">
        <v>373</v>
      </c>
      <c r="B373" t="s">
        <v>3273</v>
      </c>
      <c r="C373" t="s">
        <v>3299</v>
      </c>
      <c r="D373" t="s">
        <v>3300</v>
      </c>
    </row>
    <row r="374" ht="11.25" customHeight="1">
      <c r="A374">
        <v>374</v>
      </c>
      <c r="B374" t="s">
        <v>3301</v>
      </c>
      <c r="C374" t="s">
        <v>3302</v>
      </c>
      <c r="D374" t="s">
        <v>3303</v>
      </c>
    </row>
    <row r="375" ht="11.25" customHeight="1">
      <c r="A375">
        <v>375</v>
      </c>
      <c r="B375" t="s">
        <v>3301</v>
      </c>
      <c r="C375" t="s">
        <v>3304</v>
      </c>
      <c r="D375" t="s">
        <v>3305</v>
      </c>
    </row>
    <row r="376" ht="11.25" customHeight="1">
      <c r="A376">
        <v>376</v>
      </c>
      <c r="B376" t="s">
        <v>3301</v>
      </c>
      <c r="C376" t="s">
        <v>3306</v>
      </c>
      <c r="D376" t="s">
        <v>3307</v>
      </c>
    </row>
    <row r="377" ht="11.25" customHeight="1">
      <c r="A377">
        <v>377</v>
      </c>
      <c r="B377" t="s">
        <v>3301</v>
      </c>
      <c r="C377" t="s">
        <v>3308</v>
      </c>
      <c r="D377" t="s">
        <v>3309</v>
      </c>
    </row>
    <row r="378" ht="11.25" customHeight="1">
      <c r="A378">
        <v>378</v>
      </c>
      <c r="B378" t="s">
        <v>3301</v>
      </c>
      <c r="C378" t="s">
        <v>3310</v>
      </c>
      <c r="D378" t="s">
        <v>3311</v>
      </c>
    </row>
    <row r="379" ht="11.25" customHeight="1">
      <c r="A379">
        <v>379</v>
      </c>
      <c r="B379" t="s">
        <v>3301</v>
      </c>
      <c r="C379" t="s">
        <v>3301</v>
      </c>
      <c r="D379" t="s">
        <v>3312</v>
      </c>
    </row>
    <row r="380" ht="11.25" customHeight="1">
      <c r="A380">
        <v>380</v>
      </c>
      <c r="B380" t="s">
        <v>3301</v>
      </c>
      <c r="C380" t="s">
        <v>3313</v>
      </c>
      <c r="D380" t="s">
        <v>3314</v>
      </c>
    </row>
    <row r="381" ht="11.25" customHeight="1">
      <c r="A381">
        <v>381</v>
      </c>
      <c r="B381" t="s">
        <v>3301</v>
      </c>
      <c r="C381" t="s">
        <v>3315</v>
      </c>
      <c r="D381" t="s">
        <v>3316</v>
      </c>
    </row>
    <row r="382" ht="11.25" customHeight="1">
      <c r="A382">
        <v>382</v>
      </c>
      <c r="B382" t="s">
        <v>3301</v>
      </c>
      <c r="C382" t="s">
        <v>3317</v>
      </c>
      <c r="D382" t="s">
        <v>3318</v>
      </c>
    </row>
    <row r="383" ht="11.25" customHeight="1">
      <c r="A383">
        <v>383</v>
      </c>
      <c r="B383" t="s">
        <v>3301</v>
      </c>
      <c r="C383" t="s">
        <v>3319</v>
      </c>
      <c r="D383" t="s">
        <v>3320</v>
      </c>
    </row>
    <row r="384" ht="11.25" customHeight="1">
      <c r="A384">
        <v>384</v>
      </c>
      <c r="B384" t="s">
        <v>3321</v>
      </c>
      <c r="C384" t="s">
        <v>3322</v>
      </c>
      <c r="D384" t="s">
        <v>3323</v>
      </c>
    </row>
    <row r="385" ht="11.25" customHeight="1">
      <c r="A385">
        <v>385</v>
      </c>
      <c r="B385" t="s">
        <v>3321</v>
      </c>
      <c r="C385" t="s">
        <v>3324</v>
      </c>
      <c r="D385" t="s">
        <v>3325</v>
      </c>
    </row>
    <row r="386" ht="11.25" customHeight="1">
      <c r="A386">
        <v>386</v>
      </c>
      <c r="B386" t="s">
        <v>3321</v>
      </c>
      <c r="C386" t="s">
        <v>2758</v>
      </c>
      <c r="D386" t="s">
        <v>3326</v>
      </c>
    </row>
    <row r="387" ht="11.25" customHeight="1">
      <c r="A387">
        <v>387</v>
      </c>
      <c r="B387" t="s">
        <v>3321</v>
      </c>
      <c r="C387" t="s">
        <v>3327</v>
      </c>
      <c r="D387" t="s">
        <v>3328</v>
      </c>
    </row>
    <row r="388" ht="11.25" customHeight="1">
      <c r="A388">
        <v>388</v>
      </c>
      <c r="B388" t="s">
        <v>3321</v>
      </c>
      <c r="C388" t="s">
        <v>3329</v>
      </c>
      <c r="D388" t="s">
        <v>3330</v>
      </c>
    </row>
    <row r="389" ht="11.25" customHeight="1">
      <c r="A389">
        <v>389</v>
      </c>
      <c r="B389" t="s">
        <v>3321</v>
      </c>
      <c r="C389" t="s">
        <v>3331</v>
      </c>
      <c r="D389" t="s">
        <v>3332</v>
      </c>
    </row>
    <row r="390" ht="11.25" customHeight="1">
      <c r="A390">
        <v>390</v>
      </c>
      <c r="B390" t="s">
        <v>3321</v>
      </c>
      <c r="C390" t="s">
        <v>3333</v>
      </c>
      <c r="D390" t="s">
        <v>3334</v>
      </c>
    </row>
    <row r="391" ht="11.25" customHeight="1">
      <c r="A391">
        <v>391</v>
      </c>
      <c r="B391" t="s">
        <v>3321</v>
      </c>
      <c r="C391" t="s">
        <v>3335</v>
      </c>
      <c r="D391" t="s">
        <v>3336</v>
      </c>
    </row>
    <row r="392" ht="11.25" customHeight="1">
      <c r="A392">
        <v>392</v>
      </c>
      <c r="B392" t="s">
        <v>3321</v>
      </c>
      <c r="C392" t="s">
        <v>3337</v>
      </c>
      <c r="D392" t="s">
        <v>3338</v>
      </c>
    </row>
    <row r="393" ht="11.25" customHeight="1">
      <c r="A393">
        <v>393</v>
      </c>
      <c r="B393" t="s">
        <v>3321</v>
      </c>
      <c r="C393" t="s">
        <v>3339</v>
      </c>
      <c r="D393" t="s">
        <v>3340</v>
      </c>
    </row>
    <row r="394" ht="11.25" customHeight="1">
      <c r="A394">
        <v>394</v>
      </c>
      <c r="B394" t="s">
        <v>3321</v>
      </c>
      <c r="C394" t="s">
        <v>3321</v>
      </c>
      <c r="D394" t="s">
        <v>3341</v>
      </c>
    </row>
    <row r="395" ht="11.25" customHeight="1">
      <c r="A395">
        <v>395</v>
      </c>
      <c r="B395" t="s">
        <v>3321</v>
      </c>
      <c r="C395" t="s">
        <v>2683</v>
      </c>
      <c r="D395" t="s">
        <v>3342</v>
      </c>
    </row>
    <row r="396" ht="11.25" customHeight="1">
      <c r="A396">
        <v>396</v>
      </c>
      <c r="B396" t="s">
        <v>3321</v>
      </c>
      <c r="C396" t="s">
        <v>3343</v>
      </c>
      <c r="D396" t="s">
        <v>3344</v>
      </c>
    </row>
    <row r="397" ht="11.25" customHeight="1">
      <c r="A397">
        <v>397</v>
      </c>
      <c r="B397" t="s">
        <v>3321</v>
      </c>
      <c r="C397" t="s">
        <v>3345</v>
      </c>
      <c r="D397" t="s">
        <v>3346</v>
      </c>
    </row>
    <row r="398" ht="11.25" customHeight="1">
      <c r="A398">
        <v>398</v>
      </c>
      <c r="B398" t="s">
        <v>3321</v>
      </c>
      <c r="C398" t="s">
        <v>3347</v>
      </c>
      <c r="D398" t="s">
        <v>3348</v>
      </c>
    </row>
    <row r="399" ht="11.25" customHeight="1">
      <c r="A399">
        <v>399</v>
      </c>
      <c r="B399" t="s">
        <v>3321</v>
      </c>
      <c r="C399" t="s">
        <v>3349</v>
      </c>
      <c r="D399" t="s">
        <v>3350</v>
      </c>
    </row>
    <row r="400" ht="11.25" customHeight="1">
      <c r="A400">
        <v>400</v>
      </c>
      <c r="B400" t="s">
        <v>3321</v>
      </c>
      <c r="C400" t="s">
        <v>3351</v>
      </c>
      <c r="D400" t="s">
        <v>3352</v>
      </c>
    </row>
    <row r="401" ht="11.25" customHeight="1">
      <c r="A401">
        <v>401</v>
      </c>
      <c r="B401" t="s">
        <v>3321</v>
      </c>
      <c r="C401" t="s">
        <v>3353</v>
      </c>
      <c r="D401" t="s">
        <v>3354</v>
      </c>
    </row>
    <row r="402" ht="11.25" customHeight="1">
      <c r="A402">
        <v>402</v>
      </c>
      <c r="B402" t="s">
        <v>3321</v>
      </c>
      <c r="C402" t="s">
        <v>3355</v>
      </c>
      <c r="D402" t="s">
        <v>3356</v>
      </c>
    </row>
    <row r="403" ht="11.25" customHeight="1">
      <c r="A403">
        <v>403</v>
      </c>
      <c r="B403" t="s">
        <v>3357</v>
      </c>
      <c r="C403" t="s">
        <v>2694</v>
      </c>
      <c r="D403" t="s">
        <v>3358</v>
      </c>
    </row>
    <row r="404" ht="11.25" customHeight="1">
      <c r="A404">
        <v>404</v>
      </c>
      <c r="B404" t="s">
        <v>3357</v>
      </c>
      <c r="C404" t="s">
        <v>3359</v>
      </c>
      <c r="D404" t="s">
        <v>3360</v>
      </c>
    </row>
    <row r="405" ht="11.25" customHeight="1">
      <c r="A405">
        <v>405</v>
      </c>
      <c r="B405" t="s">
        <v>3357</v>
      </c>
      <c r="C405" t="s">
        <v>3361</v>
      </c>
      <c r="D405" t="s">
        <v>3362</v>
      </c>
    </row>
    <row r="406" ht="11.25" customHeight="1">
      <c r="A406">
        <v>406</v>
      </c>
      <c r="B406" t="s">
        <v>3357</v>
      </c>
      <c r="C406" t="s">
        <v>2841</v>
      </c>
      <c r="D406" t="s">
        <v>3363</v>
      </c>
    </row>
    <row r="407" ht="11.25" customHeight="1">
      <c r="A407">
        <v>407</v>
      </c>
      <c r="B407" t="s">
        <v>3357</v>
      </c>
      <c r="C407" t="s">
        <v>2705</v>
      </c>
      <c r="D407" t="s">
        <v>3364</v>
      </c>
    </row>
    <row r="408" ht="11.25" customHeight="1">
      <c r="A408">
        <v>408</v>
      </c>
      <c r="B408" t="s">
        <v>3357</v>
      </c>
      <c r="C408" t="s">
        <v>3365</v>
      </c>
      <c r="D408" t="s">
        <v>3366</v>
      </c>
    </row>
    <row r="409" ht="11.25" customHeight="1">
      <c r="A409">
        <v>409</v>
      </c>
      <c r="B409" t="s">
        <v>3357</v>
      </c>
      <c r="C409" t="s">
        <v>3367</v>
      </c>
      <c r="D409" t="s">
        <v>3368</v>
      </c>
    </row>
    <row r="410" ht="11.25" customHeight="1">
      <c r="A410">
        <v>410</v>
      </c>
      <c r="B410" t="s">
        <v>3357</v>
      </c>
      <c r="C410" t="s">
        <v>3357</v>
      </c>
      <c r="D410" t="s">
        <v>3369</v>
      </c>
    </row>
    <row r="411" ht="11.25" customHeight="1">
      <c r="A411">
        <v>411</v>
      </c>
      <c r="B411" t="s">
        <v>3357</v>
      </c>
      <c r="C411" t="s">
        <v>3370</v>
      </c>
      <c r="D411" t="s">
        <v>3371</v>
      </c>
    </row>
    <row r="412" ht="11.25" customHeight="1">
      <c r="A412">
        <v>412</v>
      </c>
      <c r="B412" t="s">
        <v>3357</v>
      </c>
      <c r="C412" t="s">
        <v>3372</v>
      </c>
      <c r="D412" t="s">
        <v>3373</v>
      </c>
    </row>
    <row r="413" ht="11.25" customHeight="1">
      <c r="A413">
        <v>413</v>
      </c>
      <c r="B413" t="s">
        <v>3374</v>
      </c>
      <c r="C413" t="s">
        <v>3375</v>
      </c>
      <c r="D413" t="s">
        <v>3376</v>
      </c>
    </row>
    <row r="414" ht="11.25" customHeight="1">
      <c r="A414">
        <v>414</v>
      </c>
      <c r="B414" t="s">
        <v>3374</v>
      </c>
      <c r="C414" t="s">
        <v>3377</v>
      </c>
      <c r="D414" t="s">
        <v>3378</v>
      </c>
    </row>
    <row r="415" ht="11.25" customHeight="1">
      <c r="A415">
        <v>415</v>
      </c>
      <c r="B415" t="s">
        <v>3374</v>
      </c>
      <c r="C415" t="s">
        <v>3379</v>
      </c>
      <c r="D415" t="s">
        <v>3380</v>
      </c>
    </row>
    <row r="416" ht="11.25" customHeight="1">
      <c r="A416">
        <v>416</v>
      </c>
      <c r="B416" t="s">
        <v>3374</v>
      </c>
      <c r="C416" t="s">
        <v>3381</v>
      </c>
      <c r="D416" t="s">
        <v>3382</v>
      </c>
    </row>
    <row r="417" ht="11.25" customHeight="1">
      <c r="A417">
        <v>417</v>
      </c>
      <c r="B417" t="s">
        <v>3374</v>
      </c>
      <c r="C417" t="s">
        <v>3383</v>
      </c>
      <c r="D417" t="s">
        <v>3384</v>
      </c>
    </row>
    <row r="418" ht="11.25" customHeight="1">
      <c r="A418">
        <v>418</v>
      </c>
      <c r="B418" t="s">
        <v>3374</v>
      </c>
      <c r="C418" t="s">
        <v>3385</v>
      </c>
      <c r="D418" t="s">
        <v>3386</v>
      </c>
    </row>
    <row r="419" ht="11.25" customHeight="1">
      <c r="A419">
        <v>419</v>
      </c>
      <c r="B419" t="s">
        <v>3374</v>
      </c>
      <c r="C419" t="s">
        <v>3206</v>
      </c>
      <c r="D419" t="s">
        <v>3387</v>
      </c>
    </row>
    <row r="420" ht="11.25" customHeight="1">
      <c r="A420">
        <v>420</v>
      </c>
      <c r="B420" t="s">
        <v>3374</v>
      </c>
      <c r="C420" t="s">
        <v>2705</v>
      </c>
      <c r="D420" t="s">
        <v>3388</v>
      </c>
    </row>
    <row r="421" ht="11.25" customHeight="1">
      <c r="A421">
        <v>421</v>
      </c>
      <c r="B421" t="s">
        <v>3374</v>
      </c>
      <c r="C421" t="s">
        <v>3389</v>
      </c>
      <c r="D421" t="s">
        <v>3390</v>
      </c>
    </row>
    <row r="422" ht="11.25" customHeight="1">
      <c r="A422">
        <v>422</v>
      </c>
      <c r="B422" t="s">
        <v>3374</v>
      </c>
      <c r="C422" t="s">
        <v>3391</v>
      </c>
      <c r="D422" t="s">
        <v>3392</v>
      </c>
    </row>
    <row r="423" ht="11.25" customHeight="1">
      <c r="A423">
        <v>423</v>
      </c>
      <c r="B423" t="s">
        <v>3374</v>
      </c>
      <c r="C423" t="s">
        <v>3374</v>
      </c>
      <c r="D423" t="s">
        <v>3393</v>
      </c>
    </row>
    <row r="424" ht="11.25" customHeight="1">
      <c r="A424">
        <v>424</v>
      </c>
      <c r="B424" t="s">
        <v>3374</v>
      </c>
      <c r="C424" t="s">
        <v>3394</v>
      </c>
      <c r="D424" t="s">
        <v>3395</v>
      </c>
    </row>
    <row r="425" ht="11.25" customHeight="1">
      <c r="A425">
        <v>425</v>
      </c>
      <c r="B425" t="s">
        <v>3396</v>
      </c>
      <c r="C425" t="s">
        <v>2628</v>
      </c>
      <c r="D425" t="s">
        <v>3397</v>
      </c>
    </row>
    <row r="426" ht="11.25" customHeight="1">
      <c r="A426">
        <v>426</v>
      </c>
      <c r="B426" t="s">
        <v>3396</v>
      </c>
      <c r="C426" t="s">
        <v>3398</v>
      </c>
      <c r="D426" t="s">
        <v>3399</v>
      </c>
    </row>
    <row r="427" ht="11.25" customHeight="1">
      <c r="A427">
        <v>427</v>
      </c>
      <c r="B427" t="s">
        <v>3396</v>
      </c>
      <c r="C427" t="s">
        <v>3400</v>
      </c>
      <c r="D427" t="s">
        <v>3401</v>
      </c>
    </row>
    <row r="428" ht="11.25" customHeight="1">
      <c r="A428">
        <v>428</v>
      </c>
      <c r="B428" t="s">
        <v>3396</v>
      </c>
      <c r="C428" t="s">
        <v>3402</v>
      </c>
      <c r="D428" t="s">
        <v>3403</v>
      </c>
    </row>
    <row r="429" ht="11.25" customHeight="1">
      <c r="A429">
        <v>429</v>
      </c>
      <c r="B429" t="s">
        <v>3396</v>
      </c>
      <c r="C429" t="s">
        <v>3404</v>
      </c>
      <c r="D429" t="s">
        <v>3405</v>
      </c>
    </row>
    <row r="430" ht="11.25" customHeight="1">
      <c r="A430">
        <v>430</v>
      </c>
      <c r="B430" t="s">
        <v>3396</v>
      </c>
      <c r="C430" t="s">
        <v>3406</v>
      </c>
      <c r="D430" t="s">
        <v>3407</v>
      </c>
    </row>
    <row r="431" ht="11.25" customHeight="1">
      <c r="A431">
        <v>431</v>
      </c>
      <c r="B431" t="s">
        <v>3396</v>
      </c>
      <c r="C431" t="s">
        <v>3408</v>
      </c>
      <c r="D431" t="s">
        <v>3409</v>
      </c>
    </row>
    <row r="432" ht="11.25" customHeight="1">
      <c r="A432">
        <v>432</v>
      </c>
      <c r="B432" t="s">
        <v>3396</v>
      </c>
      <c r="C432" t="s">
        <v>3410</v>
      </c>
      <c r="D432" t="s">
        <v>3411</v>
      </c>
    </row>
    <row r="433" ht="11.25" customHeight="1">
      <c r="A433">
        <v>433</v>
      </c>
      <c r="B433" t="s">
        <v>3396</v>
      </c>
      <c r="C433" t="s">
        <v>3412</v>
      </c>
      <c r="D433" t="s">
        <v>3413</v>
      </c>
    </row>
    <row r="434" ht="11.25" customHeight="1">
      <c r="A434">
        <v>434</v>
      </c>
      <c r="B434" t="s">
        <v>3396</v>
      </c>
      <c r="C434" t="s">
        <v>3396</v>
      </c>
      <c r="D434" t="s">
        <v>3414</v>
      </c>
    </row>
    <row r="435" ht="11.25" customHeight="1">
      <c r="A435">
        <v>435</v>
      </c>
      <c r="B435" t="s">
        <v>3396</v>
      </c>
      <c r="C435" t="s">
        <v>3415</v>
      </c>
      <c r="D435" t="s">
        <v>3416</v>
      </c>
    </row>
    <row r="436" ht="11.25" customHeight="1">
      <c r="A436">
        <v>436</v>
      </c>
      <c r="B436" t="s">
        <v>3396</v>
      </c>
      <c r="C436" t="s">
        <v>3417</v>
      </c>
      <c r="D436" t="s">
        <v>3418</v>
      </c>
    </row>
    <row r="437" ht="11.25" customHeight="1">
      <c r="A437">
        <v>437</v>
      </c>
      <c r="B437" t="s">
        <v>3396</v>
      </c>
      <c r="C437" t="s">
        <v>3419</v>
      </c>
      <c r="D437" t="s">
        <v>3420</v>
      </c>
    </row>
    <row r="438" ht="11.25" customHeight="1">
      <c r="A438">
        <v>438</v>
      </c>
      <c r="B438" t="s">
        <v>3396</v>
      </c>
      <c r="C438" t="s">
        <v>3421</v>
      </c>
      <c r="D438" t="s">
        <v>3422</v>
      </c>
    </row>
    <row r="439" ht="11.25" customHeight="1">
      <c r="A439">
        <v>439</v>
      </c>
      <c r="B439" t="s">
        <v>3423</v>
      </c>
      <c r="C439" t="s">
        <v>3424</v>
      </c>
      <c r="D439" t="s">
        <v>3425</v>
      </c>
    </row>
    <row r="440" ht="11.25" customHeight="1">
      <c r="A440">
        <v>440</v>
      </c>
      <c r="B440" t="s">
        <v>3423</v>
      </c>
      <c r="C440" t="s">
        <v>3426</v>
      </c>
      <c r="D440" t="s">
        <v>3427</v>
      </c>
    </row>
    <row r="441" ht="11.25" customHeight="1">
      <c r="A441">
        <v>441</v>
      </c>
      <c r="B441" t="s">
        <v>3423</v>
      </c>
      <c r="C441" t="s">
        <v>3428</v>
      </c>
      <c r="D441" t="s">
        <v>3429</v>
      </c>
    </row>
    <row r="442" ht="11.25" customHeight="1">
      <c r="A442">
        <v>442</v>
      </c>
      <c r="B442" t="s">
        <v>3423</v>
      </c>
      <c r="C442" t="s">
        <v>3430</v>
      </c>
      <c r="D442" t="s">
        <v>3431</v>
      </c>
    </row>
    <row r="443" ht="11.25" customHeight="1">
      <c r="A443">
        <v>443</v>
      </c>
      <c r="B443" t="s">
        <v>3423</v>
      </c>
      <c r="C443" t="s">
        <v>3007</v>
      </c>
      <c r="D443" t="s">
        <v>3432</v>
      </c>
    </row>
    <row r="444" ht="11.25" customHeight="1">
      <c r="A444">
        <v>444</v>
      </c>
      <c r="B444" t="s">
        <v>3423</v>
      </c>
      <c r="C444" t="s">
        <v>3433</v>
      </c>
      <c r="D444" t="s">
        <v>3434</v>
      </c>
    </row>
    <row r="445" ht="11.25" customHeight="1">
      <c r="A445">
        <v>445</v>
      </c>
      <c r="B445" t="s">
        <v>3423</v>
      </c>
      <c r="C445" t="s">
        <v>3423</v>
      </c>
      <c r="D445" t="s">
        <v>3435</v>
      </c>
    </row>
    <row r="446" ht="11.25" customHeight="1">
      <c r="A446">
        <v>446</v>
      </c>
      <c r="B446" t="s">
        <v>3423</v>
      </c>
      <c r="C446" t="s">
        <v>3436</v>
      </c>
      <c r="D446" t="s">
        <v>3437</v>
      </c>
    </row>
    <row r="447" ht="11.25" customHeight="1">
      <c r="A447">
        <v>447</v>
      </c>
      <c r="B447" t="s">
        <v>3423</v>
      </c>
      <c r="C447" t="s">
        <v>3438</v>
      </c>
      <c r="D447" t="s">
        <v>3439</v>
      </c>
    </row>
    <row r="448" ht="11.25" customHeight="1">
      <c r="A448">
        <v>448</v>
      </c>
      <c r="B448" t="s">
        <v>3423</v>
      </c>
      <c r="C448" t="s">
        <v>3440</v>
      </c>
      <c r="D448" t="s">
        <v>3441</v>
      </c>
    </row>
    <row r="449" ht="11.25" customHeight="1">
      <c r="A449">
        <v>449</v>
      </c>
      <c r="B449" t="s">
        <v>3423</v>
      </c>
      <c r="C449" t="s">
        <v>3442</v>
      </c>
      <c r="D449" t="s">
        <v>3443</v>
      </c>
    </row>
    <row r="450" ht="11.25" customHeight="1">
      <c r="A450">
        <v>450</v>
      </c>
      <c r="B450" t="s">
        <v>3423</v>
      </c>
      <c r="C450" t="s">
        <v>3444</v>
      </c>
      <c r="D450" t="s">
        <v>3445</v>
      </c>
    </row>
    <row r="451" ht="11.25" customHeight="1">
      <c r="A451">
        <v>451</v>
      </c>
      <c r="B451" t="s">
        <v>3423</v>
      </c>
      <c r="C451" t="s">
        <v>3446</v>
      </c>
      <c r="D451" t="s">
        <v>3447</v>
      </c>
    </row>
    <row r="452" ht="11.25" customHeight="1">
      <c r="A452">
        <v>452</v>
      </c>
      <c r="B452" t="s">
        <v>3448</v>
      </c>
      <c r="C452" t="s">
        <v>3449</v>
      </c>
      <c r="D452" t="s">
        <v>3450</v>
      </c>
    </row>
    <row r="453" ht="11.25" customHeight="1">
      <c r="A453">
        <v>453</v>
      </c>
      <c r="B453" t="s">
        <v>3448</v>
      </c>
      <c r="C453" t="s">
        <v>3451</v>
      </c>
      <c r="D453" t="s">
        <v>3452</v>
      </c>
    </row>
    <row r="454" ht="11.25" customHeight="1">
      <c r="A454">
        <v>454</v>
      </c>
      <c r="B454" t="s">
        <v>3448</v>
      </c>
      <c r="C454" t="s">
        <v>3453</v>
      </c>
      <c r="D454" t="s">
        <v>3454</v>
      </c>
    </row>
    <row r="455" ht="11.25" customHeight="1">
      <c r="A455">
        <v>455</v>
      </c>
      <c r="B455" t="s">
        <v>3448</v>
      </c>
      <c r="C455" t="s">
        <v>3455</v>
      </c>
      <c r="D455" t="s">
        <v>3456</v>
      </c>
    </row>
    <row r="456" ht="11.25" customHeight="1">
      <c r="A456">
        <v>456</v>
      </c>
      <c r="B456" t="s">
        <v>3448</v>
      </c>
      <c r="C456" t="s">
        <v>3457</v>
      </c>
      <c r="D456" t="s">
        <v>3458</v>
      </c>
    </row>
    <row r="457" ht="11.25" customHeight="1">
      <c r="A457">
        <v>457</v>
      </c>
      <c r="B457" t="s">
        <v>3448</v>
      </c>
      <c r="C457" t="s">
        <v>3120</v>
      </c>
      <c r="D457" t="s">
        <v>3459</v>
      </c>
    </row>
    <row r="458" ht="11.25" customHeight="1">
      <c r="A458">
        <v>458</v>
      </c>
      <c r="B458" t="s">
        <v>3448</v>
      </c>
      <c r="C458" t="s">
        <v>3460</v>
      </c>
      <c r="D458" t="s">
        <v>3461</v>
      </c>
    </row>
    <row r="459" ht="11.25" customHeight="1">
      <c r="A459">
        <v>459</v>
      </c>
      <c r="B459" t="s">
        <v>3448</v>
      </c>
      <c r="C459" t="s">
        <v>3462</v>
      </c>
      <c r="D459" t="s">
        <v>3463</v>
      </c>
    </row>
    <row r="460" ht="11.25" customHeight="1">
      <c r="A460">
        <v>460</v>
      </c>
      <c r="B460" t="s">
        <v>3448</v>
      </c>
      <c r="C460" t="s">
        <v>3464</v>
      </c>
      <c r="D460" t="s">
        <v>3465</v>
      </c>
    </row>
    <row r="461" ht="11.25" customHeight="1">
      <c r="A461">
        <v>461</v>
      </c>
      <c r="B461" t="s">
        <v>3448</v>
      </c>
      <c r="C461" t="s">
        <v>3448</v>
      </c>
      <c r="D461" t="s">
        <v>3466</v>
      </c>
    </row>
    <row r="462" ht="11.25" customHeight="1">
      <c r="A462">
        <v>462</v>
      </c>
      <c r="B462" t="s">
        <v>3448</v>
      </c>
      <c r="C462" t="s">
        <v>3317</v>
      </c>
      <c r="D462" t="s">
        <v>3467</v>
      </c>
    </row>
    <row r="463" ht="11.25" customHeight="1">
      <c r="A463">
        <v>463</v>
      </c>
      <c r="B463" t="s">
        <v>3448</v>
      </c>
      <c r="C463" t="s">
        <v>3468</v>
      </c>
      <c r="D463" t="s">
        <v>3469</v>
      </c>
    </row>
    <row r="464" ht="11.25" customHeight="1">
      <c r="A464">
        <v>464</v>
      </c>
      <c r="B464" t="s">
        <v>3448</v>
      </c>
      <c r="C464" t="s">
        <v>3470</v>
      </c>
      <c r="D464" t="s">
        <v>3471</v>
      </c>
    </row>
    <row r="465" ht="11.25" customHeight="1">
      <c r="A465">
        <v>465</v>
      </c>
      <c r="B465" t="s">
        <v>3472</v>
      </c>
      <c r="C465" t="s">
        <v>3473</v>
      </c>
      <c r="D465" t="s">
        <v>3474</v>
      </c>
    </row>
    <row r="466" ht="11.25" customHeight="1">
      <c r="A466">
        <v>466</v>
      </c>
      <c r="B466" t="s">
        <v>3472</v>
      </c>
      <c r="C466" t="s">
        <v>3475</v>
      </c>
      <c r="D466" t="s">
        <v>3476</v>
      </c>
    </row>
    <row r="467" ht="11.25" customHeight="1">
      <c r="A467">
        <v>467</v>
      </c>
      <c r="B467" t="s">
        <v>3472</v>
      </c>
      <c r="C467" t="s">
        <v>3477</v>
      </c>
      <c r="D467" t="s">
        <v>3478</v>
      </c>
    </row>
    <row r="468" ht="11.25" customHeight="1">
      <c r="A468">
        <v>468</v>
      </c>
      <c r="B468" t="s">
        <v>3472</v>
      </c>
      <c r="C468" t="s">
        <v>3479</v>
      </c>
      <c r="D468" t="s">
        <v>3480</v>
      </c>
    </row>
    <row r="469" ht="11.25" customHeight="1">
      <c r="A469">
        <v>469</v>
      </c>
      <c r="B469" t="s">
        <v>3472</v>
      </c>
      <c r="C469" t="s">
        <v>3481</v>
      </c>
      <c r="D469" t="s">
        <v>3482</v>
      </c>
    </row>
    <row r="470" ht="11.25" customHeight="1">
      <c r="A470">
        <v>470</v>
      </c>
      <c r="B470" t="s">
        <v>3472</v>
      </c>
      <c r="C470" t="s">
        <v>3483</v>
      </c>
      <c r="D470" t="s">
        <v>3484</v>
      </c>
    </row>
    <row r="471" ht="11.25" customHeight="1">
      <c r="A471">
        <v>471</v>
      </c>
      <c r="B471" t="s">
        <v>3472</v>
      </c>
      <c r="C471" t="s">
        <v>3485</v>
      </c>
      <c r="D471" t="s">
        <v>3486</v>
      </c>
    </row>
    <row r="472" ht="11.25" customHeight="1">
      <c r="A472">
        <v>472</v>
      </c>
      <c r="B472" t="s">
        <v>3472</v>
      </c>
      <c r="C472" t="s">
        <v>3487</v>
      </c>
      <c r="D472" t="s">
        <v>3488</v>
      </c>
    </row>
    <row r="473" ht="11.25" customHeight="1">
      <c r="A473">
        <v>473</v>
      </c>
      <c r="B473" t="s">
        <v>3472</v>
      </c>
      <c r="C473" t="s">
        <v>3489</v>
      </c>
      <c r="D473" t="s">
        <v>3490</v>
      </c>
    </row>
    <row r="474" ht="11.25" customHeight="1">
      <c r="A474">
        <v>474</v>
      </c>
      <c r="B474" t="s">
        <v>3472</v>
      </c>
      <c r="C474" t="s">
        <v>3491</v>
      </c>
      <c r="D474" t="s">
        <v>3492</v>
      </c>
    </row>
    <row r="475" ht="11.25" customHeight="1">
      <c r="A475">
        <v>475</v>
      </c>
      <c r="B475" t="s">
        <v>3472</v>
      </c>
      <c r="C475" t="s">
        <v>3493</v>
      </c>
      <c r="D475" t="s">
        <v>3494</v>
      </c>
    </row>
    <row r="476" ht="11.25" customHeight="1">
      <c r="A476">
        <v>476</v>
      </c>
      <c r="B476" t="s">
        <v>3472</v>
      </c>
      <c r="C476" t="s">
        <v>3495</v>
      </c>
      <c r="D476" t="s">
        <v>3496</v>
      </c>
    </row>
    <row r="477" ht="11.25" customHeight="1">
      <c r="A477">
        <v>477</v>
      </c>
      <c r="B477" t="s">
        <v>3472</v>
      </c>
      <c r="C477" t="s">
        <v>3231</v>
      </c>
      <c r="D477" t="s">
        <v>3497</v>
      </c>
    </row>
    <row r="478" ht="11.25" customHeight="1">
      <c r="A478">
        <v>478</v>
      </c>
      <c r="B478" t="s">
        <v>3472</v>
      </c>
      <c r="C478" t="s">
        <v>3472</v>
      </c>
      <c r="D478" t="s">
        <v>3498</v>
      </c>
    </row>
    <row r="479" ht="11.25" customHeight="1">
      <c r="A479">
        <v>479</v>
      </c>
      <c r="B479" t="s">
        <v>3472</v>
      </c>
      <c r="C479" t="s">
        <v>3499</v>
      </c>
      <c r="D479" t="s">
        <v>3500</v>
      </c>
    </row>
    <row r="480" ht="11.25" customHeight="1">
      <c r="A480">
        <v>480</v>
      </c>
      <c r="B480" t="s">
        <v>3472</v>
      </c>
      <c r="C480" t="s">
        <v>3185</v>
      </c>
      <c r="D480" t="s">
        <v>3501</v>
      </c>
    </row>
    <row r="481" ht="11.25" customHeight="1">
      <c r="A481">
        <v>481</v>
      </c>
      <c r="B481" t="s">
        <v>3472</v>
      </c>
      <c r="C481" t="s">
        <v>3502</v>
      </c>
      <c r="D481" t="s">
        <v>3503</v>
      </c>
    </row>
    <row r="482" ht="11.25" customHeight="1">
      <c r="A482">
        <v>482</v>
      </c>
      <c r="B482" t="s">
        <v>3472</v>
      </c>
      <c r="C482" t="s">
        <v>3504</v>
      </c>
      <c r="D482" t="s">
        <v>3505</v>
      </c>
    </row>
    <row r="483" ht="11.25" customHeight="1">
      <c r="A483">
        <v>483</v>
      </c>
      <c r="B483" t="s">
        <v>3506</v>
      </c>
      <c r="C483" t="s">
        <v>3507</v>
      </c>
      <c r="D483" t="s">
        <v>3508</v>
      </c>
    </row>
    <row r="484" ht="11.25" customHeight="1">
      <c r="A484">
        <v>484</v>
      </c>
      <c r="B484" t="s">
        <v>3506</v>
      </c>
      <c r="C484" t="s">
        <v>3509</v>
      </c>
      <c r="D484" t="s">
        <v>3510</v>
      </c>
    </row>
    <row r="485" ht="11.25" customHeight="1">
      <c r="A485">
        <v>485</v>
      </c>
      <c r="B485" t="s">
        <v>3506</v>
      </c>
      <c r="C485" t="s">
        <v>2602</v>
      </c>
      <c r="D485" t="s">
        <v>3511</v>
      </c>
    </row>
    <row r="486" ht="11.25" customHeight="1">
      <c r="A486">
        <v>486</v>
      </c>
      <c r="B486" t="s">
        <v>3506</v>
      </c>
      <c r="C486" t="s">
        <v>3512</v>
      </c>
      <c r="D486" t="s">
        <v>3513</v>
      </c>
    </row>
    <row r="487" ht="11.25" customHeight="1">
      <c r="A487">
        <v>487</v>
      </c>
      <c r="B487" t="s">
        <v>3506</v>
      </c>
      <c r="C487" t="s">
        <v>3514</v>
      </c>
      <c r="D487" t="s">
        <v>3515</v>
      </c>
    </row>
    <row r="488" ht="11.25" customHeight="1">
      <c r="A488">
        <v>488</v>
      </c>
      <c r="B488" t="s">
        <v>3506</v>
      </c>
      <c r="C488" t="s">
        <v>3506</v>
      </c>
      <c r="D488" t="s">
        <v>3516</v>
      </c>
    </row>
    <row r="489" ht="11.25" customHeight="1">
      <c r="A489">
        <v>489</v>
      </c>
      <c r="B489" t="s">
        <v>3506</v>
      </c>
      <c r="C489" t="s">
        <v>3517</v>
      </c>
      <c r="D489" t="s">
        <v>3518</v>
      </c>
    </row>
    <row r="490" ht="11.25" customHeight="1">
      <c r="A490">
        <v>490</v>
      </c>
      <c r="B490" t="s">
        <v>3506</v>
      </c>
      <c r="C490" t="s">
        <v>2777</v>
      </c>
      <c r="D490" t="s">
        <v>3519</v>
      </c>
    </row>
    <row r="491" ht="11.25" customHeight="1">
      <c r="A491">
        <v>491</v>
      </c>
      <c r="B491" t="s">
        <v>3506</v>
      </c>
      <c r="C491" t="s">
        <v>3520</v>
      </c>
      <c r="D491" t="s">
        <v>3521</v>
      </c>
    </row>
    <row r="492" ht="11.25" customHeight="1">
      <c r="A492">
        <v>492</v>
      </c>
      <c r="B492" t="s">
        <v>3506</v>
      </c>
      <c r="C492" t="s">
        <v>3522</v>
      </c>
      <c r="D492" t="s">
        <v>3523</v>
      </c>
    </row>
    <row r="493" ht="11.25" customHeight="1">
      <c r="A493">
        <v>493</v>
      </c>
      <c r="B493" t="s">
        <v>3524</v>
      </c>
      <c r="C493" t="s">
        <v>3525</v>
      </c>
      <c r="D493" t="s">
        <v>3526</v>
      </c>
    </row>
    <row r="494" ht="11.25" customHeight="1">
      <c r="A494">
        <v>494</v>
      </c>
      <c r="B494" t="s">
        <v>3524</v>
      </c>
      <c r="C494" t="s">
        <v>3527</v>
      </c>
      <c r="D494" t="s">
        <v>3528</v>
      </c>
    </row>
    <row r="495" ht="11.25" customHeight="1">
      <c r="A495">
        <v>495</v>
      </c>
      <c r="B495" t="s">
        <v>3524</v>
      </c>
      <c r="C495" t="s">
        <v>3385</v>
      </c>
      <c r="D495" t="s">
        <v>3529</v>
      </c>
    </row>
    <row r="496" ht="11.25" customHeight="1">
      <c r="A496">
        <v>496</v>
      </c>
      <c r="B496" t="s">
        <v>3524</v>
      </c>
      <c r="C496" t="s">
        <v>3530</v>
      </c>
      <c r="D496" t="s">
        <v>3531</v>
      </c>
    </row>
    <row r="497" ht="11.25" customHeight="1">
      <c r="A497">
        <v>497</v>
      </c>
      <c r="B497" t="s">
        <v>3524</v>
      </c>
      <c r="C497" t="s">
        <v>3532</v>
      </c>
      <c r="D497" t="s">
        <v>3533</v>
      </c>
    </row>
    <row r="498" ht="11.25" customHeight="1">
      <c r="A498">
        <v>498</v>
      </c>
      <c r="B498" t="s">
        <v>3524</v>
      </c>
      <c r="C498" t="s">
        <v>3534</v>
      </c>
      <c r="D498" t="s">
        <v>3535</v>
      </c>
    </row>
    <row r="499" ht="11.25" customHeight="1">
      <c r="A499">
        <v>499</v>
      </c>
      <c r="B499" t="s">
        <v>3524</v>
      </c>
      <c r="C499" t="s">
        <v>3536</v>
      </c>
      <c r="D499" t="s">
        <v>3537</v>
      </c>
    </row>
    <row r="500" ht="11.25" customHeight="1">
      <c r="A500">
        <v>500</v>
      </c>
      <c r="B500" t="s">
        <v>3524</v>
      </c>
      <c r="C500" t="s">
        <v>3524</v>
      </c>
      <c r="D500" t="s">
        <v>3538</v>
      </c>
    </row>
    <row r="501" ht="11.25" customHeight="1">
      <c r="A501">
        <v>501</v>
      </c>
      <c r="B501" t="s">
        <v>3524</v>
      </c>
      <c r="C501" t="s">
        <v>3539</v>
      </c>
      <c r="D501" t="s">
        <v>3540</v>
      </c>
    </row>
    <row r="502" ht="11.25" customHeight="1">
      <c r="A502">
        <v>502</v>
      </c>
      <c r="B502" t="s">
        <v>3524</v>
      </c>
      <c r="C502" t="s">
        <v>3541</v>
      </c>
      <c r="D502" t="s">
        <v>3542</v>
      </c>
    </row>
    <row r="503" ht="11.25" customHeight="1">
      <c r="A503">
        <v>503</v>
      </c>
      <c r="B503" t="s">
        <v>3524</v>
      </c>
      <c r="C503" t="s">
        <v>3543</v>
      </c>
      <c r="D503" t="s">
        <v>3544</v>
      </c>
    </row>
    <row r="504" ht="11.25" customHeight="1">
      <c r="A504">
        <v>504</v>
      </c>
      <c r="B504" t="s">
        <v>3524</v>
      </c>
      <c r="C504" t="s">
        <v>3545</v>
      </c>
      <c r="D504" t="s">
        <v>3546</v>
      </c>
    </row>
    <row r="505" ht="11.25" customHeight="1">
      <c r="A505">
        <v>505</v>
      </c>
      <c r="B505" t="s">
        <v>3524</v>
      </c>
      <c r="C505" t="s">
        <v>3547</v>
      </c>
      <c r="D505" t="s">
        <v>3548</v>
      </c>
    </row>
    <row r="506" ht="11.25" customHeight="1">
      <c r="A506">
        <v>506</v>
      </c>
      <c r="B506" t="s">
        <v>3549</v>
      </c>
      <c r="C506" t="s">
        <v>2758</v>
      </c>
      <c r="D506" t="s">
        <v>3550</v>
      </c>
    </row>
    <row r="507" ht="11.25" customHeight="1">
      <c r="A507">
        <v>507</v>
      </c>
      <c r="B507" t="s">
        <v>3549</v>
      </c>
      <c r="C507" t="s">
        <v>3056</v>
      </c>
      <c r="D507" t="s">
        <v>3551</v>
      </c>
    </row>
    <row r="508" ht="11.25" customHeight="1">
      <c r="A508">
        <v>508</v>
      </c>
      <c r="B508" t="s">
        <v>3549</v>
      </c>
      <c r="C508" t="s">
        <v>3552</v>
      </c>
      <c r="D508" t="s">
        <v>3553</v>
      </c>
    </row>
    <row r="509" ht="11.25" customHeight="1">
      <c r="A509">
        <v>509</v>
      </c>
      <c r="B509" t="s">
        <v>3549</v>
      </c>
      <c r="C509" t="s">
        <v>3554</v>
      </c>
      <c r="D509" t="s">
        <v>3555</v>
      </c>
    </row>
    <row r="510" ht="11.25" customHeight="1">
      <c r="A510">
        <v>510</v>
      </c>
      <c r="B510" t="s">
        <v>3549</v>
      </c>
      <c r="C510" t="s">
        <v>3549</v>
      </c>
      <c r="D510" t="s">
        <v>3556</v>
      </c>
    </row>
    <row r="511" ht="11.25" customHeight="1">
      <c r="A511">
        <v>511</v>
      </c>
      <c r="B511" t="s">
        <v>3549</v>
      </c>
      <c r="C511" t="s">
        <v>3557</v>
      </c>
      <c r="D511" t="s">
        <v>3558</v>
      </c>
    </row>
    <row r="512" ht="11.25" customHeight="1">
      <c r="A512">
        <v>512</v>
      </c>
      <c r="B512" t="s">
        <v>3549</v>
      </c>
      <c r="C512" t="s">
        <v>3559</v>
      </c>
      <c r="D512" t="s">
        <v>3560</v>
      </c>
    </row>
    <row r="513" ht="11.25" customHeight="1">
      <c r="A513">
        <v>513</v>
      </c>
      <c r="B513" t="s">
        <v>3549</v>
      </c>
      <c r="C513" t="s">
        <v>3561</v>
      </c>
      <c r="D513" t="s">
        <v>3562</v>
      </c>
    </row>
    <row r="514" ht="11.25" customHeight="1">
      <c r="A514">
        <v>514</v>
      </c>
      <c r="B514" t="s">
        <v>3549</v>
      </c>
      <c r="C514" t="s">
        <v>2849</v>
      </c>
      <c r="D514" t="s">
        <v>3563</v>
      </c>
    </row>
    <row r="515" ht="11.25" customHeight="1">
      <c r="A515">
        <v>515</v>
      </c>
      <c r="B515" t="s">
        <v>3564</v>
      </c>
      <c r="C515" t="s">
        <v>3565</v>
      </c>
      <c r="D515" t="s">
        <v>3566</v>
      </c>
    </row>
    <row r="516" ht="11.25" customHeight="1">
      <c r="A516">
        <v>516</v>
      </c>
      <c r="B516" t="s">
        <v>3564</v>
      </c>
      <c r="C516" t="s">
        <v>2634</v>
      </c>
      <c r="D516" t="s">
        <v>3567</v>
      </c>
    </row>
    <row r="517" ht="11.25" customHeight="1">
      <c r="A517">
        <v>517</v>
      </c>
      <c r="B517" t="s">
        <v>3564</v>
      </c>
      <c r="C517" t="s">
        <v>3568</v>
      </c>
      <c r="D517" t="s">
        <v>3569</v>
      </c>
    </row>
    <row r="518" ht="11.25" customHeight="1">
      <c r="A518">
        <v>518</v>
      </c>
      <c r="B518" t="s">
        <v>3564</v>
      </c>
      <c r="C518" t="s">
        <v>3570</v>
      </c>
      <c r="D518" t="s">
        <v>3571</v>
      </c>
    </row>
    <row r="519" ht="11.25" customHeight="1">
      <c r="A519">
        <v>519</v>
      </c>
      <c r="B519" t="s">
        <v>3564</v>
      </c>
      <c r="C519" t="s">
        <v>3564</v>
      </c>
      <c r="D519" t="s">
        <v>3572</v>
      </c>
    </row>
    <row r="520" ht="11.25" customHeight="1">
      <c r="A520">
        <v>520</v>
      </c>
      <c r="B520" t="s">
        <v>3564</v>
      </c>
      <c r="C520" t="s">
        <v>3573</v>
      </c>
      <c r="D520" t="s">
        <v>3574</v>
      </c>
    </row>
    <row r="521" ht="11.25" customHeight="1">
      <c r="A521">
        <v>521</v>
      </c>
      <c r="B521" t="s">
        <v>3564</v>
      </c>
      <c r="C521" t="s">
        <v>3575</v>
      </c>
      <c r="D521" t="s">
        <v>3576</v>
      </c>
    </row>
    <row r="522" ht="11.25" customHeight="1">
      <c r="A522">
        <v>522</v>
      </c>
      <c r="B522" t="s">
        <v>3577</v>
      </c>
      <c r="C522" t="s">
        <v>3158</v>
      </c>
      <c r="D522" t="s">
        <v>3578</v>
      </c>
    </row>
    <row r="523" ht="11.25" customHeight="1">
      <c r="A523">
        <v>523</v>
      </c>
      <c r="B523" t="s">
        <v>3577</v>
      </c>
      <c r="C523" t="s">
        <v>3579</v>
      </c>
      <c r="D523" t="s">
        <v>3580</v>
      </c>
    </row>
    <row r="524" ht="11.25" customHeight="1">
      <c r="A524">
        <v>524</v>
      </c>
      <c r="B524" t="s">
        <v>3577</v>
      </c>
      <c r="C524" t="s">
        <v>3581</v>
      </c>
      <c r="D524" t="s">
        <v>3582</v>
      </c>
    </row>
    <row r="525" ht="11.25" customHeight="1">
      <c r="A525">
        <v>525</v>
      </c>
      <c r="B525" t="s">
        <v>3577</v>
      </c>
      <c r="C525" t="s">
        <v>3583</v>
      </c>
      <c r="D525" t="s">
        <v>3584</v>
      </c>
    </row>
    <row r="526" ht="11.25" customHeight="1">
      <c r="A526">
        <v>526</v>
      </c>
      <c r="B526" t="s">
        <v>3577</v>
      </c>
      <c r="C526" t="s">
        <v>3577</v>
      </c>
      <c r="D526" t="s">
        <v>3585</v>
      </c>
    </row>
    <row r="527" ht="11.25" customHeight="1">
      <c r="A527">
        <v>527</v>
      </c>
      <c r="B527" t="s">
        <v>3586</v>
      </c>
      <c r="C527" t="s">
        <v>2626</v>
      </c>
      <c r="D527" t="s">
        <v>3587</v>
      </c>
    </row>
    <row r="528" ht="11.25" customHeight="1">
      <c r="A528">
        <v>528</v>
      </c>
      <c r="B528" t="s">
        <v>3586</v>
      </c>
      <c r="C528" t="s">
        <v>3588</v>
      </c>
      <c r="D528" t="s">
        <v>3589</v>
      </c>
    </row>
    <row r="529" ht="11.25" customHeight="1">
      <c r="A529">
        <v>529</v>
      </c>
      <c r="B529" t="s">
        <v>3586</v>
      </c>
      <c r="C529" t="s">
        <v>3590</v>
      </c>
      <c r="D529" t="s">
        <v>3591</v>
      </c>
    </row>
    <row r="530" ht="11.25" customHeight="1">
      <c r="A530">
        <v>530</v>
      </c>
      <c r="B530" t="s">
        <v>3586</v>
      </c>
      <c r="C530" t="s">
        <v>3592</v>
      </c>
      <c r="D530" t="s">
        <v>3593</v>
      </c>
    </row>
    <row r="531" ht="11.25" customHeight="1">
      <c r="A531">
        <v>531</v>
      </c>
      <c r="B531" t="s">
        <v>3586</v>
      </c>
      <c r="C531" t="s">
        <v>3586</v>
      </c>
      <c r="D531" t="s">
        <v>3594</v>
      </c>
    </row>
    <row r="532" ht="11.25" customHeight="1">
      <c r="A532">
        <v>532</v>
      </c>
      <c r="B532" t="s">
        <v>3586</v>
      </c>
      <c r="C532" t="s">
        <v>3595</v>
      </c>
      <c r="D532" t="s">
        <v>3596</v>
      </c>
    </row>
    <row r="533" ht="11.25" customHeight="1">
      <c r="A533">
        <v>533</v>
      </c>
      <c r="B533" t="s">
        <v>3597</v>
      </c>
      <c r="C533" t="s">
        <v>3598</v>
      </c>
      <c r="D533" t="s">
        <v>3599</v>
      </c>
    </row>
    <row r="534" ht="11.25" customHeight="1">
      <c r="A534">
        <v>534</v>
      </c>
      <c r="B534" t="s">
        <v>3597</v>
      </c>
      <c r="C534" t="s">
        <v>3600</v>
      </c>
      <c r="D534" t="s">
        <v>3601</v>
      </c>
    </row>
    <row r="535" ht="11.25" customHeight="1">
      <c r="A535">
        <v>535</v>
      </c>
      <c r="B535" t="s">
        <v>3597</v>
      </c>
      <c r="C535" t="s">
        <v>3120</v>
      </c>
      <c r="D535" t="s">
        <v>3602</v>
      </c>
    </row>
    <row r="536" ht="11.25" customHeight="1">
      <c r="A536">
        <v>536</v>
      </c>
      <c r="B536" t="s">
        <v>3597</v>
      </c>
      <c r="C536" t="s">
        <v>3603</v>
      </c>
      <c r="D536" t="s">
        <v>3604</v>
      </c>
    </row>
    <row r="537" ht="11.25" customHeight="1">
      <c r="A537">
        <v>537</v>
      </c>
      <c r="B537" t="s">
        <v>3597</v>
      </c>
      <c r="C537" t="s">
        <v>3605</v>
      </c>
      <c r="D537" t="s">
        <v>3606</v>
      </c>
    </row>
    <row r="538" ht="11.25" customHeight="1">
      <c r="A538">
        <v>538</v>
      </c>
      <c r="B538" t="s">
        <v>3597</v>
      </c>
      <c r="C538" t="s">
        <v>3607</v>
      </c>
      <c r="D538" t="s">
        <v>3608</v>
      </c>
    </row>
    <row r="539" ht="11.25" customHeight="1">
      <c r="A539">
        <v>539</v>
      </c>
      <c r="B539" t="s">
        <v>3597</v>
      </c>
      <c r="C539" t="s">
        <v>2925</v>
      </c>
      <c r="D539" t="s">
        <v>3609</v>
      </c>
    </row>
    <row r="540" ht="11.25" customHeight="1">
      <c r="A540">
        <v>540</v>
      </c>
      <c r="B540" t="s">
        <v>3597</v>
      </c>
      <c r="C540" t="s">
        <v>3610</v>
      </c>
      <c r="D540" t="s">
        <v>3611</v>
      </c>
    </row>
    <row r="541" ht="11.25" customHeight="1">
      <c r="A541">
        <v>541</v>
      </c>
      <c r="B541" t="s">
        <v>3597</v>
      </c>
      <c r="C541" t="s">
        <v>3612</v>
      </c>
      <c r="D541" t="s">
        <v>3613</v>
      </c>
    </row>
    <row r="542" ht="11.25" customHeight="1">
      <c r="A542">
        <v>542</v>
      </c>
      <c r="B542" t="s">
        <v>3597</v>
      </c>
      <c r="C542" t="s">
        <v>3614</v>
      </c>
      <c r="D542" t="s">
        <v>3615</v>
      </c>
    </row>
    <row r="543" ht="11.25" customHeight="1">
      <c r="A543">
        <v>543</v>
      </c>
      <c r="B543" t="s">
        <v>3597</v>
      </c>
      <c r="C543" t="s">
        <v>3616</v>
      </c>
      <c r="D543" t="s">
        <v>3617</v>
      </c>
    </row>
    <row r="544" ht="11.25" customHeight="1">
      <c r="A544">
        <v>544</v>
      </c>
      <c r="B544" t="s">
        <v>3597</v>
      </c>
      <c r="C544" t="s">
        <v>3618</v>
      </c>
      <c r="D544" t="s">
        <v>3619</v>
      </c>
    </row>
    <row r="545" ht="11.25" customHeight="1">
      <c r="A545">
        <v>545</v>
      </c>
      <c r="B545" t="s">
        <v>3597</v>
      </c>
      <c r="C545" t="s">
        <v>3620</v>
      </c>
      <c r="D545" t="s">
        <v>3621</v>
      </c>
    </row>
    <row r="546" ht="11.25" customHeight="1">
      <c r="A546">
        <v>546</v>
      </c>
      <c r="B546" t="s">
        <v>3597</v>
      </c>
      <c r="C546" t="s">
        <v>3622</v>
      </c>
      <c r="D546" t="s">
        <v>3623</v>
      </c>
    </row>
    <row r="547" ht="11.25" customHeight="1">
      <c r="A547">
        <v>547</v>
      </c>
      <c r="B547" t="s">
        <v>3597</v>
      </c>
      <c r="C547" t="s">
        <v>3624</v>
      </c>
      <c r="D547" t="s">
        <v>3625</v>
      </c>
    </row>
    <row r="548" ht="11.25" customHeight="1">
      <c r="A548">
        <v>548</v>
      </c>
      <c r="B548" t="s">
        <v>3597</v>
      </c>
      <c r="C548" t="s">
        <v>3597</v>
      </c>
      <c r="D548" t="s">
        <v>3626</v>
      </c>
    </row>
    <row r="549" ht="11.25" customHeight="1">
      <c r="A549">
        <v>549</v>
      </c>
      <c r="B549" t="s">
        <v>3597</v>
      </c>
      <c r="C549" t="s">
        <v>3627</v>
      </c>
      <c r="D549" t="s">
        <v>3628</v>
      </c>
    </row>
    <row r="550" ht="11.25" customHeight="1">
      <c r="A550">
        <v>550</v>
      </c>
      <c r="B550" t="s">
        <v>3597</v>
      </c>
      <c r="C550" t="s">
        <v>3629</v>
      </c>
      <c r="D550" t="s">
        <v>3630</v>
      </c>
    </row>
    <row r="551" ht="11.25" customHeight="1">
      <c r="A551">
        <v>551</v>
      </c>
      <c r="B551" t="s">
        <v>3597</v>
      </c>
      <c r="C551" t="s">
        <v>3631</v>
      </c>
      <c r="D551" t="s">
        <v>3632</v>
      </c>
    </row>
    <row r="552" ht="11.25" customHeight="1">
      <c r="A552">
        <v>552</v>
      </c>
      <c r="B552" t="s">
        <v>3633</v>
      </c>
      <c r="C552" t="s">
        <v>3634</v>
      </c>
      <c r="D552" t="s">
        <v>3635</v>
      </c>
    </row>
    <row r="553" ht="11.25" customHeight="1">
      <c r="A553">
        <v>553</v>
      </c>
      <c r="B553" t="s">
        <v>3633</v>
      </c>
      <c r="C553" t="s">
        <v>3636</v>
      </c>
      <c r="D553" t="s">
        <v>3637</v>
      </c>
    </row>
    <row r="554" ht="11.25" customHeight="1">
      <c r="A554">
        <v>554</v>
      </c>
      <c r="B554" t="s">
        <v>3633</v>
      </c>
      <c r="C554" t="s">
        <v>3638</v>
      </c>
      <c r="D554" t="s">
        <v>3639</v>
      </c>
    </row>
    <row r="555" ht="11.25" customHeight="1">
      <c r="A555">
        <v>555</v>
      </c>
      <c r="B555" t="s">
        <v>3633</v>
      </c>
      <c r="C555" t="s">
        <v>3633</v>
      </c>
      <c r="D555" t="s">
        <v>3640</v>
      </c>
    </row>
    <row r="556" ht="11.25" customHeight="1">
      <c r="A556">
        <v>556</v>
      </c>
      <c r="B556" t="s">
        <v>3633</v>
      </c>
      <c r="C556" t="s">
        <v>3641</v>
      </c>
      <c r="D556" t="s">
        <v>3642</v>
      </c>
    </row>
    <row r="557" ht="11.25" customHeight="1">
      <c r="A557">
        <v>557</v>
      </c>
      <c r="B557" t="s">
        <v>3633</v>
      </c>
      <c r="C557" t="s">
        <v>3643</v>
      </c>
      <c r="D557" t="s">
        <v>3644</v>
      </c>
    </row>
    <row r="558" ht="11.25" customHeight="1">
      <c r="A558">
        <v>558</v>
      </c>
      <c r="B558" t="s">
        <v>3645</v>
      </c>
      <c r="C558" t="s">
        <v>3646</v>
      </c>
      <c r="D558" t="s">
        <v>3647</v>
      </c>
    </row>
    <row r="559" ht="11.25" customHeight="1">
      <c r="A559">
        <v>559</v>
      </c>
      <c r="B559" t="s">
        <v>3645</v>
      </c>
      <c r="C559" t="s">
        <v>3648</v>
      </c>
      <c r="D559" t="s">
        <v>3649</v>
      </c>
    </row>
    <row r="560" ht="11.25" customHeight="1">
      <c r="A560">
        <v>560</v>
      </c>
      <c r="B560" t="s">
        <v>3645</v>
      </c>
      <c r="C560" t="s">
        <v>3404</v>
      </c>
      <c r="D560" t="s">
        <v>3650</v>
      </c>
    </row>
    <row r="561" ht="11.25" customHeight="1">
      <c r="A561">
        <v>561</v>
      </c>
      <c r="B561" t="s">
        <v>3645</v>
      </c>
      <c r="C561" t="s">
        <v>2602</v>
      </c>
      <c r="D561" t="s">
        <v>3651</v>
      </c>
    </row>
    <row r="562" ht="11.25" customHeight="1">
      <c r="A562">
        <v>562</v>
      </c>
      <c r="B562" t="s">
        <v>3645</v>
      </c>
      <c r="C562" t="s">
        <v>2999</v>
      </c>
      <c r="D562" t="s">
        <v>3652</v>
      </c>
    </row>
    <row r="563" ht="11.25" customHeight="1">
      <c r="A563">
        <v>563</v>
      </c>
      <c r="B563" t="s">
        <v>3645</v>
      </c>
      <c r="C563" t="s">
        <v>3385</v>
      </c>
      <c r="D563" t="s">
        <v>3653</v>
      </c>
    </row>
    <row r="564" ht="11.25" customHeight="1">
      <c r="A564">
        <v>564</v>
      </c>
      <c r="B564" t="s">
        <v>3645</v>
      </c>
      <c r="C564" t="s">
        <v>2634</v>
      </c>
      <c r="D564" t="s">
        <v>3654</v>
      </c>
    </row>
    <row r="565" ht="11.25" customHeight="1">
      <c r="A565">
        <v>565</v>
      </c>
      <c r="B565" t="s">
        <v>3645</v>
      </c>
      <c r="C565" t="s">
        <v>3655</v>
      </c>
      <c r="D565" t="s">
        <v>3656</v>
      </c>
    </row>
    <row r="566" ht="11.25" customHeight="1">
      <c r="A566">
        <v>566</v>
      </c>
      <c r="B566" t="s">
        <v>3645</v>
      </c>
      <c r="C566" t="s">
        <v>3657</v>
      </c>
      <c r="D566" t="s">
        <v>3658</v>
      </c>
    </row>
    <row r="567" ht="11.25" customHeight="1">
      <c r="A567">
        <v>567</v>
      </c>
      <c r="B567" t="s">
        <v>3645</v>
      </c>
      <c r="C567" t="s">
        <v>3659</v>
      </c>
      <c r="D567" t="s">
        <v>3660</v>
      </c>
    </row>
    <row r="568" ht="11.25" customHeight="1">
      <c r="A568">
        <v>568</v>
      </c>
      <c r="B568" t="s">
        <v>3645</v>
      </c>
      <c r="C568" t="s">
        <v>3007</v>
      </c>
      <c r="D568" t="s">
        <v>3661</v>
      </c>
    </row>
    <row r="569" ht="11.25" customHeight="1">
      <c r="A569">
        <v>569</v>
      </c>
      <c r="B569" t="s">
        <v>3645</v>
      </c>
      <c r="C569" t="s">
        <v>3468</v>
      </c>
      <c r="D569" t="s">
        <v>3662</v>
      </c>
    </row>
    <row r="570" ht="11.25" customHeight="1">
      <c r="A570">
        <v>570</v>
      </c>
      <c r="B570" t="s">
        <v>3645</v>
      </c>
      <c r="C570" t="s">
        <v>3645</v>
      </c>
      <c r="D570" t="s">
        <v>3663</v>
      </c>
    </row>
    <row r="571" ht="11.25" customHeight="1">
      <c r="A571">
        <v>571</v>
      </c>
      <c r="B571" t="s">
        <v>3645</v>
      </c>
      <c r="C571" t="s">
        <v>3664</v>
      </c>
      <c r="D571" t="s">
        <v>3665</v>
      </c>
    </row>
    <row r="572" ht="11.25" customHeight="1">
      <c r="A572">
        <v>572</v>
      </c>
      <c r="B572" t="s">
        <v>3645</v>
      </c>
      <c r="C572" t="s">
        <v>3666</v>
      </c>
      <c r="D572" t="s">
        <v>3667</v>
      </c>
    </row>
    <row r="573" ht="11.25" customHeight="1">
      <c r="A573">
        <v>573</v>
      </c>
      <c r="B573" t="s">
        <v>3645</v>
      </c>
      <c r="C573" t="s">
        <v>3668</v>
      </c>
      <c r="D573" t="s">
        <v>3669</v>
      </c>
    </row>
    <row r="574" ht="11.25" customHeight="1">
      <c r="A574">
        <v>574</v>
      </c>
      <c r="B574" t="s">
        <v>3645</v>
      </c>
      <c r="C574" t="s">
        <v>3670</v>
      </c>
      <c r="D574" t="s">
        <v>3671</v>
      </c>
    </row>
    <row r="575" ht="11.25" customHeight="1">
      <c r="A575">
        <v>575</v>
      </c>
      <c r="B575" t="s">
        <v>3645</v>
      </c>
      <c r="C575" t="s">
        <v>3672</v>
      </c>
      <c r="D575" t="s">
        <v>3673</v>
      </c>
    </row>
    <row r="576" ht="11.25" customHeight="1">
      <c r="A576">
        <v>576</v>
      </c>
      <c r="B576" t="s">
        <v>3674</v>
      </c>
      <c r="C576" t="s">
        <v>3675</v>
      </c>
      <c r="D576" t="s">
        <v>3676</v>
      </c>
    </row>
    <row r="577" ht="11.25" customHeight="1">
      <c r="A577">
        <v>577</v>
      </c>
      <c r="B577" t="s">
        <v>3674</v>
      </c>
      <c r="C577" t="s">
        <v>3677</v>
      </c>
      <c r="D577" t="s">
        <v>3678</v>
      </c>
    </row>
    <row r="578" ht="11.25" customHeight="1">
      <c r="A578">
        <v>578</v>
      </c>
      <c r="B578" t="s">
        <v>3674</v>
      </c>
      <c r="C578" t="s">
        <v>3679</v>
      </c>
      <c r="D578" t="s">
        <v>3680</v>
      </c>
    </row>
    <row r="579" ht="11.25" customHeight="1">
      <c r="A579">
        <v>579</v>
      </c>
      <c r="B579" t="s">
        <v>3674</v>
      </c>
      <c r="C579" t="s">
        <v>3681</v>
      </c>
      <c r="D579" t="s">
        <v>3682</v>
      </c>
    </row>
    <row r="580" ht="11.25" customHeight="1">
      <c r="A580">
        <v>580</v>
      </c>
      <c r="B580" t="s">
        <v>3674</v>
      </c>
      <c r="C580" t="s">
        <v>3683</v>
      </c>
      <c r="D580" t="s">
        <v>3684</v>
      </c>
    </row>
    <row r="581" ht="11.25" customHeight="1">
      <c r="A581">
        <v>581</v>
      </c>
      <c r="B581" t="s">
        <v>3674</v>
      </c>
      <c r="C581" t="s">
        <v>3685</v>
      </c>
      <c r="D581" t="s">
        <v>3686</v>
      </c>
    </row>
    <row r="582" ht="11.25" customHeight="1">
      <c r="A582">
        <v>582</v>
      </c>
      <c r="B582" t="s">
        <v>3674</v>
      </c>
      <c r="C582" t="s">
        <v>3687</v>
      </c>
      <c r="D582" t="s">
        <v>3688</v>
      </c>
    </row>
    <row r="583" ht="11.25" customHeight="1">
      <c r="A583">
        <v>583</v>
      </c>
      <c r="B583" t="s">
        <v>3674</v>
      </c>
      <c r="C583" t="s">
        <v>3674</v>
      </c>
      <c r="D583" t="s">
        <v>3689</v>
      </c>
    </row>
    <row r="584" ht="11.25" customHeight="1">
      <c r="A584">
        <v>584</v>
      </c>
      <c r="B584" t="s">
        <v>3674</v>
      </c>
      <c r="C584" t="s">
        <v>3690</v>
      </c>
      <c r="D584" t="s">
        <v>3691</v>
      </c>
    </row>
    <row r="585" ht="11.25" customHeight="1">
      <c r="A585">
        <v>585</v>
      </c>
      <c r="B585" t="s">
        <v>3674</v>
      </c>
      <c r="C585" t="s">
        <v>3692</v>
      </c>
      <c r="D585" t="s">
        <v>3693</v>
      </c>
    </row>
    <row r="586" ht="11.25" customHeight="1">
      <c r="A586">
        <v>586</v>
      </c>
      <c r="B586" t="s">
        <v>3694</v>
      </c>
      <c r="C586" t="s">
        <v>2628</v>
      </c>
      <c r="D586" t="s">
        <v>3695</v>
      </c>
    </row>
    <row r="587" ht="11.25" customHeight="1">
      <c r="A587">
        <v>587</v>
      </c>
      <c r="B587" t="s">
        <v>3694</v>
      </c>
      <c r="C587" t="s">
        <v>3398</v>
      </c>
      <c r="D587" t="s">
        <v>3696</v>
      </c>
    </row>
    <row r="588" ht="11.25" customHeight="1">
      <c r="A588">
        <v>588</v>
      </c>
      <c r="B588" t="s">
        <v>3694</v>
      </c>
      <c r="C588" t="s">
        <v>3697</v>
      </c>
      <c r="D588" t="s">
        <v>3698</v>
      </c>
    </row>
    <row r="589" ht="11.25" customHeight="1">
      <c r="A589">
        <v>589</v>
      </c>
      <c r="B589" t="s">
        <v>3694</v>
      </c>
      <c r="C589" t="s">
        <v>3699</v>
      </c>
      <c r="D589" t="s">
        <v>3700</v>
      </c>
    </row>
    <row r="590" ht="11.25" customHeight="1">
      <c r="A590">
        <v>590</v>
      </c>
      <c r="B590" t="s">
        <v>3694</v>
      </c>
      <c r="C590" t="s">
        <v>3701</v>
      </c>
      <c r="D590" t="s">
        <v>3702</v>
      </c>
    </row>
    <row r="591" ht="11.25" customHeight="1">
      <c r="A591">
        <v>591</v>
      </c>
      <c r="B591" t="s">
        <v>3694</v>
      </c>
      <c r="C591" t="s">
        <v>2992</v>
      </c>
      <c r="D591" t="s">
        <v>3703</v>
      </c>
    </row>
    <row r="592" ht="11.25" customHeight="1">
      <c r="A592">
        <v>592</v>
      </c>
      <c r="B592" t="s">
        <v>3694</v>
      </c>
      <c r="C592" t="s">
        <v>3704</v>
      </c>
      <c r="D592" t="s">
        <v>3705</v>
      </c>
    </row>
    <row r="593" ht="11.25" customHeight="1">
      <c r="A593">
        <v>593</v>
      </c>
      <c r="B593" t="s">
        <v>3694</v>
      </c>
      <c r="C593" t="s">
        <v>3706</v>
      </c>
      <c r="D593" t="s">
        <v>3707</v>
      </c>
    </row>
    <row r="594" ht="11.25" customHeight="1">
      <c r="A594">
        <v>594</v>
      </c>
      <c r="B594" t="s">
        <v>3694</v>
      </c>
      <c r="C594" t="s">
        <v>3694</v>
      </c>
      <c r="D594" t="s">
        <v>3708</v>
      </c>
    </row>
    <row r="595" ht="11.25" customHeight="1">
      <c r="A595">
        <v>595</v>
      </c>
      <c r="B595" t="s">
        <v>3694</v>
      </c>
      <c r="C595" t="s">
        <v>3709</v>
      </c>
      <c r="D595" t="s">
        <v>3710</v>
      </c>
    </row>
    <row r="596" ht="11.25" customHeight="1">
      <c r="A596">
        <v>596</v>
      </c>
      <c r="B596" t="s">
        <v>3694</v>
      </c>
      <c r="C596" t="s">
        <v>3711</v>
      </c>
      <c r="D596" t="s">
        <v>3712</v>
      </c>
    </row>
    <row r="597" ht="11.25" customHeight="1">
      <c r="A597">
        <v>597</v>
      </c>
      <c r="B597" t="s">
        <v>3694</v>
      </c>
      <c r="C597" t="s">
        <v>3713</v>
      </c>
      <c r="D597" t="s">
        <v>3714</v>
      </c>
    </row>
    <row r="598" ht="11.25" customHeight="1">
      <c r="A598">
        <v>598</v>
      </c>
      <c r="B598" t="s">
        <v>3715</v>
      </c>
      <c r="C598" t="s">
        <v>3716</v>
      </c>
      <c r="D598" t="s">
        <v>3717</v>
      </c>
    </row>
    <row r="599" ht="11.25" customHeight="1">
      <c r="A599">
        <v>599</v>
      </c>
      <c r="B599" t="s">
        <v>3715</v>
      </c>
      <c r="C599" t="s">
        <v>2758</v>
      </c>
      <c r="D599" t="s">
        <v>3718</v>
      </c>
    </row>
    <row r="600" ht="11.25" customHeight="1">
      <c r="A600">
        <v>600</v>
      </c>
      <c r="B600" t="s">
        <v>3715</v>
      </c>
      <c r="C600" t="s">
        <v>3719</v>
      </c>
      <c r="D600" t="s">
        <v>3720</v>
      </c>
    </row>
    <row r="601" ht="11.25" customHeight="1">
      <c r="A601">
        <v>601</v>
      </c>
      <c r="B601" t="s">
        <v>3715</v>
      </c>
      <c r="C601" t="s">
        <v>3721</v>
      </c>
      <c r="D601" t="s">
        <v>3722</v>
      </c>
    </row>
    <row r="602" ht="11.25" customHeight="1">
      <c r="A602">
        <v>602</v>
      </c>
      <c r="B602" t="s">
        <v>3715</v>
      </c>
      <c r="C602" t="s">
        <v>3701</v>
      </c>
      <c r="D602" t="s">
        <v>3723</v>
      </c>
    </row>
    <row r="603" ht="11.25" customHeight="1">
      <c r="A603">
        <v>603</v>
      </c>
      <c r="B603" t="s">
        <v>3715</v>
      </c>
      <c r="C603" t="s">
        <v>3724</v>
      </c>
      <c r="D603" t="s">
        <v>3725</v>
      </c>
    </row>
    <row r="604" ht="11.25" customHeight="1">
      <c r="A604">
        <v>604</v>
      </c>
      <c r="B604" t="s">
        <v>3715</v>
      </c>
      <c r="C604" t="s">
        <v>3726</v>
      </c>
      <c r="D604" t="s">
        <v>3727</v>
      </c>
    </row>
    <row r="605" ht="11.25" customHeight="1">
      <c r="A605">
        <v>605</v>
      </c>
      <c r="B605" t="s">
        <v>3715</v>
      </c>
      <c r="C605" t="s">
        <v>3728</v>
      </c>
      <c r="D605" t="s">
        <v>3729</v>
      </c>
    </row>
    <row r="606" ht="11.25" customHeight="1">
      <c r="A606">
        <v>606</v>
      </c>
      <c r="B606" t="s">
        <v>3715</v>
      </c>
      <c r="C606" t="s">
        <v>3730</v>
      </c>
      <c r="D606" t="s">
        <v>3731</v>
      </c>
    </row>
    <row r="607" ht="11.25" customHeight="1">
      <c r="A607">
        <v>607</v>
      </c>
      <c r="B607" t="s">
        <v>3715</v>
      </c>
      <c r="C607" t="s">
        <v>3715</v>
      </c>
      <c r="D607" t="s">
        <v>3732</v>
      </c>
    </row>
    <row r="608" ht="11.25" customHeight="1">
      <c r="A608">
        <v>608</v>
      </c>
      <c r="B608" t="s">
        <v>3715</v>
      </c>
      <c r="C608" t="s">
        <v>3733</v>
      </c>
      <c r="D608" t="s">
        <v>3734</v>
      </c>
    </row>
    <row r="609" ht="11.25" customHeight="1">
      <c r="A609">
        <v>609</v>
      </c>
      <c r="B609" t="s">
        <v>3715</v>
      </c>
      <c r="C609" t="s">
        <v>3735</v>
      </c>
      <c r="D609" t="s">
        <v>3736</v>
      </c>
    </row>
    <row r="610" ht="11.25" customHeight="1">
      <c r="A610">
        <v>610</v>
      </c>
      <c r="B610" t="s">
        <v>3715</v>
      </c>
      <c r="C610" t="s">
        <v>2827</v>
      </c>
      <c r="D610" t="s">
        <v>3737</v>
      </c>
    </row>
    <row r="611" ht="11.25" customHeight="1">
      <c r="A611">
        <v>611</v>
      </c>
      <c r="B611" t="s">
        <v>3715</v>
      </c>
      <c r="C611" t="s">
        <v>3738</v>
      </c>
      <c r="D611" t="s">
        <v>3739</v>
      </c>
    </row>
    <row r="612" ht="11.25" customHeight="1">
      <c r="A612">
        <v>612</v>
      </c>
      <c r="B612" t="s">
        <v>3715</v>
      </c>
      <c r="C612" t="s">
        <v>3740</v>
      </c>
      <c r="D612" t="s">
        <v>3741</v>
      </c>
    </row>
    <row r="613" ht="11.25" customHeight="1">
      <c r="A613">
        <v>613</v>
      </c>
      <c r="B613" t="s">
        <v>3742</v>
      </c>
      <c r="C613" t="s">
        <v>3743</v>
      </c>
      <c r="D613" t="s">
        <v>3744</v>
      </c>
    </row>
    <row r="614" ht="11.25" customHeight="1">
      <c r="A614">
        <v>614</v>
      </c>
      <c r="B614" t="s">
        <v>3742</v>
      </c>
      <c r="C614" t="s">
        <v>3745</v>
      </c>
      <c r="D614" t="s">
        <v>3746</v>
      </c>
    </row>
    <row r="615" ht="11.25" customHeight="1">
      <c r="A615">
        <v>615</v>
      </c>
      <c r="B615" t="s">
        <v>3742</v>
      </c>
      <c r="C615" t="s">
        <v>3747</v>
      </c>
      <c r="D615" t="s">
        <v>3748</v>
      </c>
    </row>
    <row r="616" ht="11.25" customHeight="1">
      <c r="A616">
        <v>616</v>
      </c>
      <c r="B616" t="s">
        <v>3742</v>
      </c>
      <c r="C616" t="s">
        <v>3285</v>
      </c>
      <c r="D616" t="s">
        <v>3749</v>
      </c>
    </row>
    <row r="617" ht="11.25" customHeight="1">
      <c r="A617">
        <v>617</v>
      </c>
      <c r="B617" t="s">
        <v>3742</v>
      </c>
      <c r="C617" t="s">
        <v>3750</v>
      </c>
      <c r="D617" t="s">
        <v>3751</v>
      </c>
    </row>
    <row r="618" ht="11.25" customHeight="1">
      <c r="A618">
        <v>618</v>
      </c>
      <c r="B618" t="s">
        <v>3742</v>
      </c>
      <c r="C618" t="s">
        <v>3561</v>
      </c>
      <c r="D618" t="s">
        <v>3752</v>
      </c>
    </row>
    <row r="619" ht="11.25" customHeight="1">
      <c r="A619">
        <v>619</v>
      </c>
      <c r="B619" t="s">
        <v>3742</v>
      </c>
      <c r="C619" t="s">
        <v>3742</v>
      </c>
      <c r="D619" t="s">
        <v>3753</v>
      </c>
    </row>
    <row r="620" ht="11.25" customHeight="1">
      <c r="A620">
        <v>620</v>
      </c>
      <c r="B620" t="s">
        <v>3742</v>
      </c>
      <c r="C620" t="s">
        <v>3754</v>
      </c>
      <c r="D620" t="s">
        <v>3755</v>
      </c>
    </row>
    <row r="621" ht="11.25" customHeight="1">
      <c r="A621">
        <v>621</v>
      </c>
      <c r="B621" t="s">
        <v>3756</v>
      </c>
      <c r="C621" t="s">
        <v>3757</v>
      </c>
      <c r="D621" t="s">
        <v>3758</v>
      </c>
    </row>
    <row r="622" ht="11.25" customHeight="1">
      <c r="A622">
        <v>622</v>
      </c>
      <c r="B622" t="s">
        <v>3756</v>
      </c>
      <c r="C622" t="s">
        <v>2723</v>
      </c>
      <c r="D622" t="s">
        <v>3759</v>
      </c>
    </row>
    <row r="623" ht="11.25" customHeight="1">
      <c r="A623">
        <v>623</v>
      </c>
      <c r="B623" t="s">
        <v>3756</v>
      </c>
      <c r="C623" t="s">
        <v>3760</v>
      </c>
      <c r="D623" t="s">
        <v>3761</v>
      </c>
    </row>
    <row r="624" ht="11.25" customHeight="1">
      <c r="A624">
        <v>624</v>
      </c>
      <c r="B624" t="s">
        <v>3756</v>
      </c>
      <c r="C624" t="s">
        <v>3762</v>
      </c>
      <c r="D624" t="s">
        <v>3763</v>
      </c>
    </row>
    <row r="625" ht="11.25" customHeight="1">
      <c r="A625">
        <v>625</v>
      </c>
      <c r="B625" t="s">
        <v>3756</v>
      </c>
      <c r="C625" t="s">
        <v>3764</v>
      </c>
      <c r="D625" t="s">
        <v>3765</v>
      </c>
    </row>
    <row r="626" ht="11.25" customHeight="1">
      <c r="A626">
        <v>626</v>
      </c>
      <c r="B626" t="s">
        <v>3756</v>
      </c>
      <c r="C626" t="s">
        <v>3766</v>
      </c>
      <c r="D626" t="s">
        <v>3767</v>
      </c>
    </row>
    <row r="627" ht="11.25" customHeight="1">
      <c r="A627">
        <v>627</v>
      </c>
      <c r="B627" t="s">
        <v>3756</v>
      </c>
      <c r="C627" t="s">
        <v>3768</v>
      </c>
      <c r="D627" t="s">
        <v>3769</v>
      </c>
    </row>
    <row r="628" ht="11.25" customHeight="1">
      <c r="A628">
        <v>628</v>
      </c>
      <c r="B628" t="s">
        <v>3756</v>
      </c>
      <c r="C628" t="s">
        <v>3756</v>
      </c>
      <c r="D628" t="s">
        <v>3770</v>
      </c>
    </row>
    <row r="629" ht="11.25" customHeight="1">
      <c r="A629">
        <v>629</v>
      </c>
      <c r="B629" t="s">
        <v>3756</v>
      </c>
      <c r="C629" t="s">
        <v>3771</v>
      </c>
      <c r="D629" t="s">
        <v>3772</v>
      </c>
    </row>
    <row r="630" ht="11.25" customHeight="1">
      <c r="A630">
        <v>630</v>
      </c>
      <c r="B630" t="s">
        <v>3756</v>
      </c>
      <c r="C630" t="s">
        <v>3773</v>
      </c>
      <c r="D630" t="s">
        <v>3774</v>
      </c>
    </row>
    <row r="631" ht="11.25" customHeight="1">
      <c r="A631">
        <v>631</v>
      </c>
      <c r="B631" t="s">
        <v>3775</v>
      </c>
      <c r="C631" t="s">
        <v>2628</v>
      </c>
      <c r="D631" t="s">
        <v>3776</v>
      </c>
    </row>
    <row r="632" ht="11.25" customHeight="1">
      <c r="A632">
        <v>632</v>
      </c>
      <c r="B632" t="s">
        <v>3775</v>
      </c>
      <c r="C632" t="s">
        <v>3777</v>
      </c>
      <c r="D632" t="s">
        <v>3778</v>
      </c>
    </row>
    <row r="633" ht="11.25" customHeight="1">
      <c r="A633">
        <v>633</v>
      </c>
      <c r="B633" t="s">
        <v>3775</v>
      </c>
      <c r="C633" t="s">
        <v>3779</v>
      </c>
      <c r="D633" t="s">
        <v>3780</v>
      </c>
    </row>
    <row r="634" ht="11.25" customHeight="1">
      <c r="A634">
        <v>634</v>
      </c>
      <c r="B634" t="s">
        <v>3775</v>
      </c>
      <c r="C634" t="s">
        <v>3781</v>
      </c>
      <c r="D634" t="s">
        <v>3782</v>
      </c>
    </row>
    <row r="635" ht="11.25" customHeight="1">
      <c r="A635">
        <v>635</v>
      </c>
      <c r="B635" t="s">
        <v>3775</v>
      </c>
      <c r="C635" t="s">
        <v>3783</v>
      </c>
      <c r="D635" t="s">
        <v>3784</v>
      </c>
    </row>
    <row r="636" ht="11.25" customHeight="1">
      <c r="A636">
        <v>636</v>
      </c>
      <c r="B636" t="s">
        <v>3775</v>
      </c>
      <c r="C636" t="s">
        <v>3785</v>
      </c>
      <c r="D636" t="s">
        <v>3786</v>
      </c>
    </row>
    <row r="637" ht="11.25" customHeight="1">
      <c r="A637">
        <v>637</v>
      </c>
      <c r="B637" t="s">
        <v>3775</v>
      </c>
      <c r="C637" t="s">
        <v>3787</v>
      </c>
      <c r="D637" t="s">
        <v>3788</v>
      </c>
    </row>
    <row r="638" ht="11.25" customHeight="1">
      <c r="A638">
        <v>638</v>
      </c>
      <c r="B638" t="s">
        <v>3775</v>
      </c>
      <c r="C638" t="s">
        <v>3385</v>
      </c>
      <c r="D638" t="s">
        <v>3789</v>
      </c>
    </row>
    <row r="639" ht="11.25" customHeight="1">
      <c r="A639">
        <v>639</v>
      </c>
      <c r="B639" t="s">
        <v>3775</v>
      </c>
      <c r="C639" t="s">
        <v>3790</v>
      </c>
      <c r="D639" t="s">
        <v>3791</v>
      </c>
    </row>
    <row r="640" ht="11.25" customHeight="1">
      <c r="A640">
        <v>640</v>
      </c>
      <c r="B640" t="s">
        <v>3775</v>
      </c>
      <c r="C640" t="s">
        <v>3792</v>
      </c>
      <c r="D640" t="s">
        <v>3793</v>
      </c>
    </row>
    <row r="641" ht="11.25" customHeight="1">
      <c r="A641">
        <v>641</v>
      </c>
      <c r="B641" t="s">
        <v>3775</v>
      </c>
      <c r="C641" t="s">
        <v>3709</v>
      </c>
      <c r="D641" t="s">
        <v>3794</v>
      </c>
    </row>
    <row r="642" ht="11.25" customHeight="1">
      <c r="A642">
        <v>642</v>
      </c>
      <c r="B642" t="s">
        <v>3775</v>
      </c>
      <c r="C642" t="s">
        <v>3775</v>
      </c>
      <c r="D642" t="s">
        <v>3795</v>
      </c>
    </row>
    <row r="643" ht="11.25" customHeight="1">
      <c r="A643">
        <v>643</v>
      </c>
      <c r="B643" t="s">
        <v>3775</v>
      </c>
      <c r="C643" t="s">
        <v>3796</v>
      </c>
      <c r="D643" t="s">
        <v>3797</v>
      </c>
    </row>
    <row r="644" ht="11.25" customHeight="1">
      <c r="A644">
        <v>644</v>
      </c>
      <c r="B644" t="s">
        <v>3775</v>
      </c>
      <c r="C644" t="s">
        <v>3798</v>
      </c>
      <c r="D644" t="s">
        <v>3799</v>
      </c>
    </row>
    <row r="645" ht="11.25" customHeight="1">
      <c r="A645">
        <v>645</v>
      </c>
      <c r="B645" t="s">
        <v>3800</v>
      </c>
      <c r="C645" t="s">
        <v>3801</v>
      </c>
      <c r="D645" t="s">
        <v>3802</v>
      </c>
    </row>
    <row r="646" ht="11.25" customHeight="1">
      <c r="A646">
        <v>646</v>
      </c>
      <c r="B646" t="s">
        <v>3800</v>
      </c>
      <c r="C646" t="s">
        <v>3803</v>
      </c>
      <c r="D646" t="s">
        <v>3804</v>
      </c>
    </row>
    <row r="647" ht="11.25" customHeight="1">
      <c r="A647">
        <v>647</v>
      </c>
      <c r="B647" t="s">
        <v>3800</v>
      </c>
      <c r="C647" t="s">
        <v>3805</v>
      </c>
      <c r="D647" t="s">
        <v>3806</v>
      </c>
    </row>
    <row r="648" ht="11.25" customHeight="1">
      <c r="A648">
        <v>648</v>
      </c>
      <c r="B648" t="s">
        <v>3800</v>
      </c>
      <c r="C648" t="s">
        <v>3807</v>
      </c>
      <c r="D648" t="s">
        <v>3808</v>
      </c>
    </row>
    <row r="649" ht="11.25" customHeight="1">
      <c r="A649">
        <v>649</v>
      </c>
      <c r="B649" t="s">
        <v>3800</v>
      </c>
      <c r="C649" t="s">
        <v>3809</v>
      </c>
      <c r="D649" t="s">
        <v>3810</v>
      </c>
    </row>
    <row r="650" ht="11.25" customHeight="1">
      <c r="A650">
        <v>650</v>
      </c>
      <c r="B650" t="s">
        <v>3800</v>
      </c>
      <c r="C650" t="s">
        <v>3811</v>
      </c>
      <c r="D650" t="s">
        <v>3812</v>
      </c>
    </row>
    <row r="651" ht="11.25" customHeight="1">
      <c r="A651">
        <v>651</v>
      </c>
      <c r="B651" t="s">
        <v>3800</v>
      </c>
      <c r="C651" t="s">
        <v>3813</v>
      </c>
      <c r="D651" t="s">
        <v>3814</v>
      </c>
    </row>
    <row r="652" ht="11.25" customHeight="1">
      <c r="A652">
        <v>652</v>
      </c>
      <c r="B652" t="s">
        <v>3800</v>
      </c>
      <c r="C652" t="s">
        <v>3561</v>
      </c>
      <c r="D652" t="s">
        <v>3815</v>
      </c>
    </row>
    <row r="653" ht="11.25" customHeight="1">
      <c r="A653">
        <v>653</v>
      </c>
      <c r="B653" t="s">
        <v>3800</v>
      </c>
      <c r="C653" t="s">
        <v>3816</v>
      </c>
      <c r="D653" t="s">
        <v>3817</v>
      </c>
    </row>
    <row r="654" ht="11.25" customHeight="1">
      <c r="A654">
        <v>654</v>
      </c>
      <c r="B654" t="s">
        <v>3800</v>
      </c>
      <c r="C654" t="s">
        <v>3800</v>
      </c>
      <c r="D654" t="s">
        <v>3818</v>
      </c>
    </row>
    <row r="655" ht="11.25" customHeight="1">
      <c r="A655">
        <v>655</v>
      </c>
      <c r="B655" t="s">
        <v>3800</v>
      </c>
      <c r="C655" t="s">
        <v>3819</v>
      </c>
      <c r="D655" t="s">
        <v>3820</v>
      </c>
    </row>
    <row r="656" ht="11.25" customHeight="1">
      <c r="A656">
        <v>656</v>
      </c>
      <c r="B656" t="s">
        <v>3821</v>
      </c>
      <c r="C656" t="s">
        <v>3822</v>
      </c>
      <c r="D656" t="s">
        <v>3823</v>
      </c>
    </row>
    <row r="657" ht="11.25" customHeight="1">
      <c r="A657">
        <v>657</v>
      </c>
      <c r="B657" t="s">
        <v>3821</v>
      </c>
      <c r="C657" t="s">
        <v>3824</v>
      </c>
      <c r="D657" t="s">
        <v>3825</v>
      </c>
    </row>
    <row r="658" ht="11.25" customHeight="1">
      <c r="A658">
        <v>658</v>
      </c>
      <c r="B658" t="s">
        <v>3821</v>
      </c>
      <c r="C658" t="s">
        <v>2594</v>
      </c>
      <c r="D658" t="s">
        <v>3826</v>
      </c>
    </row>
    <row r="659" ht="11.25" customHeight="1">
      <c r="A659">
        <v>659</v>
      </c>
      <c r="B659" t="s">
        <v>3821</v>
      </c>
      <c r="C659" t="s">
        <v>3827</v>
      </c>
      <c r="D659" t="s">
        <v>3828</v>
      </c>
    </row>
    <row r="660" ht="11.25" customHeight="1">
      <c r="A660">
        <v>660</v>
      </c>
      <c r="B660" t="s">
        <v>3821</v>
      </c>
      <c r="C660" t="s">
        <v>3829</v>
      </c>
      <c r="D660" t="s">
        <v>3830</v>
      </c>
    </row>
    <row r="661" ht="11.25" customHeight="1">
      <c r="A661">
        <v>661</v>
      </c>
      <c r="B661" t="s">
        <v>3821</v>
      </c>
      <c r="C661" t="s">
        <v>3831</v>
      </c>
      <c r="D661" t="s">
        <v>3832</v>
      </c>
    </row>
    <row r="662" ht="11.25" customHeight="1">
      <c r="A662">
        <v>662</v>
      </c>
      <c r="B662" t="s">
        <v>3821</v>
      </c>
      <c r="C662" t="s">
        <v>3833</v>
      </c>
      <c r="D662" t="s">
        <v>3834</v>
      </c>
    </row>
    <row r="663" ht="11.25" customHeight="1">
      <c r="A663">
        <v>663</v>
      </c>
      <c r="B663" t="s">
        <v>3821</v>
      </c>
      <c r="C663" t="s">
        <v>3835</v>
      </c>
      <c r="D663" t="s">
        <v>3836</v>
      </c>
    </row>
    <row r="664" ht="11.25" customHeight="1">
      <c r="A664">
        <v>664</v>
      </c>
      <c r="B664" t="s">
        <v>3821</v>
      </c>
      <c r="C664" t="s">
        <v>3837</v>
      </c>
      <c r="D664" t="s">
        <v>3838</v>
      </c>
    </row>
    <row r="665" ht="11.25" customHeight="1">
      <c r="A665">
        <v>665</v>
      </c>
      <c r="B665" t="s">
        <v>3821</v>
      </c>
      <c r="C665" t="s">
        <v>3839</v>
      </c>
      <c r="D665" t="s">
        <v>3840</v>
      </c>
    </row>
    <row r="666" ht="11.25" customHeight="1">
      <c r="A666">
        <v>666</v>
      </c>
      <c r="B666" t="s">
        <v>3821</v>
      </c>
      <c r="C666" t="s">
        <v>3821</v>
      </c>
      <c r="D666" t="s">
        <v>3841</v>
      </c>
    </row>
    <row r="667" ht="11.25" customHeight="1">
      <c r="A667">
        <v>667</v>
      </c>
      <c r="B667" t="s">
        <v>3821</v>
      </c>
      <c r="C667" t="s">
        <v>3842</v>
      </c>
      <c r="D667" t="s">
        <v>3843</v>
      </c>
    </row>
    <row r="668" ht="11.25" customHeight="1">
      <c r="A668">
        <v>668</v>
      </c>
      <c r="B668" t="s">
        <v>3821</v>
      </c>
      <c r="C668" t="s">
        <v>3844</v>
      </c>
      <c r="D668" t="s">
        <v>3845</v>
      </c>
    </row>
    <row r="669" ht="11.25" customHeight="1">
      <c r="A669">
        <v>669</v>
      </c>
      <c r="B669" t="s">
        <v>3846</v>
      </c>
      <c r="C669" t="s">
        <v>2694</v>
      </c>
      <c r="D669" t="s">
        <v>3847</v>
      </c>
    </row>
    <row r="670" ht="11.25" customHeight="1">
      <c r="A670">
        <v>670</v>
      </c>
      <c r="B670" t="s">
        <v>3846</v>
      </c>
      <c r="C670" t="s">
        <v>2758</v>
      </c>
      <c r="D670" t="s">
        <v>3848</v>
      </c>
    </row>
    <row r="671" ht="11.25" customHeight="1">
      <c r="A671">
        <v>671</v>
      </c>
      <c r="B671" t="s">
        <v>3846</v>
      </c>
      <c r="C671" t="s">
        <v>2604</v>
      </c>
      <c r="D671" t="s">
        <v>3849</v>
      </c>
    </row>
    <row r="672" ht="11.25" customHeight="1">
      <c r="A672">
        <v>672</v>
      </c>
      <c r="B672" t="s">
        <v>3846</v>
      </c>
      <c r="C672" t="s">
        <v>3850</v>
      </c>
      <c r="D672" t="s">
        <v>3851</v>
      </c>
    </row>
    <row r="673" ht="11.25" customHeight="1">
      <c r="A673">
        <v>673</v>
      </c>
      <c r="B673" t="s">
        <v>3846</v>
      </c>
      <c r="C673" t="s">
        <v>3061</v>
      </c>
      <c r="D673" t="s">
        <v>3852</v>
      </c>
    </row>
    <row r="674" ht="11.25" customHeight="1">
      <c r="A674">
        <v>674</v>
      </c>
      <c r="B674" t="s">
        <v>3846</v>
      </c>
      <c r="C674" t="s">
        <v>3853</v>
      </c>
      <c r="D674" t="s">
        <v>3854</v>
      </c>
    </row>
    <row r="675" ht="11.25" customHeight="1">
      <c r="A675">
        <v>675</v>
      </c>
      <c r="B675" t="s">
        <v>3846</v>
      </c>
      <c r="C675" t="s">
        <v>3855</v>
      </c>
      <c r="D675" t="s">
        <v>3856</v>
      </c>
    </row>
    <row r="676" ht="11.25" customHeight="1">
      <c r="A676">
        <v>676</v>
      </c>
      <c r="B676" t="s">
        <v>3846</v>
      </c>
      <c r="C676" t="s">
        <v>3857</v>
      </c>
      <c r="D676" t="s">
        <v>3858</v>
      </c>
    </row>
    <row r="677" ht="11.25" customHeight="1">
      <c r="A677">
        <v>677</v>
      </c>
      <c r="B677" t="s">
        <v>3846</v>
      </c>
      <c r="C677" t="s">
        <v>3846</v>
      </c>
      <c r="D677" t="s">
        <v>3859</v>
      </c>
    </row>
    <row r="678" ht="11.25" customHeight="1">
      <c r="A678">
        <v>678</v>
      </c>
      <c r="B678" t="s">
        <v>3846</v>
      </c>
      <c r="C678" t="s">
        <v>3773</v>
      </c>
      <c r="D678" t="s">
        <v>3860</v>
      </c>
    </row>
    <row r="679" ht="11.25" customHeight="1">
      <c r="A679">
        <v>679</v>
      </c>
      <c r="B679" t="s">
        <v>3861</v>
      </c>
      <c r="C679" t="s">
        <v>3862</v>
      </c>
      <c r="D679" t="s">
        <v>3863</v>
      </c>
    </row>
    <row r="680" ht="11.25" customHeight="1">
      <c r="A680">
        <v>680</v>
      </c>
      <c r="B680" t="s">
        <v>3861</v>
      </c>
      <c r="C680" t="s">
        <v>3864</v>
      </c>
      <c r="D680" t="s">
        <v>3865</v>
      </c>
    </row>
    <row r="681" ht="11.25" customHeight="1">
      <c r="A681">
        <v>681</v>
      </c>
      <c r="B681" t="s">
        <v>3861</v>
      </c>
      <c r="C681" t="s">
        <v>3866</v>
      </c>
      <c r="D681" t="s">
        <v>3867</v>
      </c>
    </row>
    <row r="682" ht="11.25" customHeight="1">
      <c r="A682">
        <v>682</v>
      </c>
      <c r="B682" t="s">
        <v>3861</v>
      </c>
      <c r="C682" t="s">
        <v>3868</v>
      </c>
      <c r="D682" t="s">
        <v>3869</v>
      </c>
    </row>
    <row r="683" ht="11.25" customHeight="1">
      <c r="A683">
        <v>683</v>
      </c>
      <c r="B683" t="s">
        <v>3861</v>
      </c>
      <c r="C683" t="s">
        <v>3870</v>
      </c>
      <c r="D683" t="s">
        <v>3871</v>
      </c>
    </row>
    <row r="684" ht="11.25" customHeight="1">
      <c r="A684">
        <v>684</v>
      </c>
      <c r="B684" t="s">
        <v>3861</v>
      </c>
      <c r="C684" t="s">
        <v>3872</v>
      </c>
      <c r="D684" t="s">
        <v>3873</v>
      </c>
    </row>
    <row r="685" ht="11.25" customHeight="1">
      <c r="A685">
        <v>685</v>
      </c>
      <c r="B685" t="s">
        <v>3861</v>
      </c>
      <c r="C685" t="s">
        <v>3874</v>
      </c>
      <c r="D685" t="s">
        <v>3875</v>
      </c>
    </row>
    <row r="686" ht="11.25" customHeight="1">
      <c r="A686">
        <v>686</v>
      </c>
      <c r="B686" t="s">
        <v>3861</v>
      </c>
      <c r="C686" t="s">
        <v>3876</v>
      </c>
      <c r="D686" t="s">
        <v>3877</v>
      </c>
    </row>
    <row r="687" ht="11.25" customHeight="1">
      <c r="A687">
        <v>687</v>
      </c>
      <c r="B687" t="s">
        <v>3861</v>
      </c>
      <c r="C687" t="s">
        <v>3861</v>
      </c>
      <c r="D687" t="s">
        <v>3878</v>
      </c>
    </row>
    <row r="688" ht="11.25" customHeight="1">
      <c r="A688">
        <v>688</v>
      </c>
      <c r="B688" t="s">
        <v>3861</v>
      </c>
      <c r="C688" t="s">
        <v>3879</v>
      </c>
      <c r="D688" t="s">
        <v>3880</v>
      </c>
    </row>
    <row r="689" ht="11.25" customHeight="1">
      <c r="A689">
        <v>689</v>
      </c>
      <c r="B689" t="s">
        <v>3881</v>
      </c>
      <c r="C689" t="s">
        <v>3882</v>
      </c>
      <c r="D689" t="s">
        <v>3883</v>
      </c>
    </row>
    <row r="690" ht="11.25" customHeight="1">
      <c r="A690">
        <v>690</v>
      </c>
      <c r="B690" t="s">
        <v>3881</v>
      </c>
      <c r="C690" t="s">
        <v>3327</v>
      </c>
      <c r="D690" t="s">
        <v>3884</v>
      </c>
    </row>
    <row r="691" ht="11.25" customHeight="1">
      <c r="A691">
        <v>691</v>
      </c>
      <c r="B691" t="s">
        <v>3881</v>
      </c>
      <c r="C691" t="s">
        <v>3885</v>
      </c>
      <c r="D691" t="s">
        <v>3886</v>
      </c>
    </row>
    <row r="692" ht="11.25" customHeight="1">
      <c r="A692">
        <v>692</v>
      </c>
      <c r="B692" t="s">
        <v>3881</v>
      </c>
      <c r="C692" t="s">
        <v>3887</v>
      </c>
      <c r="D692" t="s">
        <v>3888</v>
      </c>
    </row>
    <row r="693" ht="11.25" customHeight="1">
      <c r="A693">
        <v>693</v>
      </c>
      <c r="B693" t="s">
        <v>3881</v>
      </c>
      <c r="C693" t="s">
        <v>2819</v>
      </c>
      <c r="D693" t="s">
        <v>3889</v>
      </c>
    </row>
    <row r="694" ht="11.25" customHeight="1">
      <c r="A694">
        <v>694</v>
      </c>
      <c r="B694" t="s">
        <v>3881</v>
      </c>
      <c r="C694" t="s">
        <v>3890</v>
      </c>
      <c r="D694" t="s">
        <v>3891</v>
      </c>
    </row>
    <row r="695" ht="11.25" customHeight="1">
      <c r="A695">
        <v>695</v>
      </c>
      <c r="B695" t="s">
        <v>3881</v>
      </c>
      <c r="C695" t="s">
        <v>3864</v>
      </c>
      <c r="D695" t="s">
        <v>3892</v>
      </c>
    </row>
    <row r="696" ht="11.25" customHeight="1">
      <c r="A696">
        <v>696</v>
      </c>
      <c r="B696" t="s">
        <v>3881</v>
      </c>
      <c r="C696" t="s">
        <v>3893</v>
      </c>
      <c r="D696" t="s">
        <v>3894</v>
      </c>
    </row>
    <row r="697" ht="11.25" customHeight="1">
      <c r="A697">
        <v>697</v>
      </c>
      <c r="B697" t="s">
        <v>3881</v>
      </c>
      <c r="C697" t="s">
        <v>3895</v>
      </c>
      <c r="D697" t="s">
        <v>3896</v>
      </c>
    </row>
    <row r="698" ht="11.25" customHeight="1">
      <c r="A698">
        <v>698</v>
      </c>
      <c r="B698" t="s">
        <v>3881</v>
      </c>
      <c r="C698" t="s">
        <v>3897</v>
      </c>
      <c r="D698" t="s">
        <v>3898</v>
      </c>
    </row>
    <row r="699" ht="11.25" customHeight="1">
      <c r="A699">
        <v>699</v>
      </c>
      <c r="B699" t="s">
        <v>3881</v>
      </c>
      <c r="C699" t="s">
        <v>2683</v>
      </c>
      <c r="D699" t="s">
        <v>3899</v>
      </c>
    </row>
    <row r="700" ht="11.25" customHeight="1">
      <c r="A700">
        <v>700</v>
      </c>
      <c r="B700" t="s">
        <v>3881</v>
      </c>
      <c r="C700" t="s">
        <v>3900</v>
      </c>
      <c r="D700" t="s">
        <v>3901</v>
      </c>
    </row>
    <row r="701" ht="11.25" customHeight="1">
      <c r="A701">
        <v>701</v>
      </c>
      <c r="B701" t="s">
        <v>3881</v>
      </c>
      <c r="C701" t="s">
        <v>3436</v>
      </c>
      <c r="D701" t="s">
        <v>3902</v>
      </c>
    </row>
    <row r="702" ht="11.25" customHeight="1">
      <c r="A702">
        <v>702</v>
      </c>
      <c r="B702" t="s">
        <v>3881</v>
      </c>
      <c r="C702" t="s">
        <v>3903</v>
      </c>
      <c r="D702" t="s">
        <v>3904</v>
      </c>
    </row>
    <row r="703" ht="11.25" customHeight="1">
      <c r="A703">
        <v>703</v>
      </c>
      <c r="B703" t="s">
        <v>3881</v>
      </c>
      <c r="C703" t="s">
        <v>3905</v>
      </c>
      <c r="D703" t="s">
        <v>3906</v>
      </c>
    </row>
    <row r="704" ht="11.25" customHeight="1">
      <c r="A704">
        <v>704</v>
      </c>
      <c r="B704" t="s">
        <v>3881</v>
      </c>
      <c r="C704" t="s">
        <v>3907</v>
      </c>
      <c r="D704" t="s">
        <v>3908</v>
      </c>
    </row>
    <row r="705" ht="11.25" customHeight="1">
      <c r="A705">
        <v>705</v>
      </c>
      <c r="B705" t="s">
        <v>3881</v>
      </c>
      <c r="C705" t="s">
        <v>3909</v>
      </c>
      <c r="D705" t="s">
        <v>3910</v>
      </c>
    </row>
    <row r="706" ht="11.25" customHeight="1">
      <c r="A706">
        <v>706</v>
      </c>
      <c r="B706" t="s">
        <v>3881</v>
      </c>
      <c r="C706" t="s">
        <v>3911</v>
      </c>
      <c r="D706" t="s">
        <v>3912</v>
      </c>
    </row>
    <row r="707" ht="11.25" customHeight="1">
      <c r="A707">
        <v>707</v>
      </c>
      <c r="B707" t="s">
        <v>3881</v>
      </c>
      <c r="C707" t="s">
        <v>3881</v>
      </c>
      <c r="D707" t="s">
        <v>3913</v>
      </c>
    </row>
    <row r="708" ht="11.25" customHeight="1">
      <c r="A708">
        <v>708</v>
      </c>
      <c r="B708" t="s">
        <v>3881</v>
      </c>
      <c r="C708" t="s">
        <v>3914</v>
      </c>
      <c r="D708" t="s">
        <v>3915</v>
      </c>
    </row>
  </sheetData>
  <sheetProtection autoFilter="0" deleteColumns="1" deleteRows="1" formatCells="1" formatColumns="1" formatRows="1" insertColumns="1" insertHyperlinks="1" insertRows="1" objects="0" pivotTables="1" scenarios="0" selectLockedCells="0" selectUnlockedCells="0" sheet="1" sort="1"/>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1.25" customHeight="1"/>
  <cols>
    <col min="1" max="1" style="784" width="9.140625"/>
    <col customWidth="1" min="2" max="2" style="784" width="84.28125"/>
    <col min="3" max="3" style="784" width="9.140625"/>
  </cols>
  <sheetData>
    <row r="1" ht="11.25" customHeight="1">
      <c r="A1" s="784" t="s">
        <v>3916</v>
      </c>
      <c r="B1" s="784" t="s">
        <v>3917</v>
      </c>
      <c r="C1" s="784" t="s">
        <v>1196</v>
      </c>
    </row>
    <row r="2" ht="11.25" customHeight="1">
      <c r="A2" s="784">
        <v>4189678</v>
      </c>
      <c r="B2" s="784" t="s">
        <v>3918</v>
      </c>
      <c r="C2" s="784" t="s">
        <v>3919</v>
      </c>
    </row>
    <row r="3" ht="11.25" customHeight="1">
      <c r="A3" s="784">
        <v>4190415</v>
      </c>
      <c r="B3" s="784" t="s">
        <v>3920</v>
      </c>
      <c r="C3" s="784" t="s">
        <v>3919</v>
      </c>
    </row>
  </sheetData>
  <sheetProtection autoFilter="0" deleteColumns="1" deleteRows="1" formatCells="1" formatColumns="1" formatRows="1" insertColumns="1" insertHyperlinks="1" insertRows="1" objects="0" pivotTables="1" scenarios="0" selectLockedCells="0" selectUnlockedCells="0" sheet="1" sort="1"/>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5" customHeight="1"/>
  <cols>
    <col customWidth="1" min="1" max="1" style="1400" width="38.421875"/>
    <col min="2" max="5" style="1400" width="9.140625"/>
  </cols>
  <sheetData>
    <row r="1" ht="15" customHeight="1">
      <c r="A1" s="1401" t="s">
        <v>3921</v>
      </c>
      <c r="B1" s="1401" t="s">
        <v>3922</v>
      </c>
      <c r="C1" s="1401"/>
      <c r="D1" s="1401"/>
      <c r="E1" s="1401"/>
    </row>
    <row r="2" ht="15" customHeight="1">
      <c r="A2" s="1401"/>
      <c r="B2" s="1401"/>
      <c r="C2" s="1401"/>
      <c r="D2" s="1401"/>
      <c r="E2" s="1401"/>
    </row>
    <row r="3" ht="15" customHeight="1">
      <c r="A3" s="1401"/>
      <c r="B3" s="1401"/>
      <c r="C3" s="1401"/>
      <c r="D3" s="1401"/>
      <c r="E3" s="1401"/>
    </row>
    <row r="4" ht="15" customHeight="1">
      <c r="A4" s="1401"/>
      <c r="B4" s="1401"/>
      <c r="C4" s="1401"/>
      <c r="D4" s="1401"/>
      <c r="E4" s="1401"/>
    </row>
    <row r="5" ht="15" customHeight="1">
      <c r="A5" s="1401"/>
      <c r="B5" s="1401"/>
      <c r="C5" s="1401"/>
      <c r="D5" s="1401"/>
      <c r="E5" s="1401"/>
    </row>
    <row r="6" ht="15" customHeight="1">
      <c r="A6" s="1401"/>
      <c r="B6" s="1401"/>
      <c r="C6" s="1401"/>
      <c r="D6" s="1401"/>
      <c r="E6" s="1401"/>
    </row>
    <row r="7" ht="15" customHeight="1">
      <c r="A7" s="1401"/>
      <c r="B7" s="1401"/>
      <c r="C7" s="1401"/>
      <c r="D7" s="1401"/>
      <c r="E7" s="1401"/>
    </row>
    <row r="8" ht="15" customHeight="1">
      <c r="A8" s="1401"/>
      <c r="B8" s="1401"/>
      <c r="C8" s="1401"/>
      <c r="D8" s="1401"/>
      <c r="E8" s="1401"/>
    </row>
  </sheetData>
  <sheetProtection autoFilter="0" deleteColumns="1" deleteRows="1" formatCells="1" formatColumns="0" formatRows="0" insertColumns="1" insertHyperlinks="1" insertRows="1" objects="0" pivotTables="1" scenarios="0" selectLockedCells="0" selectUnlockedCells="0" sheet="1" sort="1"/>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topLeftCell="A1" zoomScale="100" workbookViewId="0">
      <selection activeCell="A1" activeCellId="0" sqref="A1"/>
    </sheetView>
  </sheetViews>
  <sheetFormatPr defaultRowHeight="11.25" customHeight="1"/>
  <sheetData>
    <row r="1" ht="11.25" customHeight="1">
      <c r="A1" t="s">
        <v>3923</v>
      </c>
      <c r="B1" t="b">
        <v>1</v>
      </c>
    </row>
    <row r="2" ht="11.25" customHeight="1">
      <c r="A2" t="s">
        <v>3924</v>
      </c>
      <c r="B2" t="b">
        <v>0</v>
      </c>
    </row>
    <row r="3" ht="11.25" customHeight="1">
      <c r="A3" t="s">
        <v>3925</v>
      </c>
      <c r="B3" t="b">
        <v>0</v>
      </c>
    </row>
    <row r="4" ht="11.25" customHeight="1">
      <c r="A4" t="s">
        <v>3926</v>
      </c>
      <c r="B4" t="b">
        <v>0</v>
      </c>
    </row>
    <row r="5" ht="11.25" customHeight="1">
      <c r="A5" t="s">
        <v>3927</v>
      </c>
      <c r="B5" t="b">
        <v>0</v>
      </c>
    </row>
    <row r="6" ht="11.25" customHeight="1">
      <c r="A6" t="s">
        <v>3928</v>
      </c>
      <c r="B6" t="b">
        <v>1</v>
      </c>
    </row>
    <row r="7" ht="11.25" customHeight="1">
      <c r="A7" t="s">
        <v>3929</v>
      </c>
      <c r="B7" t="b">
        <v>0</v>
      </c>
    </row>
    <row r="8" ht="11.25" customHeight="1">
      <c r="A8" t="s">
        <v>3930</v>
      </c>
      <c r="B8" t="b">
        <v>0</v>
      </c>
    </row>
    <row r="9" ht="11.25" customHeight="1">
      <c r="A9" t="s">
        <v>3931</v>
      </c>
      <c r="B9" t="b">
        <v>0</v>
      </c>
    </row>
    <row r="10" ht="11.25" customHeight="1">
      <c r="A10" t="s">
        <v>3932</v>
      </c>
      <c r="B10" t="b">
        <v>0</v>
      </c>
    </row>
    <row r="11" ht="11.25" customHeight="1">
      <c r="A11" t="s">
        <v>3933</v>
      </c>
      <c r="B11" t="b">
        <v>0</v>
      </c>
    </row>
    <row r="12" ht="11.25" customHeight="1">
      <c r="A12" t="s">
        <v>3934</v>
      </c>
      <c r="B12" t="b">
        <v>1</v>
      </c>
    </row>
    <row r="13" ht="11.25" customHeight="1">
      <c r="A13" t="s">
        <v>3935</v>
      </c>
      <c r="B13" t="b">
        <v>0</v>
      </c>
    </row>
    <row r="14" ht="11.25" customHeight="1">
      <c r="A14" t="s">
        <v>3936</v>
      </c>
      <c r="B14" t="b">
        <v>0</v>
      </c>
    </row>
    <row r="15" ht="11.25" customHeight="1">
      <c r="A15" t="s">
        <v>3937</v>
      </c>
      <c r="B15" t="b">
        <v>1</v>
      </c>
    </row>
  </sheetData>
  <sheetProtection autoFilter="0" deleteColumns="1" deleteRows="1" formatCells="1" formatColumns="1" formatRows="1" insertColumns="1" insertHyperlinks="1" insertRows="1" objects="0" pivotTables="1" scenarios="0" selectLockedCells="0" selectUnlockedCells="0" sheet="1" sort="1"/>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2.75" customHeight="1"/>
  <cols>
    <col min="1" max="1" style="1" width="9.140625"/>
  </cols>
  <sheetData>
    <row r="1" ht="12.75" customHeight="1">
      <c r="A1" s="1402"/>
    </row>
  </sheetData>
  <sheetProtection autoFilter="0" deleteColumns="1" deleteRows="1" formatCells="1" formatColumns="1" formatRows="1" insertColumns="1" insertHyperlinks="1" insertRows="1" objects="0" pivotTables="1" scenarios="0" selectLockedCells="0" selectUnlockedCells="0" sheet="1" sort="1"/>
  <printOptions headings="0" gridLines="0"/>
  <pageMargins left="0.75" right="0.75" top="1" bottom="1" header="0.5" footer="0.5"/>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1.25" customHeight="1"/>
  <cols>
    <col customWidth="1" min="1" max="1" style="63" width="36.28125"/>
    <col customWidth="1" min="2" max="2" style="63" width="21.140625"/>
  </cols>
  <sheetData>
    <row r="1" ht="11.25" customHeight="1">
      <c r="A1" s="1403" t="s">
        <v>3938</v>
      </c>
      <c r="B1" s="1403" t="s">
        <v>3939</v>
      </c>
    </row>
    <row r="2" ht="11.25" customHeight="1">
      <c r="A2" s="184" t="s">
        <v>3940</v>
      </c>
      <c r="B2" s="184" t="s">
        <v>3941</v>
      </c>
    </row>
    <row r="3" ht="11.25" customHeight="1">
      <c r="A3" s="184" t="s">
        <v>3942</v>
      </c>
      <c r="B3" s="184" t="s">
        <v>3943</v>
      </c>
    </row>
    <row r="4" ht="11.25" customHeight="1">
      <c r="A4" s="184" t="s">
        <v>3944</v>
      </c>
      <c r="B4" s="184" t="s">
        <v>3945</v>
      </c>
    </row>
    <row r="5" ht="11.25" customHeight="1">
      <c r="A5" s="184" t="s">
        <v>3946</v>
      </c>
      <c r="B5" s="184" t="s">
        <v>3947</v>
      </c>
    </row>
    <row r="6" ht="11.25" customHeight="1">
      <c r="A6" s="184" t="s">
        <v>3948</v>
      </c>
      <c r="B6" s="184" t="s">
        <v>3949</v>
      </c>
    </row>
    <row r="7" ht="11.25" customHeight="1">
      <c r="A7" s="184" t="s">
        <v>3950</v>
      </c>
      <c r="B7" s="184" t="s">
        <v>3951</v>
      </c>
    </row>
    <row r="8" ht="11.25" customHeight="1">
      <c r="A8" s="184" t="s">
        <v>3952</v>
      </c>
      <c r="B8" s="184" t="s">
        <v>3953</v>
      </c>
    </row>
    <row r="9" ht="11.25" customHeight="1">
      <c r="A9" s="184" t="s">
        <v>3954</v>
      </c>
      <c r="B9" s="184" t="s">
        <v>3955</v>
      </c>
    </row>
    <row r="10" ht="11.25" customHeight="1">
      <c r="A10" s="184" t="s">
        <v>3956</v>
      </c>
      <c r="B10" s="184" t="s">
        <v>3957</v>
      </c>
    </row>
    <row r="11" ht="11.25" customHeight="1">
      <c r="A11" s="184" t="s">
        <v>3958</v>
      </c>
      <c r="B11" s="184" t="s">
        <v>3959</v>
      </c>
    </row>
    <row r="12" ht="11.25" customHeight="1">
      <c r="A12" s="184" t="s">
        <v>3960</v>
      </c>
      <c r="B12" s="184" t="s">
        <v>3961</v>
      </c>
    </row>
    <row r="13" ht="11.25" customHeight="1">
      <c r="A13" s="184" t="s">
        <v>3962</v>
      </c>
      <c r="B13" s="184" t="s">
        <v>3963</v>
      </c>
    </row>
    <row r="14" ht="11.25" customHeight="1">
      <c r="A14" s="184" t="s">
        <v>3964</v>
      </c>
      <c r="B14" s="184" t="s">
        <v>3965</v>
      </c>
    </row>
    <row r="15" ht="11.25" customHeight="1">
      <c r="A15" s="184" t="s">
        <v>3966</v>
      </c>
      <c r="B15" s="184" t="s">
        <v>3967</v>
      </c>
    </row>
    <row r="16" ht="11.25" customHeight="1">
      <c r="A16" s="184" t="s">
        <v>3968</v>
      </c>
      <c r="B16" s="184" t="s">
        <v>3969</v>
      </c>
    </row>
    <row r="17" ht="11.25" customHeight="1">
      <c r="A17" s="184" t="s">
        <v>3970</v>
      </c>
      <c r="B17" s="184" t="s">
        <v>3971</v>
      </c>
    </row>
    <row r="18" ht="11.25" customHeight="1">
      <c r="A18" s="184" t="s">
        <v>3972</v>
      </c>
      <c r="B18" s="184" t="s">
        <v>3973</v>
      </c>
    </row>
    <row r="19" ht="11.25" customHeight="1">
      <c r="A19" s="184" t="s">
        <v>3974</v>
      </c>
      <c r="B19" s="184" t="s">
        <v>3975</v>
      </c>
    </row>
    <row r="20" ht="11.25" customHeight="1">
      <c r="A20" s="184" t="s">
        <v>3976</v>
      </c>
      <c r="B20" s="184" t="s">
        <v>3977</v>
      </c>
    </row>
    <row r="21" ht="11.25" customHeight="1">
      <c r="A21" s="184" t="s">
        <v>3978</v>
      </c>
      <c r="B21" s="184" t="s">
        <v>3979</v>
      </c>
    </row>
    <row r="22" ht="11.25" customHeight="1">
      <c r="A22" s="184" t="s">
        <v>3980</v>
      </c>
      <c r="B22" s="184" t="s">
        <v>3981</v>
      </c>
    </row>
    <row r="23" ht="11.25" customHeight="1">
      <c r="A23" s="184" t="s">
        <v>3982</v>
      </c>
      <c r="B23" s="184" t="s">
        <v>3983</v>
      </c>
    </row>
    <row r="24" ht="11.25" customHeight="1">
      <c r="A24" s="184" t="s">
        <v>3984</v>
      </c>
      <c r="B24" s="184" t="s">
        <v>3985</v>
      </c>
    </row>
    <row r="25" ht="11.25" customHeight="1">
      <c r="A25" s="184" t="s">
        <v>3986</v>
      </c>
      <c r="B25" s="184" t="s">
        <v>3987</v>
      </c>
    </row>
    <row r="26" ht="11.25" customHeight="1">
      <c r="A26" s="184" t="s">
        <v>3988</v>
      </c>
      <c r="B26" s="184" t="s">
        <v>3989</v>
      </c>
    </row>
    <row r="27" ht="11.25" customHeight="1">
      <c r="A27" s="184" t="s">
        <v>3990</v>
      </c>
      <c r="B27" s="184" t="s">
        <v>3991</v>
      </c>
    </row>
    <row r="28" ht="11.25" customHeight="1">
      <c r="A28" s="184" t="s">
        <v>3992</v>
      </c>
      <c r="B28" s="184" t="s">
        <v>3993</v>
      </c>
    </row>
    <row r="29" ht="11.25" customHeight="1">
      <c r="A29" s="184" t="s">
        <v>3994</v>
      </c>
      <c r="B29" s="184" t="s">
        <v>3995</v>
      </c>
    </row>
    <row r="30" ht="11.25" customHeight="1">
      <c r="A30" s="184" t="s">
        <v>3996</v>
      </c>
      <c r="B30" s="184" t="s">
        <v>3997</v>
      </c>
    </row>
    <row r="31" ht="11.25" customHeight="1">
      <c r="A31" s="184" t="s">
        <v>3998</v>
      </c>
      <c r="B31" s="184" t="s">
        <v>3999</v>
      </c>
    </row>
    <row r="32" ht="11.25" customHeight="1">
      <c r="A32" s="184" t="s">
        <v>4000</v>
      </c>
      <c r="B32" s="184" t="s">
        <v>4001</v>
      </c>
    </row>
    <row r="33" ht="11.25" customHeight="1">
      <c r="A33" s="184" t="s">
        <v>4002</v>
      </c>
      <c r="B33" s="184" t="s">
        <v>4003</v>
      </c>
    </row>
    <row r="34" ht="11.25" customHeight="1">
      <c r="A34" s="184" t="s">
        <v>4004</v>
      </c>
      <c r="B34" s="184" t="s">
        <v>4005</v>
      </c>
    </row>
    <row r="35" ht="11.25" customHeight="1">
      <c r="A35" s="184" t="s">
        <v>4006</v>
      </c>
      <c r="B35" s="184" t="s">
        <v>4007</v>
      </c>
    </row>
    <row r="36" ht="11.25" customHeight="1">
      <c r="A36" s="184" t="s">
        <v>4008</v>
      </c>
      <c r="B36" s="184" t="s">
        <v>4009</v>
      </c>
    </row>
    <row r="37" ht="11.25" customHeight="1">
      <c r="A37" s="184" t="s">
        <v>4010</v>
      </c>
      <c r="B37" s="184" t="s">
        <v>4011</v>
      </c>
    </row>
    <row r="38" ht="11.25" customHeight="1">
      <c r="A38" s="184" t="s">
        <v>4012</v>
      </c>
      <c r="B38" s="184" t="s">
        <v>4013</v>
      </c>
    </row>
    <row r="39" ht="11.25" customHeight="1">
      <c r="A39" s="184" t="s">
        <v>4014</v>
      </c>
      <c r="B39" s="184" t="s">
        <v>4015</v>
      </c>
    </row>
    <row r="40" ht="11.25" customHeight="1">
      <c r="A40" s="184" t="s">
        <v>4016</v>
      </c>
      <c r="B40" s="184" t="s">
        <v>4017</v>
      </c>
    </row>
    <row r="41" ht="11.25" customHeight="1">
      <c r="A41" s="184" t="s">
        <v>4018</v>
      </c>
      <c r="B41" s="184" t="s">
        <v>4019</v>
      </c>
    </row>
    <row r="42" ht="11.25" customHeight="1">
      <c r="A42" s="184" t="s">
        <v>4020</v>
      </c>
      <c r="B42" s="184" t="s">
        <v>4021</v>
      </c>
    </row>
    <row r="43" ht="11.25" customHeight="1">
      <c r="A43" s="184" t="s">
        <v>4022</v>
      </c>
      <c r="B43" s="184" t="s">
        <v>4023</v>
      </c>
    </row>
    <row r="44" ht="11.25" customHeight="1">
      <c r="A44" s="184" t="s">
        <v>4024</v>
      </c>
      <c r="B44" s="184" t="s">
        <v>4025</v>
      </c>
    </row>
    <row r="45" ht="11.25" customHeight="1">
      <c r="A45" s="184" t="s">
        <v>4026</v>
      </c>
      <c r="B45" s="184" t="s">
        <v>4027</v>
      </c>
    </row>
    <row r="46" ht="11.25" customHeight="1">
      <c r="A46" s="184" t="s">
        <v>4028</v>
      </c>
      <c r="B46" s="184" t="s">
        <v>4029</v>
      </c>
    </row>
    <row r="47" ht="11.25" customHeight="1">
      <c r="A47" s="184" t="s">
        <v>4030</v>
      </c>
      <c r="B47" s="184" t="s">
        <v>4031</v>
      </c>
    </row>
    <row r="48" ht="11.25" customHeight="1">
      <c r="A48" s="184" t="s">
        <v>4032</v>
      </c>
      <c r="B48" s="184" t="s">
        <v>4033</v>
      </c>
    </row>
    <row r="49" ht="11.25" customHeight="1">
      <c r="A49" s="184" t="s">
        <v>4034</v>
      </c>
      <c r="B49" s="184" t="s">
        <v>4035</v>
      </c>
    </row>
    <row r="50" ht="11.25" customHeight="1">
      <c r="A50" s="184" t="s">
        <v>4036</v>
      </c>
      <c r="B50" s="184" t="s">
        <v>4037</v>
      </c>
    </row>
    <row r="51" ht="11.25" customHeight="1">
      <c r="A51" s="184" t="s">
        <v>4038</v>
      </c>
      <c r="B51" s="184" t="s">
        <v>4039</v>
      </c>
    </row>
    <row r="52" ht="11.25" customHeight="1">
      <c r="A52" s="184" t="s">
        <v>4040</v>
      </c>
      <c r="B52" s="184" t="s">
        <v>4041</v>
      </c>
    </row>
    <row r="53" ht="11.25" customHeight="1">
      <c r="A53" s="184" t="s">
        <v>4042</v>
      </c>
      <c r="B53" s="184" t="s">
        <v>4043</v>
      </c>
    </row>
    <row r="54" ht="11.25" customHeight="1">
      <c r="A54" s="184" t="s">
        <v>4044</v>
      </c>
      <c r="B54" s="184" t="s">
        <v>4045</v>
      </c>
    </row>
    <row r="55" ht="11.25" customHeight="1">
      <c r="A55" s="184" t="s">
        <v>4046</v>
      </c>
      <c r="B55" s="184" t="s">
        <v>4047</v>
      </c>
    </row>
    <row r="56" ht="11.25" customHeight="1">
      <c r="A56" s="184" t="s">
        <v>4048</v>
      </c>
      <c r="B56" s="184" t="s">
        <v>4049</v>
      </c>
    </row>
    <row r="57" ht="11.25" customHeight="1">
      <c r="A57" s="184" t="s">
        <v>4050</v>
      </c>
      <c r="B57" s="184" t="s">
        <v>4051</v>
      </c>
    </row>
    <row r="58" ht="11.25" customHeight="1">
      <c r="A58" s="184" t="s">
        <v>4052</v>
      </c>
      <c r="B58" s="184" t="s">
        <v>4053</v>
      </c>
    </row>
    <row r="59" ht="11.25" customHeight="1">
      <c r="A59" s="184" t="s">
        <v>4054</v>
      </c>
      <c r="B59" s="184" t="s">
        <v>4055</v>
      </c>
    </row>
    <row r="60" ht="11.25" customHeight="1">
      <c r="A60" s="184" t="s">
        <v>4056</v>
      </c>
      <c r="B60" s="184" t="s">
        <v>4057</v>
      </c>
    </row>
    <row r="61" ht="11.25" customHeight="1">
      <c r="A61" s="184"/>
      <c r="B61" s="184" t="s">
        <v>4058</v>
      </c>
    </row>
    <row r="62" ht="11.25" customHeight="1">
      <c r="A62" s="184"/>
      <c r="B62" s="184" t="s">
        <v>4059</v>
      </c>
    </row>
    <row r="63" ht="11.25" customHeight="1">
      <c r="A63" s="184"/>
      <c r="B63" s="184" t="s">
        <v>4060</v>
      </c>
    </row>
    <row r="64" ht="11.25" customHeight="1">
      <c r="A64" s="184"/>
      <c r="B64" s="184" t="s">
        <v>4061</v>
      </c>
    </row>
    <row r="65" ht="11.25" customHeight="1">
      <c r="A65" s="184"/>
      <c r="B65" s="184" t="s">
        <v>4062</v>
      </c>
    </row>
    <row r="66" ht="11.25" customHeight="1">
      <c r="A66" s="184"/>
      <c r="B66" s="184" t="s">
        <v>4063</v>
      </c>
    </row>
    <row r="67" ht="11.25" customHeight="1">
      <c r="A67" s="184"/>
      <c r="B67" s="184" t="s">
        <v>4064</v>
      </c>
    </row>
    <row r="68" ht="11.25" customHeight="1">
      <c r="A68" s="184"/>
      <c r="B68" s="184" t="s">
        <v>4065</v>
      </c>
    </row>
    <row r="69" ht="11.25" customHeight="1">
      <c r="A69" s="184"/>
      <c r="B69" s="184" t="s">
        <v>4066</v>
      </c>
    </row>
    <row r="70" ht="11.25" customHeight="1">
      <c r="A70" s="184"/>
      <c r="B70" s="184" t="s">
        <v>4067</v>
      </c>
    </row>
    <row r="71" ht="11.25" customHeight="1">
      <c r="A71" s="184"/>
      <c r="B71" s="184"/>
    </row>
    <row r="72" ht="11.25" customHeight="1">
      <c r="A72" s="184"/>
      <c r="B72" s="184"/>
    </row>
    <row r="73" ht="11.25" customHeight="1">
      <c r="A73" s="184"/>
      <c r="B73" s="184"/>
    </row>
    <row r="74" ht="11.25" customHeight="1">
      <c r="A74" s="184"/>
      <c r="B74" s="184"/>
    </row>
    <row r="75" ht="11.25" customHeight="1">
      <c r="A75" s="184"/>
      <c r="B75" s="184"/>
    </row>
    <row r="76" ht="11.25" customHeight="1">
      <c r="A76" s="184"/>
      <c r="B76" s="184"/>
    </row>
    <row r="77" ht="11.25" customHeight="1">
      <c r="A77" s="184"/>
      <c r="B77" s="184"/>
    </row>
    <row r="78" ht="11.25" customHeight="1">
      <c r="A78" s="184"/>
      <c r="B78" s="184"/>
    </row>
    <row r="79" ht="11.25" customHeight="1">
      <c r="A79" s="184"/>
      <c r="B79" s="184"/>
    </row>
    <row r="80" ht="11.25" customHeight="1">
      <c r="A80" s="184"/>
      <c r="B80" s="184"/>
    </row>
    <row r="81" ht="11.25" customHeight="1">
      <c r="A81" s="184"/>
      <c r="B81" s="184"/>
    </row>
    <row r="82" ht="11.25" customHeight="1">
      <c r="A82" s="184"/>
      <c r="B82" s="184"/>
    </row>
    <row r="83" ht="11.25" customHeight="1">
      <c r="A83" s="184"/>
      <c r="B83" s="184"/>
    </row>
    <row r="84" ht="11.25" customHeight="1">
      <c r="A84" s="184"/>
      <c r="B84" s="184"/>
    </row>
    <row r="85" ht="11.25" customHeight="1">
      <c r="A85" s="184"/>
      <c r="B85" s="184"/>
    </row>
    <row r="86" ht="11.25" customHeight="1">
      <c r="A86" s="184"/>
      <c r="B86" s="184"/>
    </row>
    <row r="87" ht="11.25" customHeight="1">
      <c r="A87" s="184"/>
      <c r="B87" s="184"/>
    </row>
    <row r="88" ht="11.25" customHeight="1">
      <c r="A88" s="184"/>
      <c r="B88" s="184"/>
    </row>
    <row r="89" ht="11.25" customHeight="1">
      <c r="A89" s="184"/>
      <c r="B89" s="184"/>
    </row>
    <row r="90" ht="11.25" customHeight="1">
      <c r="A90" s="184"/>
      <c r="B90" s="184"/>
    </row>
    <row r="91" ht="11.25" customHeight="1">
      <c r="A91" s="184"/>
      <c r="B91" s="184"/>
    </row>
    <row r="92" ht="11.25" customHeight="1">
      <c r="A92" s="184"/>
      <c r="B92" s="184"/>
    </row>
    <row r="93" ht="11.25" customHeight="1">
      <c r="A93" s="184"/>
      <c r="B93" s="184"/>
    </row>
    <row r="94" ht="11.25" customHeight="1">
      <c r="A94" s="184"/>
      <c r="B94" s="184"/>
    </row>
    <row r="95" ht="11.25" customHeight="1">
      <c r="A95" s="184"/>
      <c r="B95" s="184"/>
    </row>
    <row r="96" ht="11.25" customHeight="1">
      <c r="A96" s="184"/>
      <c r="B96" s="184"/>
    </row>
    <row r="97" ht="11.25" customHeight="1">
      <c r="A97" s="184"/>
      <c r="B97" s="184"/>
    </row>
    <row r="98" ht="11.25" customHeight="1">
      <c r="A98" s="184"/>
      <c r="B98" s="184"/>
    </row>
    <row r="99" ht="11.25" customHeight="1">
      <c r="A99" s="184"/>
      <c r="B99" s="184"/>
    </row>
    <row r="100" ht="11.25" customHeight="1">
      <c r="A100" s="184"/>
      <c r="B100" s="184"/>
    </row>
    <row r="101" ht="11.25" customHeight="1">
      <c r="A101" s="184"/>
      <c r="B101" s="184"/>
    </row>
    <row r="102" ht="11.25" customHeight="1">
      <c r="A102" s="184"/>
      <c r="B102" s="184"/>
    </row>
    <row r="103" ht="11.25" customHeight="1">
      <c r="A103" s="184"/>
      <c r="B103" s="184"/>
    </row>
    <row r="104" ht="11.25" customHeight="1">
      <c r="A104" s="184"/>
      <c r="B104" s="184"/>
    </row>
    <row r="105" ht="11.25" customHeight="1">
      <c r="A105" s="184"/>
      <c r="B105" s="184"/>
    </row>
    <row r="106" ht="11.25" customHeight="1">
      <c r="A106" s="184"/>
      <c r="B106" s="184"/>
    </row>
    <row r="107" ht="11.25" customHeight="1">
      <c r="A107" s="184"/>
      <c r="B107" s="184"/>
    </row>
    <row r="108" ht="11.25" customHeight="1">
      <c r="A108" s="184"/>
      <c r="B108" s="184"/>
    </row>
    <row r="109" ht="11.25" customHeight="1">
      <c r="A109" s="184"/>
      <c r="B109" s="184"/>
    </row>
    <row r="110" ht="11.25" customHeight="1">
      <c r="A110" s="184"/>
      <c r="B110" s="184"/>
    </row>
    <row r="111" ht="11.25" customHeight="1">
      <c r="A111" s="184"/>
      <c r="B111" s="184"/>
    </row>
    <row r="112" ht="11.25" customHeight="1">
      <c r="A112" s="184"/>
      <c r="B112" s="184"/>
    </row>
    <row r="113" ht="11.25" customHeight="1">
      <c r="A113" s="184"/>
      <c r="B113" s="184"/>
    </row>
    <row r="114" ht="11.25" customHeight="1">
      <c r="A114" s="184"/>
      <c r="B114" s="184"/>
    </row>
    <row r="115" ht="11.25" customHeight="1">
      <c r="A115" s="184"/>
      <c r="B115" s="184"/>
    </row>
    <row r="116" ht="11.25" customHeight="1">
      <c r="A116" s="184"/>
      <c r="B116" s="184"/>
    </row>
    <row r="117" ht="11.25" customHeight="1">
      <c r="A117" s="184"/>
      <c r="B117" s="184"/>
    </row>
    <row r="118" ht="11.25" customHeight="1">
      <c r="A118" s="184"/>
      <c r="B118" s="184"/>
    </row>
    <row r="119" ht="11.25" customHeight="1">
      <c r="A119" s="184"/>
      <c r="B119" s="184"/>
    </row>
    <row r="120" ht="11.25" customHeight="1">
      <c r="A120" s="184"/>
      <c r="B120" s="184"/>
    </row>
    <row r="121" ht="11.25" customHeight="1">
      <c r="A121" s="184"/>
      <c r="B121" s="184"/>
    </row>
    <row r="122" ht="11.25" customHeight="1">
      <c r="A122" s="184"/>
      <c r="B122" s="184"/>
    </row>
    <row r="123" ht="11.25" customHeight="1">
      <c r="A123" s="184"/>
      <c r="B123" s="184"/>
    </row>
    <row r="124" ht="11.25" customHeight="1">
      <c r="A124" s="184"/>
      <c r="B124" s="184"/>
    </row>
    <row r="125" ht="11.25" customHeight="1">
      <c r="A125" s="184"/>
      <c r="B125" s="184"/>
    </row>
    <row r="126" ht="11.25" customHeight="1">
      <c r="A126" s="184"/>
      <c r="B126" s="184"/>
    </row>
    <row r="127" ht="11.25" customHeight="1">
      <c r="A127" s="184"/>
      <c r="B127" s="184"/>
    </row>
    <row r="128" ht="11.25" customHeight="1">
      <c r="A128" s="184"/>
      <c r="B128" s="184"/>
    </row>
    <row r="129" ht="11.25" customHeight="1">
      <c r="A129" s="184"/>
      <c r="B129" s="184"/>
    </row>
    <row r="130" ht="11.25" customHeight="1">
      <c r="A130" s="184"/>
      <c r="B130" s="184"/>
    </row>
    <row r="131" ht="11.25" customHeight="1">
      <c r="A131" s="184"/>
      <c r="B131" s="184"/>
    </row>
    <row r="132" ht="11.25" customHeight="1">
      <c r="A132" s="184"/>
      <c r="B132" s="184"/>
    </row>
    <row r="133" ht="11.25" customHeight="1">
      <c r="A133" s="184"/>
      <c r="B133" s="184"/>
    </row>
    <row r="134" ht="11.25" customHeight="1">
      <c r="A134" s="184"/>
      <c r="B134" s="184"/>
    </row>
    <row r="135" ht="11.25" customHeight="1">
      <c r="A135" s="184"/>
      <c r="B135" s="184"/>
    </row>
    <row r="136" ht="11.25" customHeight="1">
      <c r="A136" s="184"/>
      <c r="B136" s="184"/>
    </row>
    <row r="137" ht="11.25" customHeight="1">
      <c r="A137" s="184"/>
      <c r="B137" s="184"/>
    </row>
    <row r="138" ht="11.25" customHeight="1">
      <c r="A138" s="184"/>
      <c r="B138" s="184"/>
    </row>
    <row r="139" ht="11.25" customHeight="1">
      <c r="A139" s="184"/>
      <c r="B139" s="184"/>
    </row>
    <row r="140" ht="11.25" customHeight="1">
      <c r="A140" s="184"/>
      <c r="B140" s="184"/>
    </row>
    <row r="141" ht="11.25" customHeight="1">
      <c r="A141" s="184"/>
      <c r="B141" s="184"/>
    </row>
    <row r="142" ht="11.25" customHeight="1">
      <c r="A142" s="184"/>
      <c r="B142" s="184"/>
    </row>
    <row r="143" ht="11.25" customHeight="1">
      <c r="A143" s="184"/>
      <c r="B143" s="184"/>
    </row>
    <row r="144" ht="11.25" customHeight="1">
      <c r="A144" s="184"/>
      <c r="B144" s="184"/>
    </row>
    <row r="145" ht="11.25" customHeight="1">
      <c r="A145" s="184"/>
      <c r="B145" s="184"/>
    </row>
    <row r="146" ht="11.25" customHeight="1">
      <c r="A146" s="184"/>
      <c r="B146" s="184"/>
    </row>
    <row r="147" ht="11.25" customHeight="1">
      <c r="A147" s="184"/>
      <c r="B147" s="184"/>
    </row>
    <row r="148" ht="11.25" customHeight="1">
      <c r="A148" s="184"/>
      <c r="B148" s="184"/>
    </row>
    <row r="149" ht="11.25" customHeight="1">
      <c r="A149" s="184"/>
      <c r="B149" s="184"/>
    </row>
    <row r="150" ht="11.25" customHeight="1">
      <c r="A150" s="184"/>
      <c r="B150" s="184"/>
    </row>
    <row r="151" ht="11.25" customHeight="1">
      <c r="A151" s="184"/>
      <c r="B151" s="184"/>
    </row>
    <row r="152" ht="11.25" customHeight="1">
      <c r="A152" s="184"/>
      <c r="B152" s="184"/>
    </row>
    <row r="153" ht="11.25" customHeight="1">
      <c r="A153" s="184"/>
      <c r="B153" s="184"/>
    </row>
    <row r="154" ht="11.25" customHeight="1">
      <c r="A154" s="184"/>
      <c r="B154" s="184"/>
    </row>
    <row r="155" ht="11.25" customHeight="1">
      <c r="A155" s="184"/>
      <c r="B155" s="184"/>
    </row>
    <row r="156" ht="11.25" customHeight="1">
      <c r="A156" s="184"/>
      <c r="B156" s="184"/>
    </row>
    <row r="157" ht="11.25" customHeight="1">
      <c r="A157" s="184"/>
      <c r="B157" s="184"/>
    </row>
    <row r="158" ht="11.25" customHeight="1">
      <c r="A158" s="184"/>
      <c r="B158" s="184"/>
    </row>
    <row r="159" ht="11.25" customHeight="1">
      <c r="A159" s="184"/>
      <c r="B159" s="184"/>
    </row>
    <row r="160" ht="11.25" customHeight="1">
      <c r="A160" s="184"/>
      <c r="B160" s="184"/>
    </row>
    <row r="161" ht="11.25" customHeight="1">
      <c r="A161" s="184"/>
      <c r="B161" s="184"/>
    </row>
    <row r="162" ht="11.25" customHeight="1">
      <c r="A162" s="184"/>
      <c r="B162" s="184"/>
    </row>
    <row r="163" ht="11.25" customHeight="1">
      <c r="A163" s="184"/>
      <c r="B163" s="184"/>
    </row>
    <row r="164" ht="11.25" customHeight="1">
      <c r="A164" s="184"/>
      <c r="B164" s="184"/>
    </row>
    <row r="165" ht="11.25" customHeight="1">
      <c r="A165" s="184"/>
      <c r="B165" s="184"/>
    </row>
    <row r="166" ht="11.25" customHeight="1">
      <c r="A166" s="184"/>
      <c r="B166" s="184"/>
    </row>
    <row r="167" ht="11.25" customHeight="1">
      <c r="A167" s="184"/>
      <c r="B167" s="184"/>
    </row>
    <row r="168" ht="11.25" customHeight="1">
      <c r="A168" s="184"/>
      <c r="B168" s="184"/>
    </row>
    <row r="169" ht="11.25" customHeight="1">
      <c r="A169" s="184"/>
      <c r="B169" s="184"/>
    </row>
    <row r="170" ht="11.25" customHeight="1">
      <c r="A170" s="184"/>
      <c r="B170" s="184"/>
    </row>
    <row r="171" ht="11.25" customHeight="1">
      <c r="A171" s="184"/>
      <c r="B171" s="184"/>
    </row>
    <row r="172" ht="11.25" customHeight="1">
      <c r="A172" s="184"/>
      <c r="B172" s="184"/>
    </row>
    <row r="173" ht="11.25" customHeight="1">
      <c r="A173" s="184"/>
      <c r="B173" s="184"/>
    </row>
    <row r="174" ht="11.25" customHeight="1">
      <c r="A174" s="184"/>
      <c r="B174" s="184"/>
    </row>
    <row r="175" ht="11.25" customHeight="1">
      <c r="A175" s="184"/>
      <c r="B175" s="184"/>
    </row>
    <row r="176" ht="11.25" customHeight="1">
      <c r="A176" s="184"/>
      <c r="B176" s="184"/>
    </row>
    <row r="177" ht="11.25" customHeight="1">
      <c r="A177" s="184"/>
      <c r="B177" s="184"/>
    </row>
    <row r="178" ht="11.25" customHeight="1">
      <c r="A178" s="184"/>
      <c r="B178" s="184"/>
    </row>
    <row r="179" ht="11.25" customHeight="1">
      <c r="A179" s="184"/>
      <c r="B179" s="184"/>
    </row>
    <row r="180" ht="11.25" customHeight="1">
      <c r="A180" s="184"/>
      <c r="B180" s="184"/>
    </row>
    <row r="181" ht="11.25" customHeight="1">
      <c r="A181" s="184"/>
      <c r="B181" s="184"/>
    </row>
    <row r="182" ht="11.25" customHeight="1">
      <c r="A182" s="184"/>
      <c r="B182" s="184"/>
    </row>
    <row r="183" ht="11.25" customHeight="1">
      <c r="A183" s="184"/>
      <c r="B183" s="184"/>
    </row>
    <row r="184" ht="11.25" customHeight="1">
      <c r="A184" s="184"/>
      <c r="B184" s="184"/>
    </row>
    <row r="185" ht="11.25" customHeight="1">
      <c r="A185" s="184"/>
      <c r="B185" s="184"/>
    </row>
    <row r="186" ht="11.25" customHeight="1">
      <c r="A186" s="184"/>
      <c r="B186" s="184"/>
    </row>
    <row r="187" ht="11.25" customHeight="1">
      <c r="A187" s="184"/>
      <c r="B187" s="184"/>
    </row>
    <row r="188" ht="11.25" customHeight="1">
      <c r="A188" s="184"/>
      <c r="B188" s="184"/>
    </row>
    <row r="189" ht="11.25" customHeight="1">
      <c r="A189" s="184"/>
      <c r="B189" s="184"/>
    </row>
    <row r="190" ht="11.25" customHeight="1">
      <c r="A190" s="184"/>
      <c r="B190" s="184"/>
    </row>
    <row r="191" ht="11.25" customHeight="1">
      <c r="A191" s="184"/>
      <c r="B191" s="184"/>
    </row>
    <row r="192" ht="11.25" customHeight="1">
      <c r="A192" s="184"/>
      <c r="B192" s="184"/>
    </row>
    <row r="193" ht="11.25" customHeight="1">
      <c r="A193" s="184"/>
      <c r="B193" s="184"/>
    </row>
    <row r="194" ht="11.25" customHeight="1">
      <c r="A194" s="184"/>
      <c r="B194" s="184"/>
    </row>
    <row r="195" ht="11.25" customHeight="1">
      <c r="A195" s="184"/>
      <c r="B195" s="184"/>
    </row>
    <row r="196" ht="11.25" customHeight="1">
      <c r="A196" s="184"/>
      <c r="B196" s="184"/>
    </row>
    <row r="197" ht="11.25" customHeight="1">
      <c r="A197" s="184"/>
      <c r="B197" s="184"/>
    </row>
    <row r="198" ht="11.25" customHeight="1">
      <c r="A198" s="184"/>
      <c r="B198" s="184"/>
    </row>
    <row r="199" ht="11.25" customHeight="1">
      <c r="A199" s="184"/>
      <c r="B199" s="184"/>
    </row>
    <row r="200" ht="11.25" customHeight="1">
      <c r="A200" s="184"/>
      <c r="B200" s="184"/>
    </row>
    <row r="201" ht="11.25" customHeight="1">
      <c r="A201" s="184"/>
      <c r="B201" s="184"/>
    </row>
    <row r="202" ht="11.25" customHeight="1">
      <c r="A202" s="184"/>
      <c r="B202" s="184"/>
    </row>
    <row r="203" ht="11.25" customHeight="1">
      <c r="A203" s="184"/>
      <c r="B203" s="184"/>
    </row>
    <row r="204" ht="11.25" customHeight="1">
      <c r="A204" s="184"/>
      <c r="B204" s="184"/>
    </row>
    <row r="205" ht="11.25" customHeight="1">
      <c r="A205" s="184"/>
      <c r="B205" s="184"/>
    </row>
    <row r="206" ht="11.25" customHeight="1">
      <c r="A206" s="184"/>
      <c r="B206" s="184"/>
    </row>
    <row r="207" ht="11.25" customHeight="1">
      <c r="A207" s="184"/>
      <c r="B207" s="184"/>
    </row>
    <row r="208" ht="11.25" customHeight="1">
      <c r="A208" s="184"/>
      <c r="B208" s="184"/>
    </row>
    <row r="209" ht="11.25" customHeight="1">
      <c r="A209" s="184"/>
      <c r="B209" s="184"/>
    </row>
    <row r="210" ht="11.25" customHeight="1">
      <c r="A210" s="184"/>
      <c r="B210" s="184"/>
    </row>
    <row r="211" ht="11.25" customHeight="1">
      <c r="A211" s="184"/>
      <c r="B211" s="184"/>
    </row>
    <row r="212" ht="11.25" customHeight="1">
      <c r="A212" s="184"/>
      <c r="B212" s="184"/>
    </row>
    <row r="213" ht="11.25" customHeight="1">
      <c r="A213" s="184"/>
      <c r="B213" s="184"/>
    </row>
    <row r="214" ht="11.25" customHeight="1">
      <c r="A214" s="184"/>
      <c r="B214" s="184"/>
    </row>
    <row r="215" ht="11.25" customHeight="1">
      <c r="A215" s="184"/>
      <c r="B215" s="184"/>
    </row>
    <row r="216" ht="11.25" customHeight="1">
      <c r="A216" s="184"/>
      <c r="B216" s="184"/>
    </row>
    <row r="217" ht="11.25" customHeight="1">
      <c r="A217" s="184"/>
      <c r="B217" s="184"/>
    </row>
    <row r="218" ht="11.25" customHeight="1">
      <c r="A218" s="184"/>
      <c r="B218" s="184"/>
    </row>
    <row r="219" ht="11.25" customHeight="1">
      <c r="A219" s="184"/>
      <c r="B219" s="184"/>
    </row>
    <row r="220" ht="11.25" customHeight="1">
      <c r="A220" s="184"/>
      <c r="B220" s="184"/>
    </row>
    <row r="221" ht="11.25" customHeight="1">
      <c r="A221" s="184"/>
      <c r="B221" s="184"/>
    </row>
    <row r="222" ht="11.25" customHeight="1">
      <c r="A222" s="184"/>
      <c r="B222" s="184"/>
    </row>
    <row r="223" ht="11.25" customHeight="1">
      <c r="A223" s="184"/>
      <c r="B223" s="184"/>
    </row>
    <row r="224" ht="11.25" customHeight="1">
      <c r="A224" s="184"/>
      <c r="B224" s="184"/>
    </row>
    <row r="225" ht="11.25" customHeight="1">
      <c r="A225" s="184"/>
      <c r="B225" s="184"/>
    </row>
    <row r="226" ht="11.25" customHeight="1">
      <c r="A226" s="184"/>
      <c r="B226" s="184"/>
    </row>
    <row r="227" ht="11.25" customHeight="1">
      <c r="A227" s="184"/>
      <c r="B227" s="184"/>
    </row>
    <row r="228" ht="11.25" customHeight="1">
      <c r="A228" s="184"/>
      <c r="B228" s="184"/>
    </row>
    <row r="229" ht="11.25" customHeight="1">
      <c r="A229" s="184"/>
      <c r="B229" s="184"/>
    </row>
    <row r="230" ht="11.25" customHeight="1">
      <c r="A230" s="184"/>
      <c r="B230" s="184"/>
    </row>
    <row r="231" ht="11.25" customHeight="1">
      <c r="A231" s="184"/>
      <c r="B231" s="184"/>
    </row>
    <row r="232" ht="11.25" customHeight="1">
      <c r="A232" s="184"/>
      <c r="B232" s="184"/>
    </row>
    <row r="233" ht="11.25" customHeight="1">
      <c r="A233" s="184"/>
      <c r="B233" s="184"/>
    </row>
    <row r="234" ht="11.25" customHeight="1">
      <c r="A234" s="184"/>
      <c r="B234" s="184"/>
    </row>
    <row r="235" ht="11.25" customHeight="1">
      <c r="A235" s="184"/>
      <c r="B235" s="184"/>
    </row>
    <row r="236" ht="11.25" customHeight="1">
      <c r="A236" s="184"/>
      <c r="B236" s="184"/>
    </row>
    <row r="237" ht="11.25" customHeight="1">
      <c r="A237" s="184"/>
      <c r="B237" s="184"/>
    </row>
    <row r="238" ht="11.25" customHeight="1">
      <c r="A238" s="184"/>
      <c r="B238" s="184"/>
    </row>
    <row r="239" ht="11.25" customHeight="1">
      <c r="A239" s="184"/>
      <c r="B239" s="184"/>
    </row>
    <row r="240" ht="11.25" customHeight="1">
      <c r="A240" s="184"/>
      <c r="B240" s="184"/>
    </row>
    <row r="241" ht="11.25" customHeight="1">
      <c r="A241" s="184"/>
      <c r="B241" s="184"/>
    </row>
    <row r="242" ht="11.25" customHeight="1">
      <c r="A242" s="184"/>
      <c r="B242" s="184"/>
    </row>
    <row r="243" ht="11.25" customHeight="1">
      <c r="A243" s="184"/>
      <c r="B243" s="184"/>
    </row>
    <row r="244" ht="11.25" customHeight="1">
      <c r="A244" s="184"/>
      <c r="B244" s="184"/>
    </row>
    <row r="245" ht="11.25" customHeight="1">
      <c r="A245" s="184"/>
      <c r="B245" s="184"/>
    </row>
    <row r="246" ht="11.25" customHeight="1">
      <c r="A246" s="184"/>
      <c r="B246" s="184"/>
    </row>
    <row r="247" ht="11.25" customHeight="1">
      <c r="A247" s="184"/>
      <c r="B247" s="184"/>
    </row>
    <row r="248" ht="11.25" customHeight="1">
      <c r="A248" s="184"/>
      <c r="B248" s="184"/>
    </row>
    <row r="249" ht="11.25" customHeight="1">
      <c r="A249" s="184"/>
      <c r="B249" s="184"/>
    </row>
    <row r="250" ht="11.25" customHeight="1">
      <c r="A250" s="184"/>
      <c r="B250" s="184"/>
    </row>
    <row r="251" ht="11.25" customHeight="1">
      <c r="A251" s="184"/>
      <c r="B251" s="184"/>
    </row>
    <row r="252" ht="11.25" customHeight="1">
      <c r="A252" s="184"/>
      <c r="B252" s="184"/>
    </row>
    <row r="253" ht="11.25" customHeight="1">
      <c r="A253" s="184"/>
      <c r="B253" s="184"/>
    </row>
  </sheetData>
  <sheetProtection autoFilter="0" deleteColumns="1" deleteRows="1" formatCells="1" formatColumns="0" formatRows="0" insertColumns="1" insertHyperlinks="1" insertRows="1" objects="0" pivotTables="1" scenarios="0" selectLockedCells="0" selectUnlockedCells="0" sheet="1" sort="1"/>
  <printOptions headings="0" gridLines="0"/>
  <pageMargins left="0.75" right="0.75" top="1" bottom="1" header="0.5" footer="0.5"/>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indexed="47"/>
    <outlinePr applyStyles="0" summaryBelow="1" summaryRight="1" showOutlineSymbols="1"/>
    <pageSetUpPr autoPageBreaks="1" fitToPage="0"/>
  </sheetPr>
  <sheetViews>
    <sheetView showGridLines="0" topLeftCell="A1" zoomScale="100" workbookViewId="0">
      <selection activeCell="A1" activeCellId="0" sqref="A1"/>
    </sheetView>
  </sheetViews>
  <sheetFormatPr defaultColWidth="9.140625" defaultRowHeight="11.25" customHeight="1"/>
  <cols>
    <col customWidth="1" min="1" max="1" style="63" width="3.7109375"/>
    <col customWidth="1" min="2" max="2" style="63" width="90.7109375"/>
    <col min="3" max="4" style="63" width="9.140625"/>
  </cols>
  <sheetData>
    <row r="1" ht="11.25" customHeight="1">
      <c r="B1" s="1404" t="s">
        <v>4068</v>
      </c>
    </row>
    <row r="2" ht="90" customHeight="1">
      <c r="B2" s="1405" t="s">
        <v>4069</v>
      </c>
    </row>
    <row r="3" ht="67.5" customHeight="1">
      <c r="B3" s="1405" t="s">
        <v>4070</v>
      </c>
    </row>
    <row r="4" ht="33.75" customHeight="1">
      <c r="B4" s="1405" t="s">
        <v>4071</v>
      </c>
    </row>
    <row r="5" ht="11.25" customHeight="1">
      <c r="B5" s="1405" t="s">
        <v>4072</v>
      </c>
    </row>
    <row r="6" ht="22.5" customHeight="1">
      <c r="B6" s="1405" t="s">
        <v>4073</v>
      </c>
    </row>
    <row r="7" ht="22.5" customHeight="1">
      <c r="B7" s="1405" t="s">
        <v>4074</v>
      </c>
    </row>
    <row r="8" ht="22.5" customHeight="1">
      <c r="B8" s="1405" t="s">
        <v>4075</v>
      </c>
    </row>
    <row r="9" ht="22.5" customHeight="1">
      <c r="B9" s="1405" t="s">
        <v>4076</v>
      </c>
    </row>
    <row r="10" ht="56.25" customHeight="1">
      <c r="B10" s="1405" t="s">
        <v>4077</v>
      </c>
    </row>
    <row r="11" ht="12.75" customHeight="1">
      <c r="B11" s="1406" t="s">
        <v>4078</v>
      </c>
    </row>
    <row r="12" ht="11.25" customHeight="1">
      <c r="B12" s="1404" t="s">
        <v>4079</v>
      </c>
    </row>
    <row r="13" ht="22.5" customHeight="1">
      <c r="B13" s="1405" t="s">
        <v>4080</v>
      </c>
    </row>
    <row r="14" ht="67.5" customHeight="1">
      <c r="B14" s="1405" t="s">
        <v>4081</v>
      </c>
    </row>
    <row r="15" ht="22.5" customHeight="1">
      <c r="B15" s="1405" t="s">
        <v>4082</v>
      </c>
    </row>
    <row r="16" ht="11.25" customHeight="1">
      <c r="B16" s="1404" t="s">
        <v>4083</v>
      </c>
      <c r="D16" s="784"/>
    </row>
    <row r="17" ht="33.75" customHeight="1">
      <c r="B17" s="1405" t="s">
        <v>4084</v>
      </c>
    </row>
    <row r="18" ht="33.75" customHeight="1">
      <c r="B18" s="1405" t="s">
        <v>4085</v>
      </c>
    </row>
    <row r="19" ht="11.25" customHeight="1">
      <c r="B19" s="1405" t="s">
        <v>4086</v>
      </c>
    </row>
    <row r="20" ht="33.75" customHeight="1">
      <c r="B20" s="1405" t="s">
        <v>4087</v>
      </c>
    </row>
    <row r="21" ht="11.25" customHeight="1">
      <c r="B21" s="1404" t="s">
        <v>4088</v>
      </c>
    </row>
    <row r="22" ht="11.25" customHeight="1">
      <c r="B22" s="1405" t="s">
        <v>4089</v>
      </c>
    </row>
    <row r="24" ht="22.5" customHeight="1">
      <c r="B24" s="1407" t="s">
        <v>4090</v>
      </c>
    </row>
    <row r="26" ht="11.25" customHeight="1">
      <c r="B26" s="1404" t="s">
        <v>4091</v>
      </c>
    </row>
    <row r="27" ht="22.5" customHeight="1">
      <c r="B27" s="430" t="s">
        <v>390</v>
      </c>
    </row>
    <row r="28" ht="56.25" customHeight="1">
      <c r="B28" s="430" t="s">
        <v>4092</v>
      </c>
    </row>
    <row r="29" ht="11.25" customHeight="1">
      <c r="B29" s="1408" t="s">
        <v>4093</v>
      </c>
    </row>
    <row r="30" ht="22.5" customHeight="1">
      <c r="B30" s="430" t="s">
        <v>4094</v>
      </c>
    </row>
    <row r="32" ht="11.25" customHeight="1">
      <c r="A32" s="63"/>
      <c r="B32" s="1409" t="s">
        <v>4095</v>
      </c>
    </row>
    <row r="33" ht="14.25" customHeight="1">
      <c r="A33" s="1410">
        <v>1</v>
      </c>
      <c r="B33" s="1411" t="s">
        <v>4096</v>
      </c>
    </row>
    <row r="34" ht="14.25" customHeight="1">
      <c r="A34" s="1410">
        <v>2</v>
      </c>
      <c r="B34" s="1411" t="s">
        <v>4097</v>
      </c>
    </row>
    <row r="35" ht="11.25" customHeight="1">
      <c r="B35" s="1409" t="s">
        <v>4098</v>
      </c>
    </row>
    <row r="36" ht="11.25" customHeight="1">
      <c r="B36" s="1411" t="s">
        <v>4099</v>
      </c>
    </row>
  </sheetData>
  <sheetProtection autoFilter="0" deleteColumns="1" deleteRows="1" formatCells="1" formatColumns="1" formatRows="1" insertColumns="1" insertHyperlinks="1" insertRows="1" objects="0" pivotTables="1" scenarios="0" selectLockedCells="0" selectUnlockedCells="0" sheet="1" sort="1"/>
  <printOptions headings="0" gridLines="0"/>
  <pageMargins left="0.75" right="0.75" top="1" bottom="1" header="0.5" footer="0.5"/>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sheetPr>
    <tabColor theme="3" tint="0.59999999999999998"/>
    <outlinePr applyStyles="0" summaryBelow="1" summaryRight="1" showOutlineSymbols="1"/>
    <pageSetUpPr autoPageBreaks="1" fitToPage="0"/>
  </sheetPr>
  <sheetViews>
    <sheetView showGridLines="0" zoomScale="90" workbookViewId="0">
      <pane xSplit="4" ySplit="13" topLeftCell="E14" activePane="bottomRight" state="frozen"/>
      <selection activeCell="A1" activeCellId="0" sqref="A1"/>
    </sheetView>
  </sheetViews>
  <sheetFormatPr defaultColWidth="10.57421875" defaultRowHeight="14.25" customHeight="1"/>
  <cols>
    <col customWidth="1" hidden="1" min="1" max="1" style="56" width="9.140625"/>
    <col customWidth="1" hidden="1" min="2" max="2" style="50" width="9.140625"/>
    <col customWidth="1" min="3" max="3" style="129" width="3.00390625"/>
    <col customWidth="1" min="4" max="4" style="50" width="5.00390625"/>
    <col customWidth="1" min="5" max="5" style="50" width="38.00390625"/>
    <col customWidth="1" min="6" max="7" style="50" width="3.00390625"/>
    <col customWidth="1" min="8" max="8" style="50" width="38.00390625"/>
    <col customWidth="1" min="9" max="9" style="50" width="35.00390625"/>
    <col customWidth="1" min="10" max="10" style="50" width="103.00390625"/>
    <col customWidth="1" min="11" max="11" style="140" width="3.00390625"/>
    <col customWidth="1" min="12" max="14" style="57" width="10.00390625"/>
    <col customWidth="1" min="15" max="15" style="57" width="13.00390625"/>
    <col customWidth="1" min="16" max="16" style="57" width="15.00390625"/>
    <col customWidth="1" min="17" max="17" style="57" width="16.00390625"/>
    <col customWidth="1" min="18" max="21" style="57" width="10.00390625"/>
    <col hidden="1" min="22" max="22" style="50" width="10.57421875"/>
  </cols>
  <sheetData>
    <row r="1" ht="22.5" hidden="1" customHeight="1">
      <c r="E1" s="169"/>
      <c r="F1" s="169"/>
      <c r="G1" s="169"/>
      <c r="H1" s="114" t="s">
        <v>346</v>
      </c>
      <c r="I1" s="114"/>
      <c r="V1" s="50" t="s">
        <v>14</v>
      </c>
    </row>
    <row r="2" s="50" customFormat="1" ht="14.25" hidden="1" customHeight="1">
      <c r="C2" s="382"/>
      <c r="D2" s="446" t="s">
        <v>105</v>
      </c>
      <c r="E2" s="447"/>
      <c r="F2" s="448"/>
      <c r="G2" s="219" t="s">
        <v>105</v>
      </c>
      <c r="H2" s="449"/>
      <c r="I2" s="450"/>
      <c r="L2" s="57"/>
      <c r="M2" s="57"/>
      <c r="N2" s="57"/>
      <c r="O2" s="57" t="s">
        <v>376</v>
      </c>
      <c r="P2" s="57"/>
      <c r="Q2" s="57"/>
      <c r="R2" s="130" t="s">
        <v>375</v>
      </c>
      <c r="S2" s="130" t="s">
        <v>375</v>
      </c>
      <c r="T2" s="57"/>
      <c r="U2" s="57"/>
      <c r="V2" s="50">
        <v>0</v>
      </c>
    </row>
    <row r="3" s="50" customFormat="1" ht="14.25" hidden="1" customHeight="1">
      <c r="C3" s="382"/>
      <c r="D3" s="451"/>
      <c r="E3" s="452"/>
      <c r="F3" s="440"/>
      <c r="G3" s="441"/>
      <c r="H3" s="441" t="s">
        <v>377</v>
      </c>
      <c r="I3" s="442"/>
      <c r="L3" s="57"/>
      <c r="M3" s="57"/>
      <c r="N3" s="57"/>
      <c r="O3" s="57"/>
      <c r="P3" s="57"/>
      <c r="Q3" s="57"/>
      <c r="R3" s="130"/>
      <c r="S3" s="130"/>
      <c r="T3" s="57"/>
      <c r="U3" s="57"/>
      <c r="V3" s="50">
        <v>0</v>
      </c>
    </row>
    <row r="4" ht="14.25" hidden="1" customHeight="1">
      <c r="V4" s="50">
        <v>0</v>
      </c>
    </row>
    <row r="5" s="70" customFormat="1" ht="5.25" customHeight="1">
      <c r="C5" s="405"/>
      <c r="D5" s="406"/>
      <c r="E5" s="406"/>
      <c r="F5" s="406"/>
      <c r="G5" s="406"/>
      <c r="H5" s="406" t="s">
        <v>350</v>
      </c>
      <c r="I5" s="406"/>
      <c r="J5" s="406"/>
      <c r="L5" s="57"/>
      <c r="M5" s="57"/>
      <c r="N5" s="57"/>
      <c r="O5" s="57"/>
      <c r="P5" s="57"/>
      <c r="Q5" s="57"/>
      <c r="R5" s="57"/>
      <c r="S5" s="57"/>
      <c r="T5" s="57"/>
      <c r="U5" s="57"/>
      <c r="V5" s="70">
        <v>5</v>
      </c>
    </row>
    <row r="6" ht="29.25" customHeight="1">
      <c r="C6" s="382"/>
      <c r="D6" s="453" t="s">
        <v>378</v>
      </c>
      <c r="E6" s="453"/>
      <c r="F6" s="453"/>
      <c r="G6" s="453"/>
      <c r="H6" s="453"/>
      <c r="I6" s="453"/>
      <c r="J6" s="408"/>
      <c r="K6" s="240"/>
      <c r="V6" s="50">
        <v>28</v>
      </c>
    </row>
    <row r="7" ht="18" customHeight="1">
      <c r="C7" s="382"/>
      <c r="D7" s="304" t="str">
        <f>IF(org=0,"Не определено",org)</f>
        <v xml:space="preserve">АО "ДГК" СП "Биробиджанская ТЭЦ"</v>
      </c>
      <c r="E7" s="304"/>
      <c r="F7" s="304"/>
      <c r="G7" s="304"/>
      <c r="H7" s="304"/>
      <c r="I7" s="304"/>
      <c r="J7" s="408"/>
      <c r="K7" s="240"/>
      <c r="V7" s="50">
        <v>17</v>
      </c>
    </row>
    <row r="8" s="65" customFormat="1" ht="5.25" customHeight="1">
      <c r="A8" s="412"/>
      <c r="C8" s="413"/>
      <c r="D8" s="414"/>
      <c r="E8" s="414"/>
      <c r="F8" s="414"/>
      <c r="G8" s="414"/>
      <c r="H8" s="414"/>
      <c r="I8" s="414"/>
      <c r="J8" s="414"/>
      <c r="L8" s="57"/>
      <c r="M8" s="57"/>
      <c r="N8" s="57"/>
      <c r="O8" s="57"/>
      <c r="P8" s="57"/>
      <c r="Q8" s="57"/>
      <c r="R8" s="57"/>
      <c r="S8" s="57"/>
      <c r="T8" s="57"/>
      <c r="U8" s="57"/>
      <c r="V8" s="65">
        <v>5</v>
      </c>
    </row>
    <row r="9" s="65" customFormat="1" ht="5.25" customHeight="1">
      <c r="A9" s="412"/>
      <c r="C9" s="413"/>
      <c r="D9" s="414"/>
      <c r="E9" s="414"/>
      <c r="F9" s="414"/>
      <c r="G9" s="414"/>
      <c r="H9" s="414"/>
      <c r="I9" s="414"/>
      <c r="J9" s="414"/>
      <c r="L9" s="57"/>
      <c r="M9" s="57"/>
      <c r="N9" s="57"/>
      <c r="O9" s="57"/>
      <c r="P9" s="57"/>
      <c r="Q9" s="57"/>
      <c r="R9" s="57"/>
      <c r="S9" s="57"/>
      <c r="T9" s="57"/>
      <c r="U9" s="57"/>
      <c r="V9" s="65">
        <v>5</v>
      </c>
    </row>
    <row r="10" ht="14.65" customHeight="1">
      <c r="C10" s="382"/>
      <c r="D10" s="416" t="s">
        <v>294</v>
      </c>
      <c r="E10" s="417"/>
      <c r="F10" s="417"/>
      <c r="G10" s="417"/>
      <c r="H10" s="417"/>
      <c r="I10" s="417"/>
      <c r="J10" s="247" t="s">
        <v>295</v>
      </c>
      <c r="V10" s="50">
        <v>14</v>
      </c>
    </row>
    <row r="11" ht="27.300000000000001" customHeight="1">
      <c r="C11" s="382"/>
      <c r="D11" s="158" t="s">
        <v>87</v>
      </c>
      <c r="E11" s="247" t="s">
        <v>101</v>
      </c>
      <c r="F11" s="305" t="s">
        <v>87</v>
      </c>
      <c r="G11" s="306"/>
      <c r="H11" s="308" t="s">
        <v>379</v>
      </c>
      <c r="I11" s="308" t="s">
        <v>380</v>
      </c>
      <c r="J11" s="247"/>
      <c r="V11" s="50">
        <v>26</v>
      </c>
    </row>
    <row r="12" ht="14.65" customHeight="1">
      <c r="C12" s="382"/>
      <c r="D12" s="158"/>
      <c r="E12" s="247"/>
      <c r="F12" s="311"/>
      <c r="G12" s="312"/>
      <c r="H12" s="163"/>
      <c r="I12" s="163"/>
      <c r="J12" s="247"/>
      <c r="V12" s="50">
        <v>14</v>
      </c>
    </row>
    <row r="13" s="132" customFormat="1" ht="11.25" hidden="1" customHeight="1">
      <c r="C13" s="427"/>
      <c r="D13" s="428" t="s">
        <v>370</v>
      </c>
      <c r="E13" s="428"/>
      <c r="F13" s="428"/>
      <c r="G13" s="428"/>
      <c r="H13" s="429"/>
      <c r="I13" s="429"/>
      <c r="J13" s="430"/>
      <c r="L13" s="57"/>
      <c r="M13" s="57"/>
      <c r="N13" s="57"/>
      <c r="O13" s="57"/>
      <c r="P13" s="57"/>
      <c r="Q13" s="57"/>
      <c r="R13" s="57"/>
      <c r="S13" s="57"/>
      <c r="T13" s="57"/>
      <c r="U13" s="57"/>
      <c r="V13" s="132">
        <v>0</v>
      </c>
    </row>
    <row r="14" ht="14.65" customHeight="1">
      <c r="A14" s="50"/>
      <c r="C14" s="382"/>
      <c r="D14" s="446" t="s">
        <v>105</v>
      </c>
      <c r="E14" s="447"/>
      <c r="F14" s="448"/>
      <c r="G14" s="219" t="s">
        <v>105</v>
      </c>
      <c r="H14" s="449"/>
      <c r="I14" s="450"/>
      <c r="J14" s="286" t="s">
        <v>381</v>
      </c>
      <c r="K14" s="50"/>
      <c r="R14" s="130" t="s">
        <v>375</v>
      </c>
      <c r="S14" s="130" t="s">
        <v>375</v>
      </c>
      <c r="V14" s="50">
        <v>14</v>
      </c>
    </row>
    <row r="15" ht="14.65" customHeight="1">
      <c r="A15" s="50"/>
      <c r="C15" s="382"/>
      <c r="D15" s="451"/>
      <c r="E15" s="452"/>
      <c r="F15" s="440"/>
      <c r="G15" s="441"/>
      <c r="H15" s="441" t="s">
        <v>377</v>
      </c>
      <c r="I15" s="442"/>
      <c r="J15" s="288"/>
      <c r="K15" s="50"/>
      <c r="R15" s="130"/>
      <c r="S15" s="130"/>
      <c r="V15" s="50">
        <v>14</v>
      </c>
    </row>
    <row r="16" ht="14.65" customHeight="1">
      <c r="A16" s="50"/>
      <c r="C16" s="382"/>
      <c r="D16" s="440"/>
      <c r="E16" s="441" t="s">
        <v>117</v>
      </c>
      <c r="F16" s="442"/>
      <c r="G16" s="442"/>
      <c r="H16" s="443"/>
      <c r="I16" s="443"/>
      <c r="J16" s="290"/>
      <c r="K16" s="50"/>
      <c r="V16" s="50">
        <v>14</v>
      </c>
    </row>
    <row r="17" ht="14.65" customHeight="1">
      <c r="K17" s="50"/>
      <c r="V17" s="50">
        <v>14</v>
      </c>
    </row>
    <row r="18" ht="22.5" hidden="1" customHeight="1">
      <c r="A18" s="56" t="s">
        <v>81</v>
      </c>
      <c r="B18" s="50">
        <v>0</v>
      </c>
      <c r="C18" s="129">
        <v>3</v>
      </c>
      <c r="D18" s="50">
        <v>5</v>
      </c>
      <c r="E18" s="50">
        <v>38</v>
      </c>
      <c r="F18" s="50">
        <v>3</v>
      </c>
      <c r="G18" s="50">
        <v>3</v>
      </c>
      <c r="H18" s="50">
        <v>38</v>
      </c>
      <c r="I18" s="50">
        <v>35</v>
      </c>
      <c r="J18" s="50">
        <v>103</v>
      </c>
      <c r="K18" s="140">
        <v>3</v>
      </c>
      <c r="L18" s="57">
        <v>10</v>
      </c>
      <c r="M18" s="57">
        <v>10</v>
      </c>
      <c r="N18" s="57">
        <v>10</v>
      </c>
      <c r="O18" s="57">
        <v>13</v>
      </c>
      <c r="P18" s="57">
        <v>15</v>
      </c>
      <c r="Q18" s="57">
        <v>16</v>
      </c>
      <c r="R18" s="57">
        <v>10</v>
      </c>
      <c r="S18" s="57">
        <v>10</v>
      </c>
      <c r="T18" s="57">
        <v>10</v>
      </c>
      <c r="U18" s="57">
        <v>10</v>
      </c>
      <c r="V18" s="50">
        <v>23</v>
      </c>
    </row>
  </sheetData>
  <sheetProtection autoFilter="0" deleteColumns="1" deleteRows="1" formatCells="1" formatColumns="0" formatRows="0" insertColumns="1" insertHyperlinks="1" insertRows="1" objects="0" pivotTables="1" scenarios="0" selectLockedCells="0" selectUnlockedCells="0" sheet="1" sort="1"/>
  <mergeCells count="15">
    <mergeCell ref="H1:I1"/>
    <mergeCell ref="D2:D3"/>
    <mergeCell ref="E2:E3"/>
    <mergeCell ref="D6:I6"/>
    <mergeCell ref="D7:I7"/>
    <mergeCell ref="D10:I10"/>
    <mergeCell ref="J10:J12"/>
    <mergeCell ref="D11:D12"/>
    <mergeCell ref="E11:E12"/>
    <mergeCell ref="F11:G12"/>
    <mergeCell ref="H11:H12"/>
    <mergeCell ref="I11:I12"/>
    <mergeCell ref="D14:D15"/>
    <mergeCell ref="E14:E15"/>
    <mergeCell ref="J14:J16"/>
  </mergeCells>
  <dataValidations count="2" disablePrompts="0">
    <dataValidation sqref="E14 E2" type="none" allowBlank="1" errorStyle="stop" imeMode="noControl" operator="between" prompt="Выберите один или несколько одновременно видов деятельности, выполнив последовательно по одному щелчку на строке с видом деятельности" showDropDown="0" showErrorMessage="1" showInputMessage="1"/>
    <dataValidation sqref="E13:G13" type="none" allowBlank="1" error="Допускается ввод только неотрицательных чисел!" errorStyle="stop" errorTitle="Ошибка" imeMode="noControl" operator="between" showDropDown="0" showErrorMessage="1" showInputMessage="0"/>
  </dataValidations>
  <printOptions headings="0" gridLines="0"/>
  <pageMargins left="0.69999999999999996" right="0.69999999999999996" top="0.75" bottom="0.75" header="0.29999999999999999" footer="0.29999999999999999"/>
  <pageSetup paperSize="9" scale="100" fitToWidth="1" fitToHeight="1" pageOrder="downThenOver" orientation="portrait" usePrinterDefaults="1" blackAndWhite="0" draft="0" cellComments="none" useFirstPageNumber="0" errors="displayed" horizontalDpi="600" verticalDpi="600" copies="1"/>
  <headerFooter>
    <oddHeader>&amp;L&amp;C&amp;R</oddHeader>
    <oddFooter>&amp;L&amp;C&amp;R</oddFooter>
    <evenHeader>&amp;L&amp;C&amp;R</evenHeader>
    <evenFooter>&amp;L&amp;C&amp;R</evenFooter>
  </headerFooter>
  <extLst>
    <ext xmlns:x14="http://schemas.microsoft.com/office/spreadsheetml/2009/9/main" uri="{CCE6A557-97BC-4b89-ADB6-D9C93CAAB3DF}">
      <x14:dataValidations xmlns:xm="http://schemas.microsoft.com/office/excel/2006/main" count="3" disablePrompts="0">
        <x14:dataValidation xr:uid="{00070080-0049-4908-9FB8-007A002F0049}" type="whole" allowBlank="1" error="Допускается ввод только неотрицательных целых чисел!" errorStyle="stop" errorTitle="Ошибка" imeMode="noControl" operator="between" showDropDown="0" showErrorMessage="1" showInputMessage="0">
          <x14:formula1>
            <xm:f>0</xm:f>
          </x14:formula1>
          <x14:formula2>
            <xm:f>9.99999999999999E+23</xm:f>
          </x14:formula2>
          <xm:sqref>I14 I2</xm:sqref>
        </x14:dataValidation>
        <x14:dataValidation xr:uid="{00BD00D7-00F0-487B-9E8E-0012002200FC}" type="decimal" allowBlank="1" error="Допускается ввод только неотрицательных чисел!" errorStyle="stop" errorTitle="Ошибка" imeMode="noControl" operator="between" showDropDown="0" showErrorMessage="1" showInputMessage="0">
          <x14:formula1>
            <xm:f>0</xm:f>
          </x14:formula1>
          <x14:formula2>
            <xm:f>9.99999999999999E+23</xm:f>
          </x14:formula2>
          <xm:sqref>H13:I13</xm:sqref>
        </x14:dataValidation>
        <x14:dataValidation xr:uid="{0000000D-0062-4E96-9E53-000B008A0008}" type="textLength" allowBlank="1" error="Допускается ввод не более 900 символов!" errorStyle="stop" errorTitle="Ошибка" imeMode="noControl" operator="lessThanOrEqual" showDropDown="0" showErrorMessage="1" showInputMessage="1">
          <x14:formula1>
            <xm:f>900</xm:f>
          </x14:formula1>
          <xm:sqref>H14 H2</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Р7-Офис/2025.2.2.832</Application>
  <Company>ФАС России</Company>
  <DocSecurity>0</DocSecurity>
  <HyperlinksChanged>false</HyperlinksChanged>
  <LinksUpToDate>false</LinksUpToDate>
  <ScaleCrop>false</ScaleCrop>
  <SharedDoc>false</SharedDoc>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starovetckaya_av</cp:lastModifiedBy>
  <cp:revision>1</cp:revision>
  <dcterms:created xsi:type="dcterms:W3CDTF">2004-05-21T07:18:45Z</dcterms:created>
  <dcterms:modified xsi:type="dcterms:W3CDTF">2025-08-05T00:57:43Z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itTemplate">
    <vt:bool>true</vt:bool>
  </property>
  <property fmtid="{D5CDD505-2E9C-101B-9397-08002B2CF9AE}" pid="3" name="Version">
    <vt:lpwstr>FAS.JKH.OPEN.INFO.QUARTER.WARM</vt:lpwstr>
  </property>
  <property fmtid="{D5CDD505-2E9C-101B-9397-08002B2CF9AE}" pid="4" name="UserComments">
    <vt:lpwstr/>
  </property>
  <property fmtid="{D5CDD505-2E9C-101B-9397-08002B2CF9AE}" pid="5" name="PeriodLength">
    <vt:lpwstr/>
  </property>
  <property fmtid="{D5CDD505-2E9C-101B-9397-08002B2CF9AE}" pid="6" name="XsltDocFilePath">
    <vt:lpwstr/>
  </property>
  <property fmtid="{D5CDD505-2E9C-101B-9397-08002B2CF9AE}" pid="7" name="XslViewFilePath">
    <vt:lpwstr/>
  </property>
  <property fmtid="{D5CDD505-2E9C-101B-9397-08002B2CF9AE}" pid="8" name="RootDocFilePath">
    <vt:lpwstr/>
  </property>
  <property fmtid="{D5CDD505-2E9C-101B-9397-08002B2CF9AE}" pid="9" name="HtmlTempFilePath">
    <vt:lpwstr/>
  </property>
  <property fmtid="{D5CDD505-2E9C-101B-9397-08002B2CF9AE}" pid="10" name="keywords">
    <vt:lpwstr/>
  </property>
  <property fmtid="{D5CDD505-2E9C-101B-9397-08002B2CF9AE}" pid="11" name="Status">
    <vt:lpwstr>1</vt:lpwstr>
  </property>
  <property fmtid="{D5CDD505-2E9C-101B-9397-08002B2CF9AE}" pid="12" name="CurrentVersion">
    <vt:lpwstr>0.5</vt:lpwstr>
  </property>
  <property fmtid="{D5CDD505-2E9C-101B-9397-08002B2CF9AE}" pid="13" name="XMLTempFilePath">
    <vt:lpwstr/>
  </property>
  <property fmtid="{D5CDD505-2E9C-101B-9397-08002B2CF9AE}" pid="14" name="entityid">
    <vt:lpwstr/>
  </property>
  <property fmtid="{D5CDD505-2E9C-101B-9397-08002B2CF9AE}" pid="15" name="Period">
    <vt:lpwstr/>
  </property>
  <property fmtid="{D5CDD505-2E9C-101B-9397-08002B2CF9AE}" pid="16" name="TemplateOperationMode">
    <vt:i4>2</vt:i4>
  </property>
  <property fmtid="{D5CDD505-2E9C-101B-9397-08002B2CF9AE}" pid="17" name="Periodicity">
    <vt:lpwstr>YEAR</vt:lpwstr>
  </property>
  <property fmtid="{D5CDD505-2E9C-101B-9397-08002B2CF9AE}" pid="18" name="TypePlanning">
    <vt:lpwstr>PLAN</vt:lpwstr>
  </property>
  <property fmtid="{D5CDD505-2E9C-101B-9397-08002B2CF9AE}" pid="19" name="ProtectBook">
    <vt:i4>0</vt:i4>
  </property>
</Properties>
</file>